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TM DATASET" sheetId="1" state="visible" r:id="rId2"/>
    <sheet name="Summary" sheetId="2" state="visible" r:id="rId3"/>
  </sheets>
  <definedNames>
    <definedName function="false" hidden="true" localSheetId="0" name="_xlnm._FilterDatabase" vbProcedure="false">'DTM DATASET'!$A$4:$AU$3665</definedName>
    <definedName function="false" hidden="false" localSheetId="0" name="_xlnm._FilterDatabase" vbProcedure="false">'DTM DATASET'!$A$4:$AU$3665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<sst xmlns="http://schemas.openxmlformats.org/spreadsheetml/2006/main" count="14804" uniqueCount="6945">
  <si>
    <t xml:space="preserve">DTM : IDP Master List 2-2-2017</t>
  </si>
  <si>
    <t xml:space="preserve">Location of Displacement</t>
  </si>
  <si>
    <t xml:space="preserve">Governorate of origin</t>
  </si>
  <si>
    <t xml:space="preserve">Shelter type</t>
  </si>
  <si>
    <t xml:space="preserve">Period of displacement</t>
  </si>
  <si>
    <t xml:space="preserve">Link for Map</t>
  </si>
  <si>
    <t xml:space="preserve">Place id</t>
  </si>
  <si>
    <t xml:space="preserve">Governorate</t>
  </si>
  <si>
    <t xml:space="preserve">District</t>
  </si>
  <si>
    <t xml:space="preserve">Location name
in English</t>
  </si>
  <si>
    <t xml:space="preserve">Location name
in Arabic </t>
  </si>
  <si>
    <t xml:space="preserve">Latitude</t>
  </si>
  <si>
    <t xml:space="preserve">Longitude</t>
  </si>
  <si>
    <t xml:space="preserve">Families</t>
  </si>
  <si>
    <t xml:space="preserve">Individuals</t>
  </si>
  <si>
    <t xml:space="preserve">Anbar</t>
  </si>
  <si>
    <t xml:space="preserve">Babylon</t>
  </si>
  <si>
    <t xml:space="preserve">Baghdad</t>
  </si>
  <si>
    <t xml:space="preserve">Basrah</t>
  </si>
  <si>
    <t xml:space="preserve">Dahuk</t>
  </si>
  <si>
    <t xml:space="preserve">Diyala</t>
  </si>
  <si>
    <t xml:space="preserve">Erbil</t>
  </si>
  <si>
    <t xml:space="preserve">Kerbala</t>
  </si>
  <si>
    <t xml:space="preserve">Kirkuk</t>
  </si>
  <si>
    <t xml:space="preserve">Missan</t>
  </si>
  <si>
    <t xml:space="preserve">Muthanna</t>
  </si>
  <si>
    <t xml:space="preserve">Najaf</t>
  </si>
  <si>
    <t xml:space="preserve">Ninewa</t>
  </si>
  <si>
    <t xml:space="preserve">Qadissiya</t>
  </si>
  <si>
    <t xml:space="preserve">Salah al-Din</t>
  </si>
  <si>
    <t xml:space="preserve">Sulaymaniyah</t>
  </si>
  <si>
    <t xml:space="preserve">Thi-Qar</t>
  </si>
  <si>
    <t xml:space="preserve">Wassit</t>
  </si>
  <si>
    <t xml:space="preserve">Camp</t>
  </si>
  <si>
    <t xml:space="preserve">Host families</t>
  </si>
  <si>
    <t xml:space="preserve">Hotel/Motel</t>
  </si>
  <si>
    <t xml:space="preserve">Informal settlements</t>
  </si>
  <si>
    <t xml:space="preserve">Other shelter type</t>
  </si>
  <si>
    <t xml:space="preserve">Religious building</t>
  </si>
  <si>
    <t xml:space="preserve">Rented houses</t>
  </si>
  <si>
    <t xml:space="preserve">School building</t>
  </si>
  <si>
    <t xml:space="preserve">Unfinished/Abandoned building</t>
  </si>
  <si>
    <t xml:space="preserve">Unknown shelter type</t>
  </si>
  <si>
    <t xml:space="preserve">Pre-June14 </t>
  </si>
  <si>
    <t xml:space="preserve">June-July14 </t>
  </si>
  <si>
    <t xml:space="preserve">August14</t>
  </si>
  <si>
    <t xml:space="preserve">Post September14 </t>
  </si>
  <si>
    <t xml:space="preserve">Post April15 </t>
  </si>
  <si>
    <t xml:space="preserve">Post March16</t>
  </si>
  <si>
    <t xml:space="preserve">Post 17 October16</t>
  </si>
  <si>
    <t xml:space="preserve">Open Street Map</t>
  </si>
  <si>
    <t xml:space="preserve">Google Map</t>
  </si>
  <si>
    <t xml:space="preserve">Bing Map</t>
  </si>
  <si>
    <t xml:space="preserve">Al-Ka'im</t>
  </si>
  <si>
    <t xml:space="preserve">Al Aubaidi Al Qadima</t>
  </si>
  <si>
    <t xml:space="preserve">العبيدي القديمة </t>
  </si>
  <si>
    <t xml:space="preserve">Al Nahda Al-Sharqiyah</t>
  </si>
  <si>
    <t xml:space="preserve">حي النهضة الشرقية</t>
  </si>
  <si>
    <t xml:space="preserve">Al Rumanah Al Gharbiyah</t>
  </si>
  <si>
    <t xml:space="preserve">حي الرمانة الغربية</t>
  </si>
  <si>
    <t xml:space="preserve">Al Rumanah Al Sharqiyah</t>
  </si>
  <si>
    <t xml:space="preserve">حي الرمانة الشرقية</t>
  </si>
  <si>
    <t xml:space="preserve">Al Ubaydi-1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</si>
  <si>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مرحلة أولى</t>
    </r>
  </si>
  <si>
    <t xml:space="preserve">Al Ubaydi-2</t>
  </si>
  <si>
    <t xml:space="preserve">مرحلة الثانية </t>
  </si>
  <si>
    <t xml:space="preserve">Al Ubaydi-3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</si>
  <si>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مرحلة ثالثة</t>
    </r>
  </si>
  <si>
    <t xml:space="preserve">Al Ubaydi-Smnt</t>
  </si>
  <si>
    <t xml:space="preserve">المجمع السكني لمعمل سمنت القائم</t>
  </si>
  <si>
    <t xml:space="preserve">Al-Amen</t>
  </si>
  <si>
    <t xml:space="preserve">حي الامين</t>
  </si>
  <si>
    <t xml:space="preserve">Al-Rabet</t>
  </si>
  <si>
    <t xml:space="preserve">قرية الربط</t>
  </si>
  <si>
    <t xml:space="preserve">Door Al-Sikak</t>
  </si>
  <si>
    <t xml:space="preserve">حي السكك</t>
  </si>
  <si>
    <t xml:space="preserve">Hay 12 Rabee Alawal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</si>
  <si>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12</t>
    </r>
    <r>
      <rPr>
        <sz val="10"/>
        <color rgb="FF000000"/>
        <rFont val="Lohit Devanagari"/>
        <family val="2"/>
      </rPr>
      <t xml:space="preserve">ربيع الاول</t>
    </r>
  </si>
  <si>
    <t xml:space="preserve">Hay Al Askary</t>
  </si>
  <si>
    <t xml:space="preserve">حي العسكري</t>
  </si>
  <si>
    <t xml:space="preserve">Hay Al Rashid</t>
  </si>
  <si>
    <t xml:space="preserve">حي الرشيد</t>
  </si>
  <si>
    <t xml:space="preserve">Hay Al Sham</t>
  </si>
  <si>
    <r>
      <rPr>
        <sz val="10"/>
        <color rgb="FF000000"/>
        <rFont val="Lohit Devanagari"/>
        <family val="2"/>
      </rPr>
      <t xml:space="preserve">حي الشام </t>
    </r>
    <r>
      <rPr>
        <sz val="10"/>
        <color rgb="FF000000"/>
        <rFont val="Arial Narrow"/>
        <family val="2"/>
        <charset val="1"/>
      </rPr>
      <t xml:space="preserve">( </t>
    </r>
    <r>
      <rPr>
        <sz val="10"/>
        <color rgb="FF000000"/>
        <rFont val="Lohit Devanagari"/>
        <family val="2"/>
      </rPr>
      <t xml:space="preserve">الجمعية 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</si>
  <si>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Hay Al Shuhadaa</t>
  </si>
  <si>
    <t xml:space="preserve">حي الشهداء</t>
  </si>
  <si>
    <t xml:space="preserve">Hay Al Sinay</t>
  </si>
  <si>
    <t xml:space="preserve">حي الصناعي</t>
  </si>
  <si>
    <t xml:space="preserve">Hay Al-Andalus</t>
  </si>
  <si>
    <t xml:space="preserve">حي الاندلس</t>
  </si>
  <si>
    <t xml:space="preserve">Hay Al-Athar</t>
  </si>
  <si>
    <t xml:space="preserve">حي الاثار</t>
  </si>
  <si>
    <t xml:space="preserve">Hay Al-Farooq</t>
  </si>
  <si>
    <t xml:space="preserve">حي الفاروق</t>
  </si>
  <si>
    <t xml:space="preserve">Hay Al-Maamon</t>
  </si>
  <si>
    <t xml:space="preserve">حي المامون</t>
  </si>
  <si>
    <t xml:space="preserve">Hay Al-Salam</t>
  </si>
  <si>
    <t xml:space="preserve">حي السلام</t>
  </si>
  <si>
    <t xml:space="preserve">Hay Al-Yarmook</t>
  </si>
  <si>
    <t xml:space="preserve">حي اليرموك</t>
  </si>
  <si>
    <t xml:space="preserve">Wazeeriya</t>
  </si>
  <si>
    <t xml:space="preserve">حي الوزيرية</t>
  </si>
  <si>
    <t xml:space="preserve">Al-Rutba</t>
  </si>
  <si>
    <t xml:space="preserve">Al Hara</t>
  </si>
  <si>
    <t xml:space="preserve">حي الحارة</t>
  </si>
  <si>
    <t xml:space="preserve">Al Intesar</t>
  </si>
  <si>
    <t xml:space="preserve">حي الانتصار</t>
  </si>
  <si>
    <t xml:space="preserve">Al Nakheeb</t>
  </si>
  <si>
    <t xml:space="preserve">النخيب</t>
  </si>
  <si>
    <t xml:space="preserve">Al Wadi</t>
  </si>
  <si>
    <t xml:space="preserve">حي الوادي</t>
  </si>
  <si>
    <t xml:space="preserve">Al-Daraemah Village</t>
  </si>
  <si>
    <t xml:space="preserve">قرية الدراعمة</t>
  </si>
  <si>
    <t xml:space="preserve">Hay Abira</t>
  </si>
  <si>
    <t xml:space="preserve">حي ابيرة</t>
  </si>
  <si>
    <t xml:space="preserve">Hay Al Mattar</t>
  </si>
  <si>
    <t xml:space="preserve">حي المطار</t>
  </si>
  <si>
    <t xml:space="preserve">Hay Al Meethagh</t>
  </si>
  <si>
    <t xml:space="preserve">حي الميثاق</t>
  </si>
  <si>
    <t xml:space="preserve">Hay Al-Dour</t>
  </si>
  <si>
    <t xml:space="preserve">حي الدور</t>
  </si>
  <si>
    <t xml:space="preserve">Hay Gharb Al Wadi</t>
  </si>
  <si>
    <t xml:space="preserve">حي غرب الوادي</t>
  </si>
  <si>
    <t xml:space="preserve">Rumilah Village</t>
  </si>
  <si>
    <t xml:space="preserve">قرية رميلة</t>
  </si>
  <si>
    <t xml:space="preserve">Ana</t>
  </si>
  <si>
    <t xml:space="preserve">Al bor (Shishan)</t>
  </si>
  <si>
    <t xml:space="preserve">حي العبور</t>
  </si>
  <si>
    <t xml:space="preserve">Al maadid</t>
  </si>
  <si>
    <t xml:space="preserve">المعاضيد</t>
  </si>
  <si>
    <t xml:space="preserve">Al Tadamon</t>
  </si>
  <si>
    <t xml:space="preserve">حي التضامن</t>
  </si>
  <si>
    <t xml:space="preserve">Hay Al Nasir</t>
  </si>
  <si>
    <t xml:space="preserve">حي النصر</t>
  </si>
  <si>
    <t xml:space="preserve">Hay Al Qadissiyah</t>
  </si>
  <si>
    <t xml:space="preserve">حي القادسية</t>
  </si>
  <si>
    <t xml:space="preserve">Hay Al Salam</t>
  </si>
  <si>
    <t xml:space="preserve">Hay Al Tammem</t>
  </si>
  <si>
    <t xml:space="preserve">حي التأميم</t>
  </si>
  <si>
    <t xml:space="preserve">Rayhana</t>
  </si>
  <si>
    <t xml:space="preserve">مجمع الريحانه</t>
  </si>
  <si>
    <t xml:space="preserve">Yarmouk</t>
  </si>
  <si>
    <t xml:space="preserve">Falluja</t>
  </si>
  <si>
    <t xml:space="preserve">Al Amiriyah</t>
  </si>
  <si>
    <t xml:space="preserve">العامرية </t>
  </si>
  <si>
    <t xml:space="preserve">Al Husi</t>
  </si>
  <si>
    <t xml:space="preserve">الحصي</t>
  </si>
  <si>
    <t xml:space="preserve">Al-Amirya-Al Abar</t>
  </si>
  <si>
    <t xml:space="preserve">الابار</t>
  </si>
  <si>
    <t xml:space="preserve">Al-Amirya-Al Betra</t>
  </si>
  <si>
    <t xml:space="preserve">البترا</t>
  </si>
  <si>
    <t xml:space="preserve">Al-Amirya-Al Hmedin</t>
  </si>
  <si>
    <t xml:space="preserve">الحميدين</t>
  </si>
  <si>
    <t xml:space="preserve">Al-Amirya-Al Mouilha</t>
  </si>
  <si>
    <t xml:space="preserve">المويلحة</t>
  </si>
  <si>
    <t xml:space="preserve">Al-Amirya-Albu Hamdan</t>
  </si>
  <si>
    <t xml:space="preserve">البوحمدان</t>
  </si>
  <si>
    <t xml:space="preserve">Al-Amirya-Albu Jaber</t>
  </si>
  <si>
    <t xml:space="preserve">البوجابر</t>
  </si>
  <si>
    <t xml:space="preserve">Al-Amirya-Albu Jasim</t>
  </si>
  <si>
    <t xml:space="preserve">البوجاسم</t>
  </si>
  <si>
    <t xml:space="preserve">Al-Amirya-Albu Jwad</t>
  </si>
  <si>
    <t xml:space="preserve">البوجواد</t>
  </si>
  <si>
    <t xml:space="preserve">Al-Amirya-Albu Mrir</t>
  </si>
  <si>
    <t xml:space="preserve">البومرير</t>
  </si>
  <si>
    <t xml:space="preserve">Al-Amirya-Albu Saleh</t>
  </si>
  <si>
    <t xml:space="preserve">البوصالح</t>
  </si>
  <si>
    <t xml:space="preserve">Al-Amirya-Albu Salman</t>
  </si>
  <si>
    <t xml:space="preserve">البوسليمان</t>
  </si>
  <si>
    <t xml:space="preserve">Al-Amirya-Tal Ghatas</t>
  </si>
  <si>
    <t xml:space="preserve">تل غطاس</t>
  </si>
  <si>
    <t xml:space="preserve">Al-Ekhaa Compaund</t>
  </si>
  <si>
    <t xml:space="preserve">مجمع الاخاء السكني </t>
  </si>
  <si>
    <t xml:space="preserve">Al-Huraimat</t>
  </si>
  <si>
    <t xml:space="preserve">الهريمات </t>
  </si>
  <si>
    <t xml:space="preserve">Albo Abd Hasan</t>
  </si>
  <si>
    <t xml:space="preserve">البوعبد الحسن </t>
  </si>
  <si>
    <t xml:space="preserve">Albo Shihan</t>
  </si>
  <si>
    <t xml:space="preserve">البوشيحان</t>
  </si>
  <si>
    <t xml:space="preserve">Albu Dhaher-Albu Dhaher</t>
  </si>
  <si>
    <t xml:space="preserve">البوظاهر</t>
  </si>
  <si>
    <t xml:space="preserve">Albu Eifan</t>
  </si>
  <si>
    <t xml:space="preserve">البوعيفان</t>
  </si>
  <si>
    <t xml:space="preserve">Albu Hatem</t>
  </si>
  <si>
    <t xml:space="preserve">البوحاتم</t>
  </si>
  <si>
    <t xml:space="preserve">Albu Hawa</t>
  </si>
  <si>
    <t xml:space="preserve">البوهوى </t>
  </si>
  <si>
    <t xml:space="preserve">Albu Hori</t>
  </si>
  <si>
    <t xml:space="preserve">البوحوري</t>
  </si>
  <si>
    <t xml:space="preserve">Amriyat Al-Fallujah Camp</t>
  </si>
  <si>
    <t xml:space="preserve">مخيم عامرية الفلوجة</t>
  </si>
  <si>
    <t xml:space="preserve">Bezabize Central Camp</t>
  </si>
  <si>
    <t xml:space="preserve">مخيم بزيبز المركزي</t>
  </si>
  <si>
    <t xml:space="preserve">Habbaniya Tourist City camp</t>
  </si>
  <si>
    <t xml:space="preserve">مخيم المدينة السياحية الحبانية</t>
  </si>
  <si>
    <t xml:space="preserve">Luhib</t>
  </si>
  <si>
    <t xml:space="preserve">اللهيب</t>
  </si>
  <si>
    <t xml:space="preserve">Qaryat Al-Jaffa</t>
  </si>
  <si>
    <t xml:space="preserve">الجفة </t>
  </si>
  <si>
    <t xml:space="preserve">Haditha</t>
  </si>
  <si>
    <t xml:space="preserve">قرية البوحياة</t>
  </si>
  <si>
    <t xml:space="preserve">Al Furat Complex</t>
  </si>
  <si>
    <t xml:space="preserve">مجمع الفرات</t>
  </si>
  <si>
    <t xml:space="preserve">Al hawija</t>
  </si>
  <si>
    <t xml:space="preserve">حي الحويجه</t>
  </si>
  <si>
    <t xml:space="preserve">Al Sheikh Mohammad Village</t>
  </si>
  <si>
    <t xml:space="preserve">قرية شيخ محمد</t>
  </si>
  <si>
    <t xml:space="preserve">Al-Khafajiyah Village</t>
  </si>
  <si>
    <t xml:space="preserve">قرية الخفاجية</t>
  </si>
  <si>
    <t xml:space="preserve">Al-Mutanabi</t>
  </si>
  <si>
    <t xml:space="preserve">المتنبي</t>
  </si>
  <si>
    <t xml:space="preserve">Al-sad Complex</t>
  </si>
  <si>
    <t xml:space="preserve">المجمع السكني لسد حديثة</t>
  </si>
  <si>
    <t xml:space="preserve">Bani Dahir</t>
  </si>
  <si>
    <t xml:space="preserve">حي بني داهر</t>
  </si>
  <si>
    <t xml:space="preserve">Barwanah-Hay Al-Shurta</t>
  </si>
  <si>
    <r>
      <rPr>
        <sz val="10"/>
        <color rgb="FF000000"/>
        <rFont val="Lohit Devanagari"/>
        <family val="2"/>
      </rPr>
      <t xml:space="preserve">حي الشرطة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بروانه</t>
    </r>
  </si>
  <si>
    <t xml:space="preserve">Haqlaniyah-Al shuhadaa</t>
  </si>
  <si>
    <r>
      <rPr>
        <sz val="10"/>
        <color rgb="FF000000"/>
        <rFont val="Lohit Devanagari"/>
        <family val="2"/>
      </rPr>
      <t xml:space="preserve">حي الشهداء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الحقلانية</t>
    </r>
  </si>
  <si>
    <t xml:space="preserve">Haqlaniyah-Hay Al-Faroq</t>
  </si>
  <si>
    <r>
      <rPr>
        <sz val="10"/>
        <color rgb="FF000000"/>
        <rFont val="Lohit Devanagari"/>
        <family val="2"/>
      </rPr>
      <t xml:space="preserve">حي الفاروق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حقلانية</t>
    </r>
  </si>
  <si>
    <t xml:space="preserve">Hay Al Haqlaniyah Qadim</t>
  </si>
  <si>
    <t xml:space="preserve">حي حقلانية القديمة</t>
  </si>
  <si>
    <t xml:space="preserve">Hay Al Rifay</t>
  </si>
  <si>
    <t xml:space="preserve">حي الرفاعي</t>
  </si>
  <si>
    <t xml:space="preserve">Hay Al Saray</t>
  </si>
  <si>
    <t xml:space="preserve">حي السراي</t>
  </si>
  <si>
    <t xml:space="preserve">Hay Al Shay</t>
  </si>
  <si>
    <t xml:space="preserve">حي الشاعي</t>
  </si>
  <si>
    <t xml:space="preserve">Hay Al Shurta</t>
  </si>
  <si>
    <t xml:space="preserve">حي الشرطة</t>
  </si>
  <si>
    <t xml:space="preserve">Hay Al Somod</t>
  </si>
  <si>
    <t xml:space="preserve">حي الصمود</t>
  </si>
  <si>
    <t xml:space="preserve">Hay Al Yarmuk</t>
  </si>
  <si>
    <t xml:space="preserve">Hay Al-Alyaa</t>
  </si>
  <si>
    <t xml:space="preserve">حي العلياء</t>
  </si>
  <si>
    <t xml:space="preserve">Hay Al-Amin</t>
  </si>
  <si>
    <t xml:space="preserve">Hay Al-Farouq</t>
  </si>
  <si>
    <t xml:space="preserve">Hay al-malab</t>
  </si>
  <si>
    <t xml:space="preserve">حي الملعب</t>
  </si>
  <si>
    <t xml:space="preserve">Hay Al-Mulameen</t>
  </si>
  <si>
    <t xml:space="preserve">حي المعلمين</t>
  </si>
  <si>
    <t xml:space="preserve">Hay Al-Mutasem</t>
  </si>
  <si>
    <t xml:space="preserve">حي المعتصم</t>
  </si>
  <si>
    <t xml:space="preserve">Hay Al-Rifaq</t>
  </si>
  <si>
    <t xml:space="preserve">حي الرفاق</t>
  </si>
  <si>
    <t xml:space="preserve">Hay Al-shikh Al Hadid</t>
  </si>
  <si>
    <t xml:space="preserve">حي شيخ حديد</t>
  </si>
  <si>
    <t xml:space="preserve">Hay Al-Subhani</t>
  </si>
  <si>
    <t xml:space="preserve">حي السبحاني</t>
  </si>
  <si>
    <t xml:space="preserve">Hay Al-Thamaniya</t>
  </si>
  <si>
    <t xml:space="preserve">حي الثمانية</t>
  </si>
  <si>
    <t xml:space="preserve">Hay Barwanah Al Sharqiyah</t>
  </si>
  <si>
    <t xml:space="preserve">حي بروانه شرقيه</t>
  </si>
  <si>
    <t xml:space="preserve">Hay Ibn Al Haitham</t>
  </si>
  <si>
    <t xml:space="preserve">حي ابن الهيثم</t>
  </si>
  <si>
    <t xml:space="preserve">Hay Sala Din</t>
  </si>
  <si>
    <t xml:space="preserve">حي صلاح الدين</t>
  </si>
  <si>
    <t xml:space="preserve">Shbirah Village</t>
  </si>
  <si>
    <t xml:space="preserve">قرية شبيرة</t>
  </si>
  <si>
    <t xml:space="preserve">Zaghdan</t>
  </si>
  <si>
    <t xml:space="preserve">زغدان</t>
  </si>
  <si>
    <t xml:space="preserve">Heet</t>
  </si>
  <si>
    <t xml:space="preserve">Abu Tibban</t>
  </si>
  <si>
    <t xml:space="preserve">ابوطيبان</t>
  </si>
  <si>
    <t xml:space="preserve">Al Awasel</t>
  </si>
  <si>
    <t xml:space="preserve">العواصل</t>
  </si>
  <si>
    <t xml:space="preserve">Al dawarah Al Gharbiyah</t>
  </si>
  <si>
    <t xml:space="preserve">الدوارة الغربية</t>
  </si>
  <si>
    <t xml:space="preserve">Al Hay Al Sakani</t>
  </si>
  <si>
    <t xml:space="preserve">الحي السكني</t>
  </si>
  <si>
    <t xml:space="preserve">Al Khudha</t>
  </si>
  <si>
    <t xml:space="preserve">الخوضة </t>
  </si>
  <si>
    <t xml:space="preserve">Al Muhamdee</t>
  </si>
  <si>
    <t xml:space="preserve">المحمدي </t>
  </si>
  <si>
    <t xml:space="preserve">Al Salkah</t>
  </si>
  <si>
    <t xml:space="preserve">السكلة</t>
  </si>
  <si>
    <t xml:space="preserve">Al Sardiyah</t>
  </si>
  <si>
    <t xml:space="preserve">السردية</t>
  </si>
  <si>
    <t xml:space="preserve">Al-Khaldiyah</t>
  </si>
  <si>
    <t xml:space="preserve">الخالدية </t>
  </si>
  <si>
    <t xml:space="preserve">Al-Mamora</t>
  </si>
  <si>
    <t xml:space="preserve">المعمورة</t>
  </si>
  <si>
    <t xml:space="preserve">Al-muabdiyat</t>
  </si>
  <si>
    <t xml:space="preserve">المعبديات</t>
  </si>
  <si>
    <t xml:space="preserve">Al-Qalqalah</t>
  </si>
  <si>
    <t xml:space="preserve">القلقة </t>
  </si>
  <si>
    <t xml:space="preserve">Al-shuhda?a</t>
  </si>
  <si>
    <t xml:space="preserve">الشهداء</t>
  </si>
  <si>
    <t xml:space="preserve">Al-Sikak</t>
  </si>
  <si>
    <t xml:space="preserve">السكك</t>
  </si>
  <si>
    <t xml:space="preserve">Al-Ummal</t>
  </si>
  <si>
    <t xml:space="preserve">العمال </t>
  </si>
  <si>
    <t xml:space="preserve">Binan</t>
  </si>
  <si>
    <t xml:space="preserve">بنان</t>
  </si>
  <si>
    <t xml:space="preserve">Hay Al Hurriya</t>
  </si>
  <si>
    <t xml:space="preserve">الحرية</t>
  </si>
  <si>
    <t xml:space="preserve">Hay Al Khadraa</t>
  </si>
  <si>
    <t xml:space="preserve">الخضراء</t>
  </si>
  <si>
    <t xml:space="preserve">Hay Al-Askari</t>
  </si>
  <si>
    <t xml:space="preserve">الحي العسكري</t>
  </si>
  <si>
    <t xml:space="preserve">Hay Al-Dawarah Al-Sharqiyah</t>
  </si>
  <si>
    <t xml:space="preserve">الدوارة الشرقية</t>
  </si>
  <si>
    <t xml:space="preserve">Hay Al-Etfaa</t>
  </si>
  <si>
    <t xml:space="preserve">حي الاطفاء</t>
  </si>
  <si>
    <t xml:space="preserve">Hay Al-Hasaniya</t>
  </si>
  <si>
    <t xml:space="preserve">الحسنية</t>
  </si>
  <si>
    <t xml:space="preserve">Hay Al-jamyah 2</t>
  </si>
  <si>
    <t xml:space="preserve">الجمعية الثانية</t>
  </si>
  <si>
    <t xml:space="preserve">Hay Al-Qadisiyah</t>
  </si>
  <si>
    <t xml:space="preserve">القادسية</t>
  </si>
  <si>
    <t xml:space="preserve">Hay Al-Sadiq</t>
  </si>
  <si>
    <t xml:space="preserve">حي الصديق</t>
  </si>
  <si>
    <t xml:space="preserve">Hay Al-Zuhoor</t>
  </si>
  <si>
    <t xml:space="preserve">حي الزهور</t>
  </si>
  <si>
    <t xml:space="preserve">Heet-Maskhan</t>
  </si>
  <si>
    <t xml:space="preserve">المصخن</t>
  </si>
  <si>
    <t xml:space="preserve">Kubaisa Al-qadimah</t>
  </si>
  <si>
    <t xml:space="preserve">كبيسة القديمة</t>
  </si>
  <si>
    <t xml:space="preserve">Mualmeen</t>
  </si>
  <si>
    <t xml:space="preserve">المعلمين</t>
  </si>
  <si>
    <t xml:space="preserve">Ra'ua</t>
  </si>
  <si>
    <t xml:space="preserve">Al Askaree</t>
  </si>
  <si>
    <t xml:space="preserve">Al Qaala</t>
  </si>
  <si>
    <t xml:space="preserve">حي القلعة</t>
  </si>
  <si>
    <t xml:space="preserve">Al-Hidayah</t>
  </si>
  <si>
    <t xml:space="preserve">حي الهداية</t>
  </si>
  <si>
    <t xml:space="preserve">حي السلام </t>
  </si>
  <si>
    <t xml:space="preserve">Hay Al Shoba</t>
  </si>
  <si>
    <t xml:space="preserve">حي الشعبة</t>
  </si>
  <si>
    <t xml:space="preserve">Hay Raua Al-Jadida</t>
  </si>
  <si>
    <t xml:space="preserve">حي راوة جديدة</t>
  </si>
  <si>
    <t xml:space="preserve">Rawa Al Qadima</t>
  </si>
  <si>
    <t xml:space="preserve">حي راوة قديمة</t>
  </si>
  <si>
    <t xml:space="preserve">Ramadi</t>
  </si>
  <si>
    <t xml:space="preserve">Abu Flees</t>
  </si>
  <si>
    <t xml:space="preserve">ابو فليس </t>
  </si>
  <si>
    <t xml:space="preserve">Al Khulafaa</t>
  </si>
  <si>
    <t xml:space="preserve">الخلفاء</t>
  </si>
  <si>
    <t xml:space="preserve">Al Uroba</t>
  </si>
  <si>
    <t xml:space="preserve">العروبة</t>
  </si>
  <si>
    <t xml:space="preserve">Al-Ankor</t>
  </si>
  <si>
    <t xml:space="preserve">العنكور</t>
  </si>
  <si>
    <t xml:space="preserve">Al-Khalidiya Central</t>
  </si>
  <si>
    <t xml:space="preserve">مخيم الخالدية المركزي</t>
  </si>
  <si>
    <t xml:space="preserve">Al-Kully Kom Complex</t>
  </si>
  <si>
    <t xml:space="preserve">مجمع الكولي كم </t>
  </si>
  <si>
    <t xml:space="preserve">Al-Sadiqiyah</t>
  </si>
  <si>
    <t xml:space="preserve">الصديقية </t>
  </si>
  <si>
    <t xml:space="preserve">Al-Shuhadaa</t>
  </si>
  <si>
    <t xml:space="preserve">Hay Al Mulmeen</t>
  </si>
  <si>
    <t xml:space="preserve">حي المعلمين </t>
  </si>
  <si>
    <t xml:space="preserve">Hay Al-Madani</t>
  </si>
  <si>
    <t xml:space="preserve">الحي المدني </t>
  </si>
  <si>
    <t xml:space="preserve">السلام</t>
  </si>
  <si>
    <t xml:space="preserve">Hay Al-Umal</t>
  </si>
  <si>
    <t xml:space="preserve">حي العمال </t>
  </si>
  <si>
    <t xml:space="preserve">Husaibah Al-Sharqiah</t>
  </si>
  <si>
    <t xml:space="preserve">حصيبة الشرقية </t>
  </si>
  <si>
    <t xml:space="preserve">Kilo 18</t>
  </si>
  <si>
    <r>
      <rPr>
        <sz val="10"/>
        <color rgb="FF000000"/>
        <rFont val="Lohit Devanagari"/>
        <family val="2"/>
      </rPr>
      <t xml:space="preserve">كيلو </t>
    </r>
    <r>
      <rPr>
        <sz val="10"/>
        <color rgb="FF000000"/>
        <rFont val="Arial Narrow"/>
        <family val="2"/>
        <charset val="1"/>
      </rPr>
      <t xml:space="preserve">18</t>
    </r>
  </si>
  <si>
    <t xml:space="preserve">Kilo 60</t>
  </si>
  <si>
    <r>
      <rPr>
        <sz val="10"/>
        <color rgb="FF000000"/>
        <rFont val="Lohit Devanagari"/>
        <family val="2"/>
      </rPr>
      <t xml:space="preserve">كيلو </t>
    </r>
    <r>
      <rPr>
        <sz val="10"/>
        <color rgb="FF000000"/>
        <rFont val="Arial Narrow"/>
        <family val="2"/>
        <charset val="1"/>
      </rPr>
      <t xml:space="preserve">60</t>
    </r>
  </si>
  <si>
    <t xml:space="preserve">Sin Al-Thubban</t>
  </si>
  <si>
    <t xml:space="preserve">سن الذبان</t>
  </si>
  <si>
    <t xml:space="preserve">Zwiyat Al Thiban</t>
  </si>
  <si>
    <t xml:space="preserve">زوية الذبان</t>
  </si>
  <si>
    <t xml:space="preserve">Al-Mahawil</t>
  </si>
  <si>
    <t xml:space="preserve">Abo Blaw</t>
  </si>
  <si>
    <t xml:space="preserve">أبو بلاو</t>
  </si>
  <si>
    <t xml:space="preserve">Abu halael-Al Neel Area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</si>
  <si>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هليل</t>
    </r>
  </si>
  <si>
    <t xml:space="preserve">Abu Sudairah</t>
  </si>
  <si>
    <t xml:space="preserve">ابو سديره</t>
  </si>
  <si>
    <t xml:space="preserve">Al Baqer Area-Jablah</t>
  </si>
  <si>
    <r>
      <rPr>
        <sz val="10"/>
        <color rgb="FF000000"/>
        <rFont val="Lohit Devanagari"/>
        <family val="2"/>
      </rPr>
      <t xml:space="preserve">جبلة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مدينة الباقر</t>
    </r>
  </si>
  <si>
    <t xml:space="preserve">Al Imam Hay Al Amir</t>
  </si>
  <si>
    <r>
      <rPr>
        <sz val="10"/>
        <color rgb="FF000000"/>
        <rFont val="Lohit Devanagari"/>
        <family val="2"/>
      </rPr>
      <t xml:space="preserve">ناحية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الامير</t>
    </r>
  </si>
  <si>
    <t xml:space="preserve">Al Imam Hay Al Hakeem</t>
  </si>
  <si>
    <r>
      <rPr>
        <sz val="10"/>
        <color rgb="FF000000"/>
        <rFont val="Lohit Devanagari"/>
        <family val="2"/>
      </rPr>
      <t xml:space="preserve">ناحية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الحكيم</t>
    </r>
  </si>
  <si>
    <t xml:space="preserve">Al Imam-Hay Al Zahraa</t>
  </si>
  <si>
    <r>
      <rPr>
        <sz val="10"/>
        <color rgb="FF000000"/>
        <rFont val="Lohit Devanagari"/>
        <family val="2"/>
      </rPr>
      <t xml:space="preserve">ناحيه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</si>
  <si>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Al Imam-Hay Imam Ali</t>
  </si>
  <si>
    <r>
      <rPr>
        <sz val="10"/>
        <color rgb="FF000000"/>
        <rFont val="Lohit Devanagari"/>
        <family val="2"/>
      </rPr>
      <t xml:space="preserve">ناحيه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الامام علي</t>
    </r>
  </si>
  <si>
    <t xml:space="preserve">Al Mansoory</t>
  </si>
  <si>
    <t xml:space="preserve">المنصوري</t>
  </si>
  <si>
    <t xml:space="preserve">Al Murtdha village</t>
  </si>
  <si>
    <t xml:space="preserve">قريه المرتضى</t>
  </si>
  <si>
    <t xml:space="preserve">Al Qasabah Al Kadimah</t>
  </si>
  <si>
    <r>
      <rPr>
        <sz val="10"/>
        <color rgb="FF000000"/>
        <rFont val="Lohit Devanagari"/>
        <family val="2"/>
      </rPr>
      <t xml:space="preserve">ناحية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القصبة القديمة</t>
    </r>
  </si>
  <si>
    <t xml:space="preserve">Al Rashayed</t>
  </si>
  <si>
    <t xml:space="preserve">الرشايد</t>
  </si>
  <si>
    <t xml:space="preserve">Al Sayahiyah</t>
  </si>
  <si>
    <t xml:space="preserve">الصياحية</t>
  </si>
  <si>
    <t xml:space="preserve">Al Shahed Al Sader</t>
  </si>
  <si>
    <r>
      <rPr>
        <sz val="10"/>
        <color rgb="FF000000"/>
        <rFont val="Lohit Devanagari"/>
        <family val="2"/>
      </rPr>
      <t xml:space="preserve">ناحية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الشهيد الصدر</t>
    </r>
  </si>
  <si>
    <t xml:space="preserve">Al taba-Al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</si>
  <si>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الطابه</t>
    </r>
  </si>
  <si>
    <t xml:space="preserve">Al Tahriyah</t>
  </si>
  <si>
    <t xml:space="preserve">الطاهريه</t>
  </si>
  <si>
    <t xml:space="preserve">Al-Akfia village</t>
  </si>
  <si>
    <t xml:space="preserve">العاكفية</t>
  </si>
  <si>
    <t xml:space="preserve">Al-Jadrjy</t>
  </si>
  <si>
    <t xml:space="preserve">الجادرجي</t>
  </si>
  <si>
    <t xml:space="preserve">Al-Jazra</t>
  </si>
  <si>
    <t xml:space="preserve">الجزرا</t>
  </si>
  <si>
    <t xml:space="preserve">Al-lubat</t>
  </si>
  <si>
    <t xml:space="preserve">اللوبات</t>
  </si>
  <si>
    <t xml:space="preserve">Al-Mahawil-Hay Al-Mashtal</t>
  </si>
  <si>
    <t xml:space="preserve">حي المشتل</t>
  </si>
  <si>
    <t xml:space="preserve">Al-Shakiria</t>
  </si>
  <si>
    <t xml:space="preserve">الشاكريه</t>
  </si>
  <si>
    <t xml:space="preserve">Alammar village-Al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</si>
  <si>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العمار</t>
    </r>
  </si>
  <si>
    <t xml:space="preserve">Alaweara</t>
  </si>
  <si>
    <t xml:space="preserve">العويره</t>
  </si>
  <si>
    <t xml:space="preserve">Alazawea</t>
  </si>
  <si>
    <t xml:space="preserve">العزاويه</t>
  </si>
  <si>
    <t xml:space="preserve">Albada-hay Alaskari</t>
  </si>
  <si>
    <r>
      <rPr>
        <sz val="10"/>
        <color rgb="FF000000"/>
        <rFont val="Lohit Devanagari"/>
        <family val="2"/>
      </rPr>
      <t xml:space="preserve">البدع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العسكري</t>
    </r>
  </si>
  <si>
    <t xml:space="preserve">Albo Nafea</t>
  </si>
  <si>
    <t xml:space="preserve">البو نافع</t>
  </si>
  <si>
    <t xml:space="preserve">Albo-Mustafa</t>
  </si>
  <si>
    <t xml:space="preserve">البو مصطفى</t>
  </si>
  <si>
    <t xml:space="preserve">Algwam village</t>
  </si>
  <si>
    <r>
      <rPr>
        <sz val="10"/>
        <color rgb="FF000000"/>
        <rFont val="Lohit Devanagari"/>
        <family val="2"/>
      </rPr>
      <t xml:space="preserve">ناحيه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الكوام</t>
    </r>
  </si>
  <si>
    <t xml:space="preserve">AlRashead village-Al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</si>
  <si>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الراشد</t>
    </r>
  </si>
  <si>
    <t xml:space="preserve">Alshalab village-Al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</si>
  <si>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الشلب</t>
    </r>
  </si>
  <si>
    <t xml:space="preserve">Barnon-Al Qasabah Al kadima</t>
  </si>
  <si>
    <r>
      <rPr>
        <sz val="10"/>
        <color rgb="FF000000"/>
        <rFont val="Lohit Devanagari"/>
        <family val="2"/>
      </rPr>
      <t xml:space="preserve">برنون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القصبه القديمه</t>
    </r>
  </si>
  <si>
    <t xml:space="preserve">Barnon-hay Alaskry</t>
  </si>
  <si>
    <r>
      <rPr>
        <sz val="10"/>
        <color rgb="FF000000"/>
        <rFont val="Lohit Devanagari"/>
        <family val="2"/>
      </rPr>
      <t xml:space="preserve">برنون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العسكري</t>
    </r>
  </si>
  <si>
    <t xml:space="preserve">Btt Merry</t>
  </si>
  <si>
    <t xml:space="preserve">بتت ميري</t>
  </si>
  <si>
    <t xml:space="preserve">Btt Wahby</t>
  </si>
  <si>
    <t xml:space="preserve">بتت وهبي</t>
  </si>
  <si>
    <t xml:space="preserve">Findhiya</t>
  </si>
  <si>
    <t xml:space="preserve">الفنديه</t>
  </si>
  <si>
    <t xml:space="preserve">Hay Al Farook</t>
  </si>
  <si>
    <t xml:space="preserve">Hay Al Rasool</t>
  </si>
  <si>
    <t xml:space="preserve">حي الرسول</t>
  </si>
  <si>
    <t xml:space="preserve">Hay Al wihda-Jablah</t>
  </si>
  <si>
    <r>
      <rPr>
        <sz val="10"/>
        <color rgb="FF000000"/>
        <rFont val="Lohit Devanagari"/>
        <family val="2"/>
      </rPr>
      <t xml:space="preserve">جبلة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الوحده</t>
    </r>
  </si>
  <si>
    <t xml:space="preserve">Hay Al Zahraa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</si>
  <si>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المركز</t>
    </r>
    <r>
      <rPr>
        <sz val="10"/>
        <color rgb="FF000000"/>
        <rFont val="Arial Narrow"/>
        <family val="2"/>
        <charset val="1"/>
      </rPr>
      <t xml:space="preserve">-</t>
    </r>
  </si>
  <si>
    <t xml:space="preserve">Hay Al-Ameer-Al Niel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</si>
  <si>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النيل</t>
    </r>
  </si>
  <si>
    <t xml:space="preserve">حي العسكري </t>
  </si>
  <si>
    <t xml:space="preserve">Hay Al-Intisar</t>
  </si>
  <si>
    <t xml:space="preserve">Hay Al-Jamhoreiah</t>
  </si>
  <si>
    <t xml:space="preserve">حي الجمهوري</t>
  </si>
  <si>
    <t xml:space="preserve">Hay Al-Jawadein</t>
  </si>
  <si>
    <t xml:space="preserve">حي الجوادين</t>
  </si>
  <si>
    <t xml:space="preserve">Hay Al-Karama</t>
  </si>
  <si>
    <t xml:space="preserve">حي الكرامة</t>
  </si>
  <si>
    <t xml:space="preserve">Hay Al-Mualmeen</t>
  </si>
  <si>
    <t xml:space="preserve">Hay Al-Murtadha</t>
  </si>
  <si>
    <t xml:space="preserve">حي المرتضى</t>
  </si>
  <si>
    <t xml:space="preserve">Hay Al-Mwadhafeen</t>
  </si>
  <si>
    <t xml:space="preserve">حي الموظفين</t>
  </si>
  <si>
    <t xml:space="preserve">Hay Al-Neil</t>
  </si>
  <si>
    <t xml:space="preserve">حي النيل</t>
  </si>
  <si>
    <t xml:space="preserve">Hay Al-Noor</t>
  </si>
  <si>
    <t xml:space="preserve">حي النور</t>
  </si>
  <si>
    <t xml:space="preserve">Hay Al-Risala 1</t>
  </si>
  <si>
    <r>
      <rPr>
        <sz val="10"/>
        <color rgb="FF000000"/>
        <rFont val="Lohit Devanagari"/>
        <family val="2"/>
      </rPr>
      <t xml:space="preserve">جبلة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الرسالة</t>
    </r>
  </si>
  <si>
    <t xml:space="preserve">Hay Zain Alabadeen</t>
  </si>
  <si>
    <t xml:space="preserve">حي زين العابدين</t>
  </si>
  <si>
    <t xml:space="preserve">Jabla Al Imam Village</t>
  </si>
  <si>
    <r>
      <rPr>
        <sz val="10"/>
        <color rgb="FF000000"/>
        <rFont val="Lohit Devanagari"/>
        <family val="2"/>
      </rPr>
      <t xml:space="preserve">جبلة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الامام</t>
    </r>
  </si>
  <si>
    <t xml:space="preserve">Jabla-Al Hamiry</t>
  </si>
  <si>
    <r>
      <rPr>
        <sz val="10"/>
        <color rgb="FF000000"/>
        <rFont val="Lohit Devanagari"/>
        <family val="2"/>
      </rPr>
      <t xml:space="preserve">جبلة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الحميري</t>
    </r>
  </si>
  <si>
    <t xml:space="preserve">Jabla-Hay Al Hurriya</t>
  </si>
  <si>
    <r>
      <rPr>
        <sz val="10"/>
        <color rgb="FF000000"/>
        <rFont val="Lohit Devanagari"/>
        <family val="2"/>
      </rPr>
      <t xml:space="preserve">جبله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الحريه</t>
    </r>
  </si>
  <si>
    <t xml:space="preserve">jabla-Hay Rhaema</t>
  </si>
  <si>
    <r>
      <rPr>
        <sz val="10"/>
        <color rgb="FF000000"/>
        <rFont val="Lohit Devanagari"/>
        <family val="2"/>
      </rPr>
      <t xml:space="preserve">جبله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رحيمه</t>
    </r>
  </si>
  <si>
    <t xml:space="preserve">khafaja village</t>
  </si>
  <si>
    <t xml:space="preserve">قريه خفاجه</t>
  </si>
  <si>
    <t xml:space="preserve">khalf alsharkhy village-Al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</si>
  <si>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خليف الشرقي</t>
    </r>
  </si>
  <si>
    <t xml:space="preserve">Maghear Village-Al Neel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</si>
  <si>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مغير</t>
    </r>
  </si>
  <si>
    <t xml:space="preserve">Qalat Al Naeb</t>
  </si>
  <si>
    <t xml:space="preserve">قلعة النائب</t>
  </si>
  <si>
    <t xml:space="preserve">Qaryat Al Haidery</t>
  </si>
  <si>
    <t xml:space="preserve">الحيدري</t>
  </si>
  <si>
    <t xml:space="preserve">Sabbaghiyah</t>
  </si>
  <si>
    <r>
      <rPr>
        <sz val="10"/>
        <color rgb="FF000000"/>
        <rFont val="Lohit Devanagari"/>
        <family val="2"/>
      </rPr>
      <t xml:space="preserve">ناحية الامام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الصباغية</t>
    </r>
  </si>
  <si>
    <t xml:space="preserve">Sayed Sadiq village</t>
  </si>
  <si>
    <t xml:space="preserve">قرية سيد صادق</t>
  </si>
  <si>
    <t xml:space="preserve">Sreadib</t>
  </si>
  <si>
    <r>
      <rPr>
        <sz val="10"/>
        <color rgb="FF000000"/>
        <rFont val="Lohit Devanagari"/>
        <family val="2"/>
      </rPr>
      <t xml:space="preserve">ناحيه النيل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سريديب</t>
    </r>
  </si>
  <si>
    <t xml:space="preserve">Al-Musayab</t>
  </si>
  <si>
    <t xml:space="preserve">Abo Luka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</si>
  <si>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ابولوكه</t>
    </r>
  </si>
  <si>
    <t xml:space="preserve">Al Abtan</t>
  </si>
  <si>
    <t xml:space="preserve">ال عبطان</t>
  </si>
  <si>
    <t xml:space="preserve">Al Doob</t>
  </si>
  <si>
    <t xml:space="preserve">الدوب</t>
  </si>
  <si>
    <t xml:space="preserve">Al Gelawia</t>
  </si>
  <si>
    <t xml:space="preserve">الجيلاوية</t>
  </si>
  <si>
    <t xml:space="preserve">Al Ghadeer 2</t>
  </si>
  <si>
    <r>
      <rPr>
        <sz val="10"/>
        <color rgb="FF000000"/>
        <rFont val="Lohit Devanagari"/>
        <family val="2"/>
      </rPr>
      <t xml:space="preserve">الغدير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</si>
  <si>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Hamiyah Al Amer Village</t>
  </si>
  <si>
    <r>
      <rPr>
        <sz val="10"/>
        <color rgb="FF000000"/>
        <rFont val="Lohit Devanagari"/>
        <family val="2"/>
      </rPr>
      <t xml:space="preserve">الحامية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 عامر</t>
    </r>
  </si>
  <si>
    <t xml:space="preserve">Al Hamiyah Al Sheab Village</t>
  </si>
  <si>
    <r>
      <rPr>
        <sz val="10"/>
        <color rgb="FF000000"/>
        <rFont val="Lohit Devanagari"/>
        <family val="2"/>
      </rPr>
      <t xml:space="preserve">الحامية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 شهاب</t>
    </r>
  </si>
  <si>
    <t xml:space="preserve">Al Hamiyah-Al Mutaqedin 1</t>
  </si>
  <si>
    <r>
      <rPr>
        <sz val="10"/>
        <color rgb="FF000000"/>
        <rFont val="Lohit Devanagari"/>
        <family val="2"/>
      </rPr>
      <t xml:space="preserve">الحامية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المتقاعدين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</si>
  <si>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Hamiyah-Al Mutaqedin 2</t>
  </si>
  <si>
    <r>
      <rPr>
        <sz val="10"/>
        <color rgb="FF000000"/>
        <rFont val="Lohit Devanagari"/>
        <family val="2"/>
      </rPr>
      <t xml:space="preserve">الحامية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المتقاعدين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</si>
  <si>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Hamiyah-Oayef village</t>
  </si>
  <si>
    <r>
      <rPr>
        <sz val="10"/>
        <color rgb="FF000000"/>
        <rFont val="Lohit Devanagari"/>
        <family val="2"/>
      </rPr>
      <t xml:space="preserve">الحامية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عويف</t>
    </r>
  </si>
  <si>
    <t xml:space="preserve">Al Iskandariyah Area-Mowelha</t>
  </si>
  <si>
    <r>
      <rPr>
        <sz val="10"/>
        <color rgb="FF000000"/>
        <rFont val="Lohit Devanagari"/>
        <family val="2"/>
      </rPr>
      <t xml:space="preserve">ناحية الاسكندرية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مويلحة</t>
    </r>
  </si>
  <si>
    <t xml:space="preserve">القصبه القديمه</t>
  </si>
  <si>
    <t xml:space="preserve">Al Qasabah Al Kadimah-Al-Iskandaria-</t>
  </si>
  <si>
    <r>
      <rPr>
        <sz val="10"/>
        <color rgb="FF000000"/>
        <rFont val="Lohit Devanagari"/>
        <family val="2"/>
      </rPr>
      <t xml:space="preserve">القصبه القديمه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الاسكندرية</t>
    </r>
    <r>
      <rPr>
        <sz val="10"/>
        <color rgb="FF000000"/>
        <rFont val="Arial Narrow"/>
        <family val="2"/>
        <charset val="1"/>
      </rPr>
      <t xml:space="preserve">-</t>
    </r>
  </si>
  <si>
    <t xml:space="preserve">Al Reef Al Zaher</t>
  </si>
  <si>
    <r>
      <rPr>
        <sz val="10"/>
        <color rgb="FF000000"/>
        <rFont val="Lohit Devanagari"/>
        <family val="2"/>
      </rPr>
      <t xml:space="preserve">السدة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الريف الزاهر</t>
    </r>
  </si>
  <si>
    <t xml:space="preserve">Al Sadda-Um Al Hamam</t>
  </si>
  <si>
    <r>
      <rPr>
        <sz val="10"/>
        <color rgb="FF000000"/>
        <rFont val="Lohit Devanagari"/>
        <family val="2"/>
      </rPr>
      <t xml:space="preserve">ناحيه السده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ام الحمام</t>
    </r>
  </si>
  <si>
    <t xml:space="preserve">Al-Iskandaria-Al Intesar</t>
  </si>
  <si>
    <r>
      <rPr>
        <sz val="10"/>
        <color rgb="FF000000"/>
        <rFont val="Lohit Devanagari"/>
        <family val="2"/>
      </rPr>
      <t xml:space="preserve">ناحية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الانتصار</t>
    </r>
  </si>
  <si>
    <t xml:space="preserve">Al-Iskandaria-Hay Al-Muthana</t>
  </si>
  <si>
    <t xml:space="preserve">حي المثنى</t>
  </si>
  <si>
    <t xml:space="preserve">Al-Iskandaria-Shawara AlKhudhir</t>
  </si>
  <si>
    <t xml:space="preserve">شوارع الخضر</t>
  </si>
  <si>
    <t xml:space="preserve">Al-Jazirah-Al Eskandariya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</si>
  <si>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الجزيره</t>
    </r>
  </si>
  <si>
    <t xml:space="preserve">Al-Shoyokh</t>
  </si>
  <si>
    <t xml:space="preserve">الشيوخ</t>
  </si>
  <si>
    <t xml:space="preserve">Al-Sikak 2</t>
  </si>
  <si>
    <r>
      <rPr>
        <sz val="10"/>
        <color rgb="FF000000"/>
        <rFont val="Lohit Devanagari"/>
        <family val="2"/>
      </rPr>
      <t xml:space="preserve">السكك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</si>
  <si>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Albo Hamdan</t>
  </si>
  <si>
    <t xml:space="preserve">البو حمدان</t>
  </si>
  <si>
    <t xml:space="preserve">Alshejairea-Al Sada</t>
  </si>
  <si>
    <r>
      <rPr>
        <sz val="10"/>
        <color rgb="FF000000"/>
        <rFont val="Lohit Devanagari"/>
        <family val="2"/>
      </rPr>
      <t xml:space="preserve">ناحيه السده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قريه الشجيريه</t>
    </r>
  </si>
  <si>
    <t xml:space="preserve">Awlad Kazim</t>
  </si>
  <si>
    <t xml:space="preserve">اولاد كاظم</t>
  </si>
  <si>
    <t xml:space="preserve">Awlad Muslim</t>
  </si>
  <si>
    <t xml:space="preserve">اولاد مسلم</t>
  </si>
  <si>
    <t xml:space="preserve">Hay Aday-Al Eskandariya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</si>
  <si>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عداي</t>
    </r>
  </si>
  <si>
    <t xml:space="preserve">Hay Al Amer</t>
  </si>
  <si>
    <t xml:space="preserve">حي الامير</t>
  </si>
  <si>
    <t xml:space="preserve">Hay Al Ataba</t>
  </si>
  <si>
    <t xml:space="preserve">حي الاطباء</t>
  </si>
  <si>
    <t xml:space="preserve">Hay Al Baladea</t>
  </si>
  <si>
    <t xml:space="preserve">حي البلديه</t>
  </si>
  <si>
    <t xml:space="preserve">Hay Al Ghadeer 1</t>
  </si>
  <si>
    <r>
      <rPr>
        <sz val="10"/>
        <color rgb="FF000000"/>
        <rFont val="Lohit Devanagari"/>
        <family val="2"/>
      </rPr>
      <t xml:space="preserve">الغدير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</si>
  <si>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Ghadeer 3</t>
  </si>
  <si>
    <r>
      <rPr>
        <sz val="10"/>
        <color rgb="FF000000"/>
        <rFont val="Lohit Devanagari"/>
        <family val="2"/>
      </rPr>
      <t xml:space="preserve">الغدير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</si>
  <si>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Al Ghadeer 4</t>
  </si>
  <si>
    <r>
      <rPr>
        <sz val="10"/>
        <color rgb="FF000000"/>
        <rFont val="Lohit Devanagari"/>
        <family val="2"/>
      </rPr>
      <t xml:space="preserve">الغدير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</si>
  <si>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Hay Al Moatnen 1</t>
  </si>
  <si>
    <r>
      <rPr>
        <sz val="10"/>
        <color rgb="FF000000"/>
        <rFont val="Lohit Devanagari"/>
        <family val="2"/>
      </rPr>
      <t xml:space="preserve">حي المواطنين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</si>
  <si>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Moatnen 2</t>
  </si>
  <si>
    <r>
      <rPr>
        <sz val="10"/>
        <color rgb="FF000000"/>
        <rFont val="Lohit Devanagari"/>
        <family val="2"/>
      </rPr>
      <t xml:space="preserve">حي المواطنين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</si>
  <si>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 Moatnen 3</t>
  </si>
  <si>
    <r>
      <rPr>
        <sz val="10"/>
        <color rgb="FF000000"/>
        <rFont val="Lohit Devanagari"/>
        <family val="2"/>
      </rPr>
      <t xml:space="preserve">حي المواطنين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</si>
  <si>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Al Mowadhafeen</t>
  </si>
  <si>
    <t xml:space="preserve">Hay Al Quds-Al Eskandariya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</si>
  <si>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القدس</t>
    </r>
  </si>
  <si>
    <t xml:space="preserve">Hay Al Ray</t>
  </si>
  <si>
    <r>
      <rPr>
        <sz val="10"/>
        <color rgb="FF000000"/>
        <rFont val="Lohit Devanagari"/>
        <family val="2"/>
      </rPr>
      <t xml:space="preserve">ناحيه السده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الري</t>
    </r>
  </si>
  <si>
    <t xml:space="preserve">Hay Al-Anwar-Al Eskandariya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</si>
  <si>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الانوار</t>
    </r>
  </si>
  <si>
    <t xml:space="preserve">Hay al-hussein</t>
  </si>
  <si>
    <t xml:space="preserve">حي الحسين</t>
  </si>
  <si>
    <t xml:space="preserve">الجمهوريه</t>
  </si>
  <si>
    <t xml:space="preserve">Hay Al-Mustafa</t>
  </si>
  <si>
    <t xml:space="preserve">حي المصطفى</t>
  </si>
  <si>
    <t xml:space="preserve">Hay Al-Rafedain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</si>
  <si>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الرافدين</t>
    </r>
  </si>
  <si>
    <t xml:space="preserve">Hay Al-Risalah-Al Eskandariya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</si>
  <si>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الرساله</t>
    </r>
  </si>
  <si>
    <t xml:space="preserve">Hay Al-Sajaad</t>
  </si>
  <si>
    <t xml:space="preserve">حي السجاد</t>
  </si>
  <si>
    <t xml:space="preserve">Hay Al-Shuhadaa</t>
  </si>
  <si>
    <t xml:space="preserve">Hay AlAbbas</t>
  </si>
  <si>
    <t xml:space="preserve">حي العباس</t>
  </si>
  <si>
    <t xml:space="preserve">Hay Alaskarey</t>
  </si>
  <si>
    <r>
      <rPr>
        <sz val="10"/>
        <color rgb="FF000000"/>
        <rFont val="Lohit Devanagari"/>
        <family val="2"/>
      </rPr>
      <t xml:space="preserve">ناحيه الاسكندريه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العسكري</t>
    </r>
  </si>
  <si>
    <t xml:space="preserve">Hay Alaskary-AlThaghet</t>
  </si>
  <si>
    <r>
      <rPr>
        <sz val="10"/>
        <color rgb="FF000000"/>
        <rFont val="Lohit Devanagari"/>
        <family val="2"/>
      </rPr>
      <t xml:space="preserve">حي العسكري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الضغط</t>
    </r>
  </si>
  <si>
    <t xml:space="preserve">Hay AlHussein</t>
  </si>
  <si>
    <t xml:space="preserve">Hay Almualmeen 1</t>
  </si>
  <si>
    <r>
      <rPr>
        <sz val="10"/>
        <color rgb="FF000000"/>
        <rFont val="Lohit Devanagari"/>
        <family val="2"/>
      </rPr>
      <t xml:space="preserve">حي المعلمين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</si>
  <si>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Almualmeen 2</t>
  </si>
  <si>
    <r>
      <rPr>
        <sz val="10"/>
        <color rgb="FF000000"/>
        <rFont val="Lohit Devanagari"/>
        <family val="2"/>
      </rPr>
      <t xml:space="preserve">حي المعلمين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</si>
  <si>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Almualmeen 3</t>
  </si>
  <si>
    <r>
      <rPr>
        <sz val="10"/>
        <color rgb="FF000000"/>
        <rFont val="Lohit Devanagari"/>
        <family val="2"/>
      </rPr>
      <t xml:space="preserve">حي المعلمين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</si>
  <si>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Hitten Complex</t>
  </si>
  <si>
    <t xml:space="preserve">اسكان حطين</t>
  </si>
  <si>
    <t xml:space="preserve">Hur Husaein</t>
  </si>
  <si>
    <t xml:space="preserve">هور حسين</t>
  </si>
  <si>
    <t xml:space="preserve">Mafrg AlSada</t>
  </si>
  <si>
    <t xml:space="preserve">مفرق السده</t>
  </si>
  <si>
    <t xml:space="preserve">Sadat Al-Ameir</t>
  </si>
  <si>
    <r>
      <rPr>
        <sz val="10"/>
        <color rgb="FF000000"/>
        <rFont val="Lohit Devanagari"/>
        <family val="2"/>
      </rPr>
      <t xml:space="preserve">السدة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الامير</t>
    </r>
  </si>
  <si>
    <t xml:space="preserve">Saddat Al Zahraa</t>
  </si>
  <si>
    <r>
      <rPr>
        <sz val="10"/>
        <color rgb="FF000000"/>
        <rFont val="Lohit Devanagari"/>
        <family val="2"/>
      </rPr>
      <t xml:space="preserve">ناحية السده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</si>
  <si>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Shara AlSada Alkadeem</t>
  </si>
  <si>
    <t xml:space="preserve">شارع السده القديم</t>
  </si>
  <si>
    <t xml:space="preserve">Hashimiya</t>
  </si>
  <si>
    <t xml:space="preserve">Abo Derbash Al Midhatiyah</t>
  </si>
  <si>
    <r>
      <rPr>
        <sz val="10"/>
        <color rgb="FF000000"/>
        <rFont val="Lohit Devanagari"/>
        <family val="2"/>
      </rPr>
      <t xml:space="preserve">ناحية المدحتية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درباش</t>
    </r>
  </si>
  <si>
    <t xml:space="preserve">Al Andlos</t>
  </si>
  <si>
    <t xml:space="preserve">الاندلس</t>
  </si>
  <si>
    <t xml:space="preserve">Al Ansaar</t>
  </si>
  <si>
    <t xml:space="preserve">الانصار</t>
  </si>
  <si>
    <t xml:space="preserve">Al Dabla</t>
  </si>
  <si>
    <t xml:space="preserve">الدبلة</t>
  </si>
  <si>
    <t xml:space="preserve">Al Droa-Al Qasim Area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</si>
  <si>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الدروع</t>
    </r>
  </si>
  <si>
    <t xml:space="preserve">Al Hajj Ubaid</t>
  </si>
  <si>
    <t xml:space="preserve">الحاج عبيد</t>
  </si>
  <si>
    <t xml:space="preserve">Al Husen-Al Midhatiya</t>
  </si>
  <si>
    <r>
      <rPr>
        <sz val="10"/>
        <color rgb="FF000000"/>
        <rFont val="Lohit Devanagari"/>
        <family val="2"/>
      </rPr>
      <t xml:space="preserve">ناحية المدحتية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الحصين</t>
    </r>
  </si>
  <si>
    <t xml:space="preserve">Al Madhatiyah-Al Qasabah Al kadimah</t>
  </si>
  <si>
    <r>
      <rPr>
        <sz val="10"/>
        <color rgb="FF000000"/>
        <rFont val="Lohit Devanagari"/>
        <family val="2"/>
      </rPr>
      <t xml:space="preserve">ناحية المدحتيه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القصبة القديمة</t>
    </r>
  </si>
  <si>
    <t xml:space="preserve">Al Madhatiyah-Hay Imam</t>
  </si>
  <si>
    <r>
      <rPr>
        <sz val="10"/>
        <color rgb="FF000000"/>
        <rFont val="Lohit Devanagari"/>
        <family val="2"/>
      </rPr>
      <t xml:space="preserve">ناحية المدحتية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الامام</t>
    </r>
  </si>
  <si>
    <t xml:space="preserve">Al Midhatiyah-Hay Al Zahraa</t>
  </si>
  <si>
    <r>
      <rPr>
        <sz val="10"/>
        <color rgb="FF000000"/>
        <rFont val="Lohit Devanagari"/>
        <family val="2"/>
      </rPr>
      <t xml:space="preserve">ناحية المدحتية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</si>
  <si>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Al Nasser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</si>
  <si>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النصر</t>
    </r>
  </si>
  <si>
    <t xml:space="preserve">Al Qasim Area-Al Qasabah Al kadima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</si>
  <si>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القصبة القديمة</t>
    </r>
  </si>
  <si>
    <t xml:space="preserve">Al Qasim-Al Askari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</si>
  <si>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العسكري</t>
    </r>
  </si>
  <si>
    <t xml:space="preserve">Al Qassim-Al Janabeen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</si>
  <si>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الجنابيين</t>
    </r>
  </si>
  <si>
    <t xml:space="preserve">Al Qassim-Hay Al Fayadheyia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</si>
  <si>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الفياضية</t>
    </r>
  </si>
  <si>
    <t xml:space="preserve">Al Qassim-Hay Al Ghadeer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</si>
  <si>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الغدير</t>
    </r>
  </si>
  <si>
    <t xml:space="preserve">Al Qassim-Hay Al Sinaee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</si>
  <si>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الصناعي</t>
    </r>
  </si>
  <si>
    <t xml:space="preserve">Al Sadah Al Baharnah</t>
  </si>
  <si>
    <t xml:space="preserve">السادة البحارنة</t>
  </si>
  <si>
    <t xml:space="preserve">Al Seaidy</t>
  </si>
  <si>
    <t xml:space="preserve">السعيدي</t>
  </si>
  <si>
    <t xml:space="preserve">Al Shomaly-Hay Al Oroba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</si>
  <si>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العروبه</t>
    </r>
  </si>
  <si>
    <t xml:space="preserve">Al Shomaly-Hay Al Sada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</si>
  <si>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الساده</t>
    </r>
  </si>
  <si>
    <t xml:space="preserve">Al Shoumly-Al Jawadia village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</si>
  <si>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الجواديه</t>
    </r>
  </si>
  <si>
    <t xml:space="preserve">Al Taleeaa-Al Gamiea wa Al Hussainea</t>
  </si>
  <si>
    <r>
      <rPr>
        <sz val="10"/>
        <color rgb="FF000000"/>
        <rFont val="Lohit Devanagari"/>
        <family val="2"/>
      </rPr>
      <t xml:space="preserve">ناحية الطليعة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الجمعية والحسينية</t>
    </r>
  </si>
  <si>
    <t xml:space="preserve">Al Taleeaa-Gishir</t>
  </si>
  <si>
    <r>
      <rPr>
        <sz val="10"/>
        <color rgb="FF000000"/>
        <rFont val="Lohit Devanagari"/>
        <family val="2"/>
      </rPr>
      <t xml:space="preserve">ناحية الطليعة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كشر</t>
    </r>
  </si>
  <si>
    <t xml:space="preserve">Al Yaseeya</t>
  </si>
  <si>
    <t xml:space="preserve">الياسيه</t>
  </si>
  <si>
    <t xml:space="preserve">Al Zabbar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</si>
  <si>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الزبار</t>
    </r>
  </si>
  <si>
    <t xml:space="preserve">Al-ibrahemiyah</t>
  </si>
  <si>
    <t xml:space="preserve">الابراهيمية</t>
  </si>
  <si>
    <t xml:space="preserve">Al-khiweldiyah</t>
  </si>
  <si>
    <t xml:space="preserve">الخويلدية</t>
  </si>
  <si>
    <t xml:space="preserve">Al-Madhatiya-Al Ghazali Village</t>
  </si>
  <si>
    <t xml:space="preserve">قرية الغزالي</t>
  </si>
  <si>
    <t xml:space="preserve">Al-mazeiadeiah</t>
  </si>
  <si>
    <t xml:space="preserve">المزيدية</t>
  </si>
  <si>
    <t xml:space="preserve">Al-rawashed</t>
  </si>
  <si>
    <t xml:space="preserve">الرواشد</t>
  </si>
  <si>
    <t xml:space="preserve">Al-Sada Al-Shurafa</t>
  </si>
  <si>
    <t xml:space="preserve">الساده الشرفه</t>
  </si>
  <si>
    <t xml:space="preserve">Al-Taleeaa-Al Ghadeer</t>
  </si>
  <si>
    <t xml:space="preserve">حي الغدير</t>
  </si>
  <si>
    <t xml:space="preserve">Al-Taleeaa-Zona</t>
  </si>
  <si>
    <t xml:space="preserve">زونه</t>
  </si>
  <si>
    <t xml:space="preserve">Albo Abdullah Village</t>
  </si>
  <si>
    <r>
      <rPr>
        <sz val="10"/>
        <color rgb="FF000000"/>
        <rFont val="Lohit Devanagari"/>
        <family val="2"/>
      </rPr>
      <t xml:space="preserve">ناحية المدحتية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البو عبدالله</t>
    </r>
  </si>
  <si>
    <t xml:space="preserve">Albo Rakhees</t>
  </si>
  <si>
    <t xml:space="preserve">البو رخيص</t>
  </si>
  <si>
    <t xml:space="preserve">Albu Fayadh</t>
  </si>
  <si>
    <t xml:space="preserve">البو فياض</t>
  </si>
  <si>
    <t xml:space="preserve">Albu Saabar</t>
  </si>
  <si>
    <t xml:space="preserve">البو سعبر</t>
  </si>
  <si>
    <t xml:space="preserve">Bakkan village</t>
  </si>
  <si>
    <t xml:space="preserve">قرية بكان</t>
  </si>
  <si>
    <t xml:space="preserve">Bermana villge</t>
  </si>
  <si>
    <t xml:space="preserve">قرية بيرمانة</t>
  </si>
  <si>
    <t xml:space="preserve">Hay Al Ameer-1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</si>
  <si>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</si>
  <si>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Hay Al Ameer-2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</si>
  <si>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</si>
  <si>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Hay Al Ameer-3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</si>
  <si>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</si>
  <si>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Hay Al Ameer-4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</si>
  <si>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-4</t>
    </r>
  </si>
  <si>
    <t xml:space="preserve">Hay Al Ameer-5</t>
  </si>
  <si>
    <r>
      <rPr>
        <sz val="10"/>
        <color rgb="FF000000"/>
        <rFont val="Lohit Devanagari"/>
        <family val="2"/>
      </rPr>
      <t xml:space="preserve">حي الامير</t>
    </r>
    <r>
      <rPr>
        <sz val="10"/>
        <color rgb="FF000000"/>
        <rFont val="Arial Narrow"/>
        <family val="2"/>
        <charset val="1"/>
      </rPr>
      <t xml:space="preserve">-5</t>
    </r>
  </si>
  <si>
    <t xml:space="preserve">Hay Al Intifadheh</t>
  </si>
  <si>
    <r>
      <rPr>
        <sz val="10"/>
        <color rgb="FF000000"/>
        <rFont val="Lohit Devanagari"/>
        <family val="2"/>
      </rPr>
      <t xml:space="preserve">مركز القضاء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الانتفاضه</t>
    </r>
  </si>
  <si>
    <t xml:space="preserve">Hay Al Jawadain</t>
  </si>
  <si>
    <t xml:space="preserve">Hay Al Waily</t>
  </si>
  <si>
    <t xml:space="preserve">حي الوائلي</t>
  </si>
  <si>
    <t xml:space="preserve">Hay Al Zahraa-Qassim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</si>
  <si>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القاسم</t>
    </r>
  </si>
  <si>
    <t xml:space="preserve">Hay al-humran</t>
  </si>
  <si>
    <t xml:space="preserve">الحمران</t>
  </si>
  <si>
    <t xml:space="preserve">Hay Al-Hussein-1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</si>
  <si>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</si>
  <si>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Hay Al-Hussein-2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</si>
  <si>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</si>
  <si>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Hay Al-Hussein-3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</si>
  <si>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</si>
  <si>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Hay Al-Hussein-4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</si>
  <si>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-4</t>
    </r>
  </si>
  <si>
    <t xml:space="preserve">Hay Al-Hussein-5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</si>
  <si>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-5</t>
    </r>
  </si>
  <si>
    <t xml:space="preserve">Hay Al-Jamiea</t>
  </si>
  <si>
    <t xml:space="preserve">حي الجمعيه</t>
  </si>
  <si>
    <t xml:space="preserve">Hay al-jasmiyah</t>
  </si>
  <si>
    <t xml:space="preserve">الجاسمية</t>
  </si>
  <si>
    <t xml:space="preserve">Hay al-jidedah</t>
  </si>
  <si>
    <t xml:space="preserve">الجديدة</t>
  </si>
  <si>
    <t xml:space="preserve">حي الصادق</t>
  </si>
  <si>
    <t xml:space="preserve">Hay al-tahady</t>
  </si>
  <si>
    <r>
      <rPr>
        <sz val="10"/>
        <color rgb="FF000000"/>
        <rFont val="Lohit Devanagari"/>
        <family val="2"/>
      </rPr>
      <t xml:space="preserve">ناحية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التحدي</t>
    </r>
  </si>
  <si>
    <t xml:space="preserve">Hay al-wihdah</t>
  </si>
  <si>
    <t xml:space="preserve">الوحدة</t>
  </si>
  <si>
    <t xml:space="preserve">Hay Al-Zahraa</t>
  </si>
  <si>
    <r>
      <rPr>
        <sz val="10"/>
        <color rgb="FF000000"/>
        <rFont val="Lohit Devanagari"/>
        <family val="2"/>
      </rPr>
      <t xml:space="preserve">مركز القضاء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</si>
  <si>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Hay alosh</t>
  </si>
  <si>
    <t xml:space="preserve">حي علوش</t>
  </si>
  <si>
    <t xml:space="preserve">Hay khirbatt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</si>
  <si>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خرباط</t>
    </r>
  </si>
  <si>
    <t xml:space="preserve">Hay Um Ayash</t>
  </si>
  <si>
    <r>
      <rPr>
        <sz val="10"/>
        <color rgb="FF000000"/>
        <rFont val="Lohit Devanagari"/>
        <family val="2"/>
      </rPr>
      <t xml:space="preserve">ناحية القاسم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ام عياش</t>
    </r>
  </si>
  <si>
    <t xml:space="preserve">Khalaf al-imam</t>
  </si>
  <si>
    <t xml:space="preserve">خلف الامام</t>
  </si>
  <si>
    <t xml:space="preserve">Musa Al Kadhum</t>
  </si>
  <si>
    <t xml:space="preserve">حي موسى الكاظم</t>
  </si>
  <si>
    <t xml:space="preserve">Qaryat Al Tiyas</t>
  </si>
  <si>
    <t xml:space="preserve">قرية التياس</t>
  </si>
  <si>
    <t xml:space="preserve">Hilla</t>
  </si>
  <si>
    <t xml:space="preserve">Abi gharaq al-awsatt</t>
  </si>
  <si>
    <t xml:space="preserve">ابي غرق الاوسط</t>
  </si>
  <si>
    <t xml:space="preserve">Abi Gharaq-Ahmed Ben Kadhum</t>
  </si>
  <si>
    <t xml:space="preserve">قرية احمد بن كاظم</t>
  </si>
  <si>
    <t xml:space="preserve">Abi Gharaq-Al Shurta</t>
  </si>
  <si>
    <t xml:space="preserve">حي الشرطه</t>
  </si>
  <si>
    <t xml:space="preserve">Abi Gharaq-Albu Hamdan</t>
  </si>
  <si>
    <t xml:space="preserve">قرية البو حمدان</t>
  </si>
  <si>
    <t xml:space="preserve">Abi Gharaq-Hay Al Ahrar</t>
  </si>
  <si>
    <t xml:space="preserve">حي الاحرار</t>
  </si>
  <si>
    <t xml:space="preserve">Abi Gharaq-Musa Al Kadhum</t>
  </si>
  <si>
    <t xml:space="preserve">قرية موسى الكاظم</t>
  </si>
  <si>
    <t xml:space="preserve">Abi Gharaq-Rack Sweelim</t>
  </si>
  <si>
    <t xml:space="preserve">راك سويلم</t>
  </si>
  <si>
    <t xml:space="preserve">Abo Hadma</t>
  </si>
  <si>
    <t xml:space="preserve">ابو هدمة</t>
  </si>
  <si>
    <t xml:space="preserve">Abo Smeech</t>
  </si>
  <si>
    <t xml:space="preserve">ابو سميج</t>
  </si>
  <si>
    <t xml:space="preserve">Abu Khastawi</t>
  </si>
  <si>
    <t xml:space="preserve">أبو خستاوي</t>
  </si>
  <si>
    <t xml:space="preserve">Al Abodiya</t>
  </si>
  <si>
    <t xml:space="preserve">العبوديه</t>
  </si>
  <si>
    <t xml:space="preserve">Al adel</t>
  </si>
  <si>
    <t xml:space="preserve">العدل</t>
  </si>
  <si>
    <t xml:space="preserve">Al Akrameen</t>
  </si>
  <si>
    <t xml:space="preserve">الاكرمين</t>
  </si>
  <si>
    <t xml:space="preserve">Al Bakraly-1</t>
  </si>
  <si>
    <r>
      <rPr>
        <sz val="10"/>
        <color rgb="FF000000"/>
        <rFont val="Lohit Devanagari"/>
        <family val="2"/>
      </rPr>
      <t xml:space="preserve">البكرلي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</si>
  <si>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Al Bakraly-3</t>
  </si>
  <si>
    <r>
      <rPr>
        <sz val="10"/>
        <color rgb="FF000000"/>
        <rFont val="Lohit Devanagari"/>
        <family val="2"/>
      </rPr>
      <t xml:space="preserve">البكرلي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</si>
  <si>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Al Baqer</t>
  </si>
  <si>
    <t xml:space="preserve">قرية الباقر</t>
  </si>
  <si>
    <t xml:space="preserve">Al Daghaghla-Abu Gharaq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</si>
  <si>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الدغاغله</t>
    </r>
  </si>
  <si>
    <t xml:space="preserve">Al Dola</t>
  </si>
  <si>
    <t xml:space="preserve">الدوله</t>
  </si>
  <si>
    <t xml:space="preserve">Al Dolab villge</t>
  </si>
  <si>
    <t xml:space="preserve">قرية الدولاب</t>
  </si>
  <si>
    <t xml:space="preserve">Al Ghales</t>
  </si>
  <si>
    <t xml:space="preserve">الغليس</t>
  </si>
  <si>
    <t xml:space="preserve">Al Hamam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</si>
  <si>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الحمام</t>
    </r>
  </si>
  <si>
    <t xml:space="preserve">Al Hay Al Askary-Street 80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</si>
  <si>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-80</t>
    </r>
  </si>
  <si>
    <t xml:space="preserve">Al Hukam Al Rafdeen</t>
  </si>
  <si>
    <t xml:space="preserve">الحكام والرافدين</t>
  </si>
  <si>
    <t xml:space="preserve">Al Ibrahimiyah-Al Mashtah</t>
  </si>
  <si>
    <t xml:space="preserve">الابراهيمية والماشطة</t>
  </si>
  <si>
    <t xml:space="preserve">Al Imam Zaid</t>
  </si>
  <si>
    <t xml:space="preserve">الامام زيد</t>
  </si>
  <si>
    <t xml:space="preserve">Al Iskan</t>
  </si>
  <si>
    <t xml:space="preserve">الاسكان</t>
  </si>
  <si>
    <t xml:space="preserve">Al Jamieen</t>
  </si>
  <si>
    <t xml:space="preserve">حي الجامعين</t>
  </si>
  <si>
    <t xml:space="preserve">Al Jamjamah</t>
  </si>
  <si>
    <t xml:space="preserve">الجمجمة</t>
  </si>
  <si>
    <t xml:space="preserve">Al jazaer</t>
  </si>
  <si>
    <t xml:space="preserve">الجزائر</t>
  </si>
  <si>
    <t xml:space="preserve">Al Jazrah-Siha</t>
  </si>
  <si>
    <t xml:space="preserve">الجزره والصحة</t>
  </si>
  <si>
    <t xml:space="preserve">Al Kafal Area-Al Shahbiyah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</si>
  <si>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الشهابية</t>
    </r>
  </si>
  <si>
    <t xml:space="preserve">Al Kafal-Khan Sayed Nour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</si>
  <si>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خان سيد نور</t>
    </r>
  </si>
  <si>
    <t xml:space="preserve">Al Kafel-7 Nissan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</si>
  <si>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-7 </t>
    </r>
    <r>
      <rPr>
        <sz val="10"/>
        <color rgb="FF000000"/>
        <rFont val="Lohit Devanagari"/>
        <family val="2"/>
      </rPr>
      <t xml:space="preserve">نيسان</t>
    </r>
  </si>
  <si>
    <t xml:space="preserve">Al Kefel-Al Qasaba Al Qadima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</si>
  <si>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القصبة القديمة</t>
    </r>
  </si>
  <si>
    <t xml:space="preserve">Al Kifil-Al Emam Al Khidhir</t>
  </si>
  <si>
    <r>
      <rPr>
        <sz val="10"/>
        <color rgb="FF000000"/>
        <rFont val="Lohit Devanagari"/>
        <family val="2"/>
      </rPr>
      <t xml:space="preserve">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الامام الخضر</t>
    </r>
  </si>
  <si>
    <t xml:space="preserve">Al Kifil-Al Meghadhbia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</si>
  <si>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المغضبيه</t>
    </r>
  </si>
  <si>
    <t xml:space="preserve">Al Kifil-Barthawil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</si>
  <si>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برذويل</t>
    </r>
  </si>
  <si>
    <t xml:space="preserve">Al Kifil-Hay Al Zahraa</t>
  </si>
  <si>
    <r>
      <rPr>
        <sz val="10"/>
        <color rgb="FF000000"/>
        <rFont val="Lohit Devanagari"/>
        <family val="2"/>
      </rPr>
      <t xml:space="preserve">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</si>
  <si>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Al Maamra</t>
  </si>
  <si>
    <t xml:space="preserve">المعامره</t>
  </si>
  <si>
    <t xml:space="preserve">Al Marana</t>
  </si>
  <si>
    <t xml:space="preserve">المرانة</t>
  </si>
  <si>
    <t xml:space="preserve">Al Meleweia</t>
  </si>
  <si>
    <t xml:space="preserve">المليوية</t>
  </si>
  <si>
    <t xml:space="preserve">Al Mualmeen</t>
  </si>
  <si>
    <t xml:space="preserve">Al Mulhaq</t>
  </si>
  <si>
    <t xml:space="preserve">الملحق</t>
  </si>
  <si>
    <t xml:space="preserve">Al Murtada 2</t>
  </si>
  <si>
    <r>
      <rPr>
        <sz val="10"/>
        <color rgb="FF000000"/>
        <rFont val="Lohit Devanagari"/>
        <family val="2"/>
      </rPr>
      <t xml:space="preserve">المرتضى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</si>
  <si>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Nakhilah Al Sharqiyah</t>
  </si>
  <si>
    <t xml:space="preserve">النخيلة الشرقية</t>
  </si>
  <si>
    <t xml:space="preserve">Al Neaamya</t>
  </si>
  <si>
    <t xml:space="preserve">النعيمية</t>
  </si>
  <si>
    <t xml:space="preserve">Al Neshaish</t>
  </si>
  <si>
    <t xml:space="preserve">النشيش</t>
  </si>
  <si>
    <t xml:space="preserve">Al Oufy village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</si>
  <si>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عوفي</t>
    </r>
  </si>
  <si>
    <t xml:space="preserve">Al Rashediyah</t>
  </si>
  <si>
    <t xml:space="preserve">الرشيدية</t>
  </si>
  <si>
    <t xml:space="preserve">Al Sajad Alshimaly</t>
  </si>
  <si>
    <t xml:space="preserve">السجاد الشمالي</t>
  </si>
  <si>
    <t xml:space="preserve">Al Sayih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</si>
  <si>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السايح</t>
    </r>
  </si>
  <si>
    <t xml:space="preserve">Al Shuhadaa</t>
  </si>
  <si>
    <t xml:space="preserve">Al Taaes</t>
  </si>
  <si>
    <t xml:space="preserve">التعيس</t>
  </si>
  <si>
    <t xml:space="preserve">Al Taqa-Abu Gharaq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</si>
  <si>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الطاقة</t>
    </r>
  </si>
  <si>
    <t xml:space="preserve">Al Thawra Al Gharbiya</t>
  </si>
  <si>
    <r>
      <rPr>
        <sz val="10"/>
        <color rgb="FF000000"/>
        <rFont val="Lohit Devanagari"/>
        <family val="2"/>
      </rPr>
      <t xml:space="preserve">مركز المدينة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الثورة الغربية</t>
    </r>
  </si>
  <si>
    <t xml:space="preserve">Al Tuhmazya</t>
  </si>
  <si>
    <t xml:space="preserve">الطهمازيه</t>
  </si>
  <si>
    <t xml:space="preserve">Al Wardiyah-Dakhel</t>
  </si>
  <si>
    <r>
      <rPr>
        <sz val="10"/>
        <color rgb="FF000000"/>
        <rFont val="Lohit Devanagari"/>
        <family val="2"/>
      </rPr>
      <t xml:space="preserve">الوردية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داخل</t>
    </r>
  </si>
  <si>
    <t xml:space="preserve">Al Wardiyah-Kharj</t>
  </si>
  <si>
    <r>
      <rPr>
        <sz val="10"/>
        <color rgb="FF000000"/>
        <rFont val="Lohit Devanagari"/>
        <family val="2"/>
      </rPr>
      <t xml:space="preserve">الوردية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خارج</t>
    </r>
  </si>
  <si>
    <t xml:space="preserve">Al Yousfya-Abu Gharaq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</si>
  <si>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اليوسفيه</t>
    </r>
  </si>
  <si>
    <t xml:space="preserve">Al-Askari-Al Mashtal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</si>
  <si>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المشتل</t>
    </r>
  </si>
  <si>
    <t xml:space="preserve">Al-Askari-Al Wesiya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</si>
  <si>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الويسية</t>
    </r>
  </si>
  <si>
    <t xml:space="preserve">Al-hamadiyat</t>
  </si>
  <si>
    <t xml:space="preserve">حماديات</t>
  </si>
  <si>
    <t xml:space="preserve">Al-Kifil-Hay Al Ghadeer</t>
  </si>
  <si>
    <t xml:space="preserve">Al-Kifil-Hay Al Hussain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</si>
  <si>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الكفل</t>
    </r>
  </si>
  <si>
    <t xml:space="preserve">Al-miamrah</t>
  </si>
  <si>
    <t xml:space="preserve">المعيميره</t>
  </si>
  <si>
    <t xml:space="preserve">Al-Muhandiseen 4</t>
  </si>
  <si>
    <r>
      <rPr>
        <sz val="10"/>
        <color rgb="FF000000"/>
        <rFont val="Lohit Devanagari"/>
        <family val="2"/>
      </rPr>
      <t xml:space="preserve">حي المهندسين</t>
    </r>
    <r>
      <rPr>
        <sz val="10"/>
        <color rgb="FF000000"/>
        <rFont val="Arial Narrow"/>
        <family val="2"/>
        <charset val="1"/>
      </rPr>
      <t xml:space="preserve">-4</t>
    </r>
  </si>
  <si>
    <t xml:space="preserve">Al-muradiyah</t>
  </si>
  <si>
    <r>
      <rPr>
        <sz val="10"/>
        <color rgb="FF000000"/>
        <rFont val="Lohit Devanagari"/>
        <family val="2"/>
      </rPr>
      <t xml:space="preserve">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المرادية</t>
    </r>
  </si>
  <si>
    <t xml:space="preserve">Al-nidhal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</si>
  <si>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النضال</t>
    </r>
  </si>
  <si>
    <t xml:space="preserve">Al-Nikhela Al-Garbia</t>
  </si>
  <si>
    <t xml:space="preserve">النخيلة الغربية</t>
  </si>
  <si>
    <t xml:space="preserve">Al-Rarengya</t>
  </si>
  <si>
    <r>
      <rPr>
        <sz val="10"/>
        <color rgb="FF000000"/>
        <rFont val="Lohit Devanagari"/>
        <family val="2"/>
      </rPr>
      <t xml:space="preserve">ناحية الكفل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الرارنجية</t>
    </r>
  </si>
  <si>
    <t xml:space="preserve">Al-Shawi</t>
  </si>
  <si>
    <t xml:space="preserve">الشاوي</t>
  </si>
  <si>
    <t xml:space="preserve">Al-Thawra Al-Sharqia</t>
  </si>
  <si>
    <r>
      <rPr>
        <sz val="10"/>
        <color rgb="FF000000"/>
        <rFont val="Lohit Devanagari"/>
        <family val="2"/>
      </rPr>
      <t xml:space="preserve">مركز القضاء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الثورة الشرقية</t>
    </r>
  </si>
  <si>
    <t xml:space="preserve">Alataig</t>
  </si>
  <si>
    <t xml:space="preserve">العتايج</t>
  </si>
  <si>
    <t xml:space="preserve">Albo Alyan</t>
  </si>
  <si>
    <t xml:space="preserve">البو عليان</t>
  </si>
  <si>
    <t xml:space="preserve">Albo Hamir</t>
  </si>
  <si>
    <t xml:space="preserve">البو حمير</t>
  </si>
  <si>
    <t xml:space="preserve">Albu Ajaaj</t>
  </si>
  <si>
    <t xml:space="preserve">البو عجاج</t>
  </si>
  <si>
    <t xml:space="preserve">AlMarashdah Villge</t>
  </si>
  <si>
    <t xml:space="preserve">قرية المراشده</t>
  </si>
  <si>
    <t xml:space="preserve">Alsania-Gubran</t>
  </si>
  <si>
    <t xml:space="preserve">السنيه و جبران</t>
  </si>
  <si>
    <t xml:space="preserve">Anana village</t>
  </si>
  <si>
    <t xml:space="preserve">عنانه</t>
  </si>
  <si>
    <t xml:space="preserve">Bab Al Hussien</t>
  </si>
  <si>
    <t xml:space="preserve">باب الحسين</t>
  </si>
  <si>
    <t xml:space="preserve">Bani Muslim</t>
  </si>
  <si>
    <t xml:space="preserve">بني مسلم</t>
  </si>
  <si>
    <t xml:space="preserve">Bustan Al-helu</t>
  </si>
  <si>
    <t xml:space="preserve">بستان الحلو</t>
  </si>
  <si>
    <t xml:space="preserve">Emhezem Al Qadima</t>
  </si>
  <si>
    <t xml:space="preserve">محيزم القديمة</t>
  </si>
  <si>
    <t xml:space="preserve">Faza Village</t>
  </si>
  <si>
    <t xml:space="preserve">قرية فزع</t>
  </si>
  <si>
    <t xml:space="preserve">Hamza Al Dali Village</t>
  </si>
  <si>
    <t xml:space="preserve">قرية حمزه الدلي</t>
  </si>
  <si>
    <t xml:space="preserve">Hay Abo Al Nafot</t>
  </si>
  <si>
    <t xml:space="preserve">حي ابو النفط</t>
  </si>
  <si>
    <t xml:space="preserve">Hay Al Abbas</t>
  </si>
  <si>
    <t xml:space="preserve">Hay Al Asatitha</t>
  </si>
  <si>
    <t xml:space="preserve">الاساتذه</t>
  </si>
  <si>
    <t xml:space="preserve">Hay Al Dhubbat</t>
  </si>
  <si>
    <t xml:space="preserve">حي الضباط</t>
  </si>
  <si>
    <t xml:space="preserve">Hay Al Hussain</t>
  </si>
  <si>
    <t xml:space="preserve">Hay Al Hussain-Abu Gharaq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</si>
  <si>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</t>
    </r>
  </si>
  <si>
    <t xml:space="preserve">Hay Al Jawad</t>
  </si>
  <si>
    <t xml:space="preserve">حي الجواد</t>
  </si>
  <si>
    <t xml:space="preserve">Hay Al Karamah 1</t>
  </si>
  <si>
    <r>
      <rPr>
        <sz val="10"/>
        <color rgb="FF000000"/>
        <rFont val="Lohit Devanagari"/>
        <family val="2"/>
      </rPr>
      <t xml:space="preserve">مركز المدينة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الكرامة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</si>
  <si>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Hay Al Karamah 3</t>
  </si>
  <si>
    <r>
      <rPr>
        <sz val="10"/>
        <color rgb="FF000000"/>
        <rFont val="Lohit Devanagari"/>
        <family val="2"/>
      </rPr>
      <t xml:space="preserve">مركز المدينة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الكرامة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</si>
  <si>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Hay Al Maarefa</t>
  </si>
  <si>
    <t xml:space="preserve">حي المعرفه</t>
  </si>
  <si>
    <t xml:space="preserve">Hay Al Murtadha</t>
  </si>
  <si>
    <t xml:space="preserve">Hay Al Tineya(illegal)</t>
  </si>
  <si>
    <t xml:space="preserve">الطينيه</t>
  </si>
  <si>
    <t xml:space="preserve">Hay Al-Akrad</t>
  </si>
  <si>
    <t xml:space="preserve">حي الاكراد</t>
  </si>
  <si>
    <t xml:space="preserve">Hay al-amer</t>
  </si>
  <si>
    <t xml:space="preserve">Hay Al-Bakarley 4</t>
  </si>
  <si>
    <r>
      <rPr>
        <sz val="10"/>
        <color rgb="FF000000"/>
        <rFont val="Lohit Devanagari"/>
        <family val="2"/>
      </rPr>
      <t xml:space="preserve">البكرلي</t>
    </r>
    <r>
      <rPr>
        <sz val="10"/>
        <color rgb="FF000000"/>
        <rFont val="Arial Narrow"/>
        <family val="2"/>
        <charset val="1"/>
      </rPr>
      <t xml:space="preserve">-4</t>
    </r>
  </si>
  <si>
    <t xml:space="preserve">Hay Al-Kadhum</t>
  </si>
  <si>
    <t xml:space="preserve">حي الكاظم</t>
  </si>
  <si>
    <t xml:space="preserve">Hay Al-Muhandiseen 2</t>
  </si>
  <si>
    <r>
      <rPr>
        <sz val="10"/>
        <color rgb="FF000000"/>
        <rFont val="Lohit Devanagari"/>
        <family val="2"/>
      </rPr>
      <t xml:space="preserve">حي المهندسين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</si>
  <si>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Hay Al-Muharbeen</t>
  </si>
  <si>
    <t xml:space="preserve">المحاربين</t>
  </si>
  <si>
    <t xml:space="preserve">Hay al-salam</t>
  </si>
  <si>
    <t xml:space="preserve">Hay Al-Teyara 1</t>
  </si>
  <si>
    <r>
      <rPr>
        <sz val="10"/>
        <color rgb="FF000000"/>
        <rFont val="Lohit Devanagari"/>
        <family val="2"/>
      </rPr>
      <t xml:space="preserve">الطيارة</t>
    </r>
    <r>
      <rPr>
        <sz val="10"/>
        <color rgb="FF000000"/>
        <rFont val="Arial Narrow"/>
        <family val="2"/>
        <charset val="1"/>
      </rPr>
      <t xml:space="preserve">-1</t>
    </r>
  </si>
  <si>
    <r>
      <rPr>
        <sz val="10"/>
        <color rgb="FF000000"/>
        <rFont val="Lohit Devanagari"/>
        <family val="2"/>
      </rPr>
      <t xml:space="preserve">مركز الحله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</si>
  <si>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Hay Alzahraa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</si>
  <si>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</si>
  <si>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Hay Nadir 2</t>
  </si>
  <si>
    <r>
      <rPr>
        <sz val="10"/>
        <color rgb="FF000000"/>
        <rFont val="Lohit Devanagari"/>
        <family val="2"/>
      </rPr>
      <t xml:space="preserve">نادر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</si>
  <si>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Shubar</t>
  </si>
  <si>
    <t xml:space="preserve">حي شبر</t>
  </si>
  <si>
    <t xml:space="preserve">Hilla Area-Hay Imam</t>
  </si>
  <si>
    <r>
      <rPr>
        <sz val="10"/>
        <color rgb="FF000000"/>
        <rFont val="Lohit Devanagari"/>
        <family val="2"/>
      </rPr>
      <t xml:space="preserve">منطقة الحلة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الأمام</t>
    </r>
  </si>
  <si>
    <t xml:space="preserve">Hilla-Al Safeer village</t>
  </si>
  <si>
    <t xml:space="preserve">قرية السفير</t>
  </si>
  <si>
    <t xml:space="preserve">Hilla-Al-Muhandiseen 3</t>
  </si>
  <si>
    <r>
      <rPr>
        <sz val="10"/>
        <color rgb="FF000000"/>
        <rFont val="Lohit Devanagari"/>
        <family val="2"/>
      </rPr>
      <t xml:space="preserve">حي المهندسين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</si>
  <si>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Hilla-Hay Al Ghadeer</t>
  </si>
  <si>
    <t xml:space="preserve">Hilla-Hay Al Noamania</t>
  </si>
  <si>
    <t xml:space="preserve">حي النعمانيه</t>
  </si>
  <si>
    <t xml:space="preserve">Hilla-Hay Al Noor</t>
  </si>
  <si>
    <t xml:space="preserve">Hilla-Hay Al Ridha</t>
  </si>
  <si>
    <t xml:space="preserve">حي الرضا</t>
  </si>
  <si>
    <t xml:space="preserve">Hilla-Hay Al-Muhandiseen-1</t>
  </si>
  <si>
    <r>
      <rPr>
        <sz val="10"/>
        <color rgb="FF000000"/>
        <rFont val="Lohit Devanagari"/>
        <family val="2"/>
      </rPr>
      <t xml:space="preserve">حي المهندسين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</si>
  <si>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Hilla-Jamaiat Al Moalmeen</t>
  </si>
  <si>
    <t xml:space="preserve">جمعية المعلمين</t>
  </si>
  <si>
    <t xml:space="preserve">Hilla-Nader Al Baker</t>
  </si>
  <si>
    <r>
      <rPr>
        <sz val="10"/>
        <color rgb="FF000000"/>
        <rFont val="Lohit Devanagari"/>
        <family val="2"/>
      </rPr>
      <t xml:space="preserve">نادر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الباقر</t>
    </r>
  </si>
  <si>
    <t xml:space="preserve">Hilla-Nadir-Ali Al Hadi</t>
  </si>
  <si>
    <r>
      <rPr>
        <sz val="10"/>
        <color rgb="FF000000"/>
        <rFont val="Lohit Devanagari"/>
        <family val="2"/>
      </rPr>
      <t xml:space="preserve">نادر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علي الهادي</t>
    </r>
  </si>
  <si>
    <t xml:space="preserve">Karaghol</t>
  </si>
  <si>
    <t xml:space="preserve">كراغول</t>
  </si>
  <si>
    <t xml:space="preserve">Kureteah</t>
  </si>
  <si>
    <t xml:space="preserve">كريطعه</t>
  </si>
  <si>
    <t xml:space="preserve">Muhaizem 2-Abu Gharaq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</si>
  <si>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محيزم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</si>
  <si>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Muhezim 1</t>
  </si>
  <si>
    <r>
      <rPr>
        <sz val="10"/>
        <color rgb="FF000000"/>
        <rFont val="Lohit Devanagari"/>
        <family val="2"/>
      </rPr>
      <t xml:space="preserve">محيزم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</si>
  <si>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Mustafa Ragheb</t>
  </si>
  <si>
    <t xml:space="preserve">مصطفى راغب</t>
  </si>
  <si>
    <t xml:space="preserve">Nader 3-Al Sajad</t>
  </si>
  <si>
    <r>
      <rPr>
        <sz val="10"/>
        <color rgb="FF000000"/>
        <rFont val="Lohit Devanagari"/>
        <family val="2"/>
      </rPr>
      <t xml:space="preserve">نادر</t>
    </r>
    <r>
      <rPr>
        <sz val="10"/>
        <color rgb="FF000000"/>
        <rFont val="Arial Narrow"/>
        <family val="2"/>
        <charset val="1"/>
      </rPr>
      <t xml:space="preserve">3-</t>
    </r>
    <r>
      <rPr>
        <sz val="10"/>
        <color rgb="FF000000"/>
        <rFont val="Lohit Devanagari"/>
        <family val="2"/>
      </rPr>
      <t xml:space="preserve">السجاد</t>
    </r>
  </si>
  <si>
    <t xml:space="preserve">Nadir Al Ula</t>
  </si>
  <si>
    <r>
      <rPr>
        <sz val="10"/>
        <color rgb="FF000000"/>
        <rFont val="Lohit Devanagari"/>
        <family val="2"/>
      </rPr>
      <t xml:space="preserve">نادر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</si>
  <si>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Om Kafsha</t>
  </si>
  <si>
    <t xml:space="preserve">ام كفشة</t>
  </si>
  <si>
    <t xml:space="preserve">Om Najah</t>
  </si>
  <si>
    <t xml:space="preserve">ام نعجه</t>
  </si>
  <si>
    <t xml:space="preserve">Qas Sowelem-Compound</t>
  </si>
  <si>
    <r>
      <rPr>
        <sz val="10"/>
        <color rgb="FF000000"/>
        <rFont val="Lohit Devanagari"/>
        <family val="2"/>
      </rPr>
      <t xml:space="preserve">كص سويلم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المجمع السكني</t>
    </r>
  </si>
  <si>
    <t xml:space="preserve">Saif Saad</t>
  </si>
  <si>
    <t xml:space="preserve">سيف سعد</t>
  </si>
  <si>
    <t xml:space="preserve">Singar</t>
  </si>
  <si>
    <t xml:space="preserve">سنجار</t>
  </si>
  <si>
    <t xml:space="preserve">Tajia village</t>
  </si>
  <si>
    <t xml:space="preserve">التاجية</t>
  </si>
  <si>
    <t xml:space="preserve">Tufail</t>
  </si>
  <si>
    <t xml:space="preserve">طفيل</t>
  </si>
  <si>
    <t xml:space="preserve">Zighaib al-arab-1</t>
  </si>
  <si>
    <r>
      <rPr>
        <sz val="10"/>
        <color rgb="FF000000"/>
        <rFont val="Lohit Devanagari"/>
        <family val="2"/>
      </rPr>
      <t xml:space="preserve">ناحية ابي غرق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زغيب العرب</t>
    </r>
  </si>
  <si>
    <t xml:space="preserve">Zwir AlGharbi</t>
  </si>
  <si>
    <t xml:space="preserve">زوير الغربي</t>
  </si>
  <si>
    <t xml:space="preserve">Abu Ghraib</t>
  </si>
  <si>
    <t xml:space="preserve">1 Athar</t>
  </si>
  <si>
    <r>
      <rPr>
        <sz val="10"/>
        <color rgb="FF000000"/>
        <rFont val="Arial Narrow"/>
        <family val="2"/>
        <charset val="1"/>
      </rPr>
      <t xml:space="preserve">1 </t>
    </r>
    <r>
      <rPr>
        <sz val="10"/>
        <color rgb="FF000000"/>
        <rFont val="Lohit Devanagari"/>
        <family val="2"/>
      </rPr>
      <t xml:space="preserve">اذار</t>
    </r>
  </si>
  <si>
    <t xml:space="preserve">1 Huzairan</t>
  </si>
  <si>
    <r>
      <rPr>
        <sz val="10"/>
        <color rgb="FF000000"/>
        <rFont val="Arial Narrow"/>
        <family val="2"/>
        <charset val="1"/>
      </rPr>
      <t xml:space="preserve">1 </t>
    </r>
    <r>
      <rPr>
        <sz val="10"/>
        <color rgb="FF000000"/>
        <rFont val="Lohit Devanagari"/>
        <family val="2"/>
      </rPr>
      <t xml:space="preserve">حزيران</t>
    </r>
  </si>
  <si>
    <t xml:space="preserve">Abo Moniaser</t>
  </si>
  <si>
    <t xml:space="preserve">ابو منيصير</t>
  </si>
  <si>
    <t xml:space="preserve">Akr koof-14</t>
  </si>
  <si>
    <r>
      <rPr>
        <sz val="10"/>
        <color rgb="FF000000"/>
        <rFont val="Lohit Devanagari"/>
        <family val="2"/>
      </rPr>
      <t xml:space="preserve">عكركوف</t>
    </r>
    <r>
      <rPr>
        <sz val="10"/>
        <color rgb="FF000000"/>
        <rFont val="Arial Narrow"/>
        <family val="2"/>
        <charset val="1"/>
      </rPr>
      <t xml:space="preserve">(14)</t>
    </r>
  </si>
  <si>
    <t xml:space="preserve">Al Abady</t>
  </si>
  <si>
    <t xml:space="preserve">العبادي</t>
  </si>
  <si>
    <t xml:space="preserve">Al Ayashiyah 9</t>
  </si>
  <si>
    <r>
      <rPr>
        <sz val="10"/>
        <color rgb="FF000000"/>
        <rFont val="Lohit Devanagari"/>
        <family val="2"/>
      </rPr>
      <t xml:space="preserve">العياشية</t>
    </r>
    <r>
      <rPr>
        <sz val="10"/>
        <color rgb="FF000000"/>
        <rFont val="Arial Narrow"/>
        <family val="2"/>
        <charset val="1"/>
      </rPr>
      <t xml:space="preserve">-9</t>
    </r>
  </si>
  <si>
    <t xml:space="preserve">Al Emarat Al Sakaniyah</t>
  </si>
  <si>
    <t xml:space="preserve">العمارات السكنية</t>
  </si>
  <si>
    <t xml:space="preserve">Al Hamdaniyah</t>
  </si>
  <si>
    <t xml:space="preserve">الحمدانية</t>
  </si>
  <si>
    <t xml:space="preserve">Al Shams Complex</t>
  </si>
  <si>
    <t xml:space="preserve">مجمع الشمس</t>
  </si>
  <si>
    <t xml:space="preserve">Al Thaniya</t>
  </si>
  <si>
    <t xml:space="preserve">الثنية</t>
  </si>
  <si>
    <t xml:space="preserve">Al Zaitoon</t>
  </si>
  <si>
    <t xml:space="preserve">الزيتون</t>
  </si>
  <si>
    <t xml:space="preserve">Al Zaydan</t>
  </si>
  <si>
    <t xml:space="preserve">الزيدان</t>
  </si>
  <si>
    <t xml:space="preserve">Al-Amal camp</t>
  </si>
  <si>
    <t xml:space="preserve">مخيم الامل</t>
  </si>
  <si>
    <t xml:space="preserve">Al-Dhahab Al-Abyadh</t>
  </si>
  <si>
    <t xml:space="preserve">الذهب الأبيض</t>
  </si>
  <si>
    <t xml:space="preserve">Al-Nasir Walsalam-1000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</si>
  <si>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-1000</t>
    </r>
  </si>
  <si>
    <t xml:space="preserve">Al-Nasir Walsalam-2000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</si>
  <si>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-2000</t>
    </r>
  </si>
  <si>
    <t xml:space="preserve">Al-Nasir Walsalam-3000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</si>
  <si>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-3000</t>
    </r>
  </si>
  <si>
    <t xml:space="preserve">Al-Nasir Walsalam-4000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</si>
  <si>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-4000</t>
    </r>
  </si>
  <si>
    <t xml:space="preserve">Al-Nasir Walsalam-5000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</si>
  <si>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-5000</t>
    </r>
  </si>
  <si>
    <t xml:space="preserve">Al-Nasir Walsalam-6000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</si>
  <si>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-6000</t>
    </r>
  </si>
  <si>
    <t xml:space="preserve">Al-Nasir Walsalam-7000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</si>
  <si>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-7000</t>
    </r>
  </si>
  <si>
    <t xml:space="preserve">Al-Nasir Walsalam-8000</t>
  </si>
  <si>
    <r>
      <rPr>
        <sz val="10"/>
        <color rgb="FF000000"/>
        <rFont val="Lohit Devanagari"/>
        <family val="2"/>
      </rPr>
      <t xml:space="preserve">النصر والسلام</t>
    </r>
    <r>
      <rPr>
        <sz val="10"/>
        <color rgb="FF000000"/>
        <rFont val="Arial Narrow"/>
        <family val="2"/>
        <charset val="1"/>
      </rPr>
      <t xml:space="preserve">-8000</t>
    </r>
  </si>
  <si>
    <t xml:space="preserve">Al-Resalah</t>
  </si>
  <si>
    <t xml:space="preserve">الرسالة</t>
  </si>
  <si>
    <t xml:space="preserve">Alahel Camp</t>
  </si>
  <si>
    <t xml:space="preserve">مخيم الاهل</t>
  </si>
  <si>
    <t xml:space="preserve">Arab Tahoos</t>
  </si>
  <si>
    <t xml:space="preserve">عرب طاحوس</t>
  </si>
  <si>
    <t xml:space="preserve">Door Al hummer</t>
  </si>
  <si>
    <t xml:space="preserve">دور الحمر</t>
  </si>
  <si>
    <t xml:space="preserve">Ghirbawy 1</t>
  </si>
  <si>
    <r>
      <rPr>
        <sz val="10"/>
        <color rgb="FF000000"/>
        <rFont val="Lohit Devanagari"/>
        <family val="2"/>
      </rPr>
      <t xml:space="preserve">غرباوي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</si>
  <si>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Hamid Al Hasan</t>
  </si>
  <si>
    <t xml:space="preserve">حميد الحسن</t>
  </si>
  <si>
    <t xml:space="preserve">Hay Al Asreyah</t>
  </si>
  <si>
    <t xml:space="preserve">حي العصرية</t>
  </si>
  <si>
    <t xml:space="preserve">Hay Al Ghawassah</t>
  </si>
  <si>
    <t xml:space="preserve">حي الغواصة</t>
  </si>
  <si>
    <t xml:space="preserve">Hay Al Madfay</t>
  </si>
  <si>
    <t xml:space="preserve">حي المدفعي</t>
  </si>
  <si>
    <t xml:space="preserve">Hay Al Sadiq</t>
  </si>
  <si>
    <t xml:space="preserve">Hay Al Zohor</t>
  </si>
  <si>
    <r>
      <rPr>
        <sz val="10"/>
        <color rgb="FF000000"/>
        <rFont val="Lohit Devanagari"/>
        <family val="2"/>
      </rPr>
      <t xml:space="preserve">حي الشهداء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خان ضاري</t>
    </r>
  </si>
  <si>
    <t xml:space="preserve">Hay Ashbilia</t>
  </si>
  <si>
    <t xml:space="preserve">حي اشبيليه</t>
  </si>
  <si>
    <t xml:space="preserve">Hay Shuhada Markza</t>
  </si>
  <si>
    <r>
      <rPr>
        <sz val="10"/>
        <color rgb="FF000000"/>
        <rFont val="Lohit Devanagari"/>
        <family val="2"/>
      </rPr>
      <t xml:space="preserve">الشهداء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المركز</t>
    </r>
  </si>
  <si>
    <t xml:space="preserve">Hay Sinaa</t>
  </si>
  <si>
    <t xml:space="preserve">حي سيناء</t>
  </si>
  <si>
    <t xml:space="preserve">Hay-Busatan</t>
  </si>
  <si>
    <t xml:space="preserve">حي البستان</t>
  </si>
  <si>
    <t xml:space="preserve">Joabh-3</t>
  </si>
  <si>
    <r>
      <rPr>
        <sz val="10"/>
        <color rgb="FF000000"/>
        <rFont val="Lohit Devanagari"/>
        <family val="2"/>
      </rPr>
      <t xml:space="preserve">جويبة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</si>
  <si>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Kadem Al Athab village</t>
  </si>
  <si>
    <t xml:space="preserve">كاظم العذاب</t>
  </si>
  <si>
    <t xml:space="preserve">Khan Dhari Center</t>
  </si>
  <si>
    <t xml:space="preserve">خان ضاري مركز</t>
  </si>
  <si>
    <t xml:space="preserve">Khernabat-South</t>
  </si>
  <si>
    <t xml:space="preserve">خرنبات الجنوبيه</t>
  </si>
  <si>
    <t xml:space="preserve">North Khernabat</t>
  </si>
  <si>
    <t xml:space="preserve">خرنابات الشمالية</t>
  </si>
  <si>
    <t xml:space="preserve">Sayed Sajit</t>
  </si>
  <si>
    <t xml:space="preserve">سيد ساجت</t>
  </si>
  <si>
    <t xml:space="preserve">Adhamia</t>
  </si>
  <si>
    <t xml:space="preserve">Abdualzobaa village</t>
  </si>
  <si>
    <t xml:space="preserve">قرية عبد الزوبع</t>
  </si>
  <si>
    <t xml:space="preserve">Abu Guffa Village</t>
  </si>
  <si>
    <t xml:space="preserve">قرية أبو كفة</t>
  </si>
  <si>
    <t xml:space="preserve">Adhamia-308</t>
  </si>
  <si>
    <r>
      <rPr>
        <sz val="10"/>
        <color rgb="FF000000"/>
        <rFont val="Lohit Devanagari"/>
        <family val="2"/>
      </rPr>
      <t xml:space="preserve">الاعظمية</t>
    </r>
    <r>
      <rPr>
        <sz val="10"/>
        <color rgb="FF000000"/>
        <rFont val="Arial Narrow"/>
        <family val="2"/>
        <charset val="1"/>
      </rPr>
      <t xml:space="preserve">-308</t>
    </r>
  </si>
  <si>
    <t xml:space="preserve">Adhamia-312</t>
  </si>
  <si>
    <r>
      <rPr>
        <sz val="10"/>
        <color rgb="FF000000"/>
        <rFont val="Lohit Devanagari"/>
        <family val="2"/>
      </rPr>
      <t xml:space="preserve">الاعظمية</t>
    </r>
    <r>
      <rPr>
        <sz val="10"/>
        <color rgb="FF000000"/>
        <rFont val="Arial Narrow"/>
        <family val="2"/>
        <charset val="1"/>
      </rPr>
      <t xml:space="preserve">-312</t>
    </r>
  </si>
  <si>
    <t xml:space="preserve">Adhamia-314</t>
  </si>
  <si>
    <r>
      <rPr>
        <sz val="10"/>
        <color rgb="FF000000"/>
        <rFont val="Lohit Devanagari"/>
        <family val="2"/>
      </rPr>
      <t xml:space="preserve">الأعظمية</t>
    </r>
    <r>
      <rPr>
        <sz val="10"/>
        <color rgb="FF000000"/>
        <rFont val="Arial Narrow"/>
        <family val="2"/>
        <charset val="1"/>
      </rPr>
      <t xml:space="preserve">-314</t>
    </r>
  </si>
  <si>
    <t xml:space="preserve">Adhamiya-310</t>
  </si>
  <si>
    <r>
      <rPr>
        <sz val="10"/>
        <color rgb="FF000000"/>
        <rFont val="Lohit Devanagari"/>
        <family val="2"/>
      </rPr>
      <t xml:space="preserve">الاعظمية</t>
    </r>
    <r>
      <rPr>
        <sz val="10"/>
        <color rgb="FF000000"/>
        <rFont val="Arial Narrow"/>
        <family val="2"/>
        <charset val="1"/>
      </rPr>
      <t xml:space="preserve">-310</t>
    </r>
  </si>
  <si>
    <t xml:space="preserve">Al Arakna Village</t>
  </si>
  <si>
    <t xml:space="preserve">العراكنة</t>
  </si>
  <si>
    <t xml:space="preserve">Al Badaa village</t>
  </si>
  <si>
    <t xml:space="preserve">قرية البدعة</t>
  </si>
  <si>
    <t xml:space="preserve">Al Basaten Al sadren complex</t>
  </si>
  <si>
    <r>
      <rPr>
        <sz val="10"/>
        <color rgb="FF000000"/>
        <rFont val="Lohit Devanagari"/>
        <family val="2"/>
      </rPr>
      <t xml:space="preserve">البساتين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مجمع الصدرين</t>
    </r>
  </si>
  <si>
    <t xml:space="preserve">Al Basaten-346</t>
  </si>
  <si>
    <r>
      <rPr>
        <sz val="10"/>
        <color rgb="FF000000"/>
        <rFont val="Lohit Devanagari"/>
        <family val="2"/>
      </rPr>
      <t xml:space="preserve">البساتين</t>
    </r>
    <r>
      <rPr>
        <sz val="10"/>
        <color rgb="FF000000"/>
        <rFont val="Arial Narrow"/>
        <family val="2"/>
        <charset val="1"/>
      </rPr>
      <t xml:space="preserve">-346</t>
    </r>
  </si>
  <si>
    <t xml:space="preserve">Al Basaten-348</t>
  </si>
  <si>
    <r>
      <rPr>
        <sz val="10"/>
        <color rgb="FF000000"/>
        <rFont val="Lohit Devanagari"/>
        <family val="2"/>
      </rPr>
      <t xml:space="preserve">البساتين</t>
    </r>
    <r>
      <rPr>
        <sz val="10"/>
        <color rgb="FF000000"/>
        <rFont val="Arial Narrow"/>
        <family val="2"/>
        <charset val="1"/>
      </rPr>
      <t xml:space="preserve">-348</t>
    </r>
  </si>
  <si>
    <t xml:space="preserve">Al Basaten-362</t>
  </si>
  <si>
    <r>
      <rPr>
        <sz val="10"/>
        <color rgb="FF000000"/>
        <rFont val="Lohit Devanagari"/>
        <family val="2"/>
      </rPr>
      <t xml:space="preserve">البساتين</t>
    </r>
    <r>
      <rPr>
        <sz val="10"/>
        <color rgb="FF000000"/>
        <rFont val="Arial Narrow"/>
        <family val="2"/>
        <charset val="1"/>
      </rPr>
      <t xml:space="preserve">-362</t>
    </r>
  </si>
  <si>
    <t xml:space="preserve">Al Bayariq village</t>
  </si>
  <si>
    <t xml:space="preserve">قرية البيارق</t>
  </si>
  <si>
    <t xml:space="preserve">Al Biydhaa-315</t>
  </si>
  <si>
    <r>
      <rPr>
        <sz val="10"/>
        <color rgb="FF000000"/>
        <rFont val="Lohit Devanagari"/>
        <family val="2"/>
      </rPr>
      <t xml:space="preserve">البيضاء</t>
    </r>
    <r>
      <rPr>
        <sz val="10"/>
        <color rgb="FF000000"/>
        <rFont val="Arial Narrow"/>
        <family val="2"/>
        <charset val="1"/>
      </rPr>
      <t xml:space="preserve">-315</t>
    </r>
  </si>
  <si>
    <t xml:space="preserve">Al Biydhaa-319</t>
  </si>
  <si>
    <r>
      <rPr>
        <sz val="10"/>
        <color rgb="FF000000"/>
        <rFont val="Lohit Devanagari"/>
        <family val="2"/>
      </rPr>
      <t xml:space="preserve">البيضاء</t>
    </r>
    <r>
      <rPr>
        <sz val="10"/>
        <color rgb="FF000000"/>
        <rFont val="Arial Narrow"/>
        <family val="2"/>
        <charset val="1"/>
      </rPr>
      <t xml:space="preserve">-319</t>
    </r>
  </si>
  <si>
    <t xml:space="preserve">Al Biydhaa-321</t>
  </si>
  <si>
    <r>
      <rPr>
        <sz val="10"/>
        <color rgb="FF000000"/>
        <rFont val="Lohit Devanagari"/>
        <family val="2"/>
      </rPr>
      <t xml:space="preserve">البيضاء</t>
    </r>
    <r>
      <rPr>
        <sz val="10"/>
        <color rgb="FF000000"/>
        <rFont val="Arial Narrow"/>
        <family val="2"/>
        <charset val="1"/>
      </rPr>
      <t xml:space="preserve">-321</t>
    </r>
  </si>
  <si>
    <t xml:space="preserve">Al Biydhaa-323</t>
  </si>
  <si>
    <r>
      <rPr>
        <sz val="10"/>
        <color rgb="FF000000"/>
        <rFont val="Lohit Devanagari"/>
        <family val="2"/>
      </rPr>
      <t xml:space="preserve">البيضاء</t>
    </r>
    <r>
      <rPr>
        <sz val="10"/>
        <color rgb="FF000000"/>
        <rFont val="Arial Narrow"/>
        <family val="2"/>
        <charset val="1"/>
      </rPr>
      <t xml:space="preserve">-323</t>
    </r>
  </si>
  <si>
    <t xml:space="preserve">Al Bu Hayat Village</t>
  </si>
  <si>
    <t xml:space="preserve">Al Haj Jasim Village</t>
  </si>
  <si>
    <t xml:space="preserve">قرية الحاج جاسم</t>
  </si>
  <si>
    <t xml:space="preserve">Al Haj Sabur Village</t>
  </si>
  <si>
    <t xml:space="preserve">قرية الحاج صبر</t>
  </si>
  <si>
    <t xml:space="preserve">Al Husayniya-221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</si>
  <si>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-221</t>
    </r>
  </si>
  <si>
    <t xml:space="preserve">Al Husayniya-225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</si>
  <si>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-225</t>
    </r>
  </si>
  <si>
    <t xml:space="preserve">Al Hussainiya-202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</si>
  <si>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-202</t>
    </r>
  </si>
  <si>
    <t xml:space="preserve">Al Hussainiya-203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</si>
  <si>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-203</t>
    </r>
  </si>
  <si>
    <t xml:space="preserve">Al Hussainiya-204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</si>
  <si>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-204</t>
    </r>
  </si>
  <si>
    <t xml:space="preserve">Al Hussainiya-205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</si>
  <si>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-205</t>
    </r>
  </si>
  <si>
    <t xml:space="preserve">Al Hussainiya-209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</si>
  <si>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-209</t>
    </r>
  </si>
  <si>
    <t xml:space="preserve">Al Hussainiya-211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</si>
  <si>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-211</t>
    </r>
  </si>
  <si>
    <t xml:space="preserve">Al Hussainiya-212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</si>
  <si>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-212</t>
    </r>
  </si>
  <si>
    <t xml:space="preserve">Al Hussainiya-213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</si>
  <si>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-213</t>
    </r>
  </si>
  <si>
    <t xml:space="preserve">Al Hussainiya-215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</si>
  <si>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-215</t>
    </r>
  </si>
  <si>
    <t xml:space="preserve">Al Hussainiya-216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</si>
  <si>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-216</t>
    </r>
  </si>
  <si>
    <t xml:space="preserve">Al Hussainiya-217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</si>
  <si>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-217</t>
    </r>
  </si>
  <si>
    <t xml:space="preserve">Al Hussainiya-219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</si>
  <si>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-219</t>
    </r>
  </si>
  <si>
    <t xml:space="preserve">Al Hussainiya-227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</si>
  <si>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-227</t>
    </r>
  </si>
  <si>
    <t xml:space="preserve">AL Hussayniya-201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</si>
  <si>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-201</t>
    </r>
  </si>
  <si>
    <t xml:space="preserve">Al Hussayniya-207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</si>
  <si>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-207</t>
    </r>
  </si>
  <si>
    <t xml:space="preserve">Al Hussayniya-210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</si>
  <si>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-210</t>
    </r>
  </si>
  <si>
    <t xml:space="preserve">Al Hussayniya-214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</si>
  <si>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-214</t>
    </r>
  </si>
  <si>
    <t xml:space="preserve">Al Hussayniya-218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</si>
  <si>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-218</t>
    </r>
  </si>
  <si>
    <t xml:space="preserve">Al Hussayniya-222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</si>
  <si>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-222</t>
    </r>
  </si>
  <si>
    <t xml:space="preserve">Al Hussiniyah-223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</si>
  <si>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-223</t>
    </r>
  </si>
  <si>
    <t xml:space="preserve">Al Kouther</t>
  </si>
  <si>
    <t xml:space="preserve">الكوثر</t>
  </si>
  <si>
    <t xml:space="preserve">Al Maghreb-302</t>
  </si>
  <si>
    <r>
      <rPr>
        <sz val="10"/>
        <color rgb="FF000000"/>
        <rFont val="Lohit Devanagari"/>
        <family val="2"/>
      </rPr>
      <t xml:space="preserve">المغرب</t>
    </r>
    <r>
      <rPr>
        <sz val="10"/>
        <color rgb="FF000000"/>
        <rFont val="Arial Narrow"/>
        <family val="2"/>
        <charset val="1"/>
      </rPr>
      <t xml:space="preserve">-302</t>
    </r>
  </si>
  <si>
    <t xml:space="preserve">Al Maghreb-304</t>
  </si>
  <si>
    <r>
      <rPr>
        <sz val="10"/>
        <color rgb="FF000000"/>
        <rFont val="Lohit Devanagari"/>
        <family val="2"/>
      </rPr>
      <t xml:space="preserve">المغرب</t>
    </r>
    <r>
      <rPr>
        <sz val="10"/>
        <color rgb="FF000000"/>
        <rFont val="Arial Narrow"/>
        <family val="2"/>
        <charset val="1"/>
      </rPr>
      <t xml:space="preserve">-304</t>
    </r>
  </si>
  <si>
    <t xml:space="preserve">Al Marasma village</t>
  </si>
  <si>
    <t xml:space="preserve">قرية المراسمة</t>
  </si>
  <si>
    <t xml:space="preserve">Al Noor Village</t>
  </si>
  <si>
    <t xml:space="preserve">قرية النور</t>
  </si>
  <si>
    <t xml:space="preserve">Al Qahira-307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</si>
  <si>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-307</t>
    </r>
  </si>
  <si>
    <t xml:space="preserve">Al Qahira-309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</si>
  <si>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-309</t>
    </r>
  </si>
  <si>
    <t xml:space="preserve">Al Qahira-311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</si>
  <si>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-311</t>
    </r>
  </si>
  <si>
    <t xml:space="preserve">Al Qahira-313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</si>
  <si>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-313</t>
    </r>
  </si>
  <si>
    <t xml:space="preserve">Al Qahira-322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</si>
  <si>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-322</t>
    </r>
  </si>
  <si>
    <t xml:space="preserve">Al Qahira-324</t>
  </si>
  <si>
    <r>
      <rPr>
        <sz val="10"/>
        <color rgb="FF000000"/>
        <rFont val="Lohit Devanagari"/>
        <family val="2"/>
      </rPr>
      <t xml:space="preserve">القاهرة</t>
    </r>
    <r>
      <rPr>
        <sz val="10"/>
        <color rgb="FF000000"/>
        <rFont val="Arial Narrow"/>
        <family val="2"/>
        <charset val="1"/>
      </rPr>
      <t xml:space="preserve">-324</t>
    </r>
  </si>
  <si>
    <t xml:space="preserve">Al Qudus</t>
  </si>
  <si>
    <t xml:space="preserve">القدس </t>
  </si>
  <si>
    <t xml:space="preserve">Al Salam</t>
  </si>
  <si>
    <t xml:space="preserve">Al Shaab-331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</si>
  <si>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-331</t>
    </r>
  </si>
  <si>
    <t xml:space="preserve">Al Shaab-333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</si>
  <si>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-333</t>
    </r>
  </si>
  <si>
    <t xml:space="preserve">Al Shaab-339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</si>
  <si>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-339</t>
    </r>
  </si>
  <si>
    <t xml:space="preserve">Al Shaab-351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</si>
  <si>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-351</t>
    </r>
  </si>
  <si>
    <t xml:space="preserve">AL Shab-335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</si>
  <si>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-335</t>
    </r>
  </si>
  <si>
    <t xml:space="preserve">AL Shab-337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</si>
  <si>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-337</t>
    </r>
  </si>
  <si>
    <t xml:space="preserve">AL Shab-343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</si>
  <si>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-343</t>
    </r>
  </si>
  <si>
    <t xml:space="preserve">AL Shab-353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</si>
  <si>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-353</t>
    </r>
  </si>
  <si>
    <t xml:space="preserve">AL Shab-357</t>
  </si>
  <si>
    <r>
      <rPr>
        <sz val="10"/>
        <color rgb="FF000000"/>
        <rFont val="Lohit Devanagari"/>
        <family val="2"/>
      </rPr>
      <t xml:space="preserve">الشعب</t>
    </r>
    <r>
      <rPr>
        <sz val="10"/>
        <color rgb="FF000000"/>
        <rFont val="Arial Narrow"/>
        <family val="2"/>
        <charset val="1"/>
      </rPr>
      <t xml:space="preserve">-357</t>
    </r>
  </si>
  <si>
    <t xml:space="preserve">Al Shamasiyah-316</t>
  </si>
  <si>
    <r>
      <rPr>
        <sz val="10"/>
        <color rgb="FF000000"/>
        <rFont val="Lohit Devanagari"/>
        <family val="2"/>
      </rPr>
      <t xml:space="preserve">الشماسية</t>
    </r>
    <r>
      <rPr>
        <sz val="10"/>
        <color rgb="FF000000"/>
        <rFont val="Arial Narrow"/>
        <family val="2"/>
        <charset val="1"/>
      </rPr>
      <t xml:space="preserve">-316</t>
    </r>
  </si>
  <si>
    <t xml:space="preserve">Al Shamasiyah-318</t>
  </si>
  <si>
    <r>
      <rPr>
        <sz val="10"/>
        <color rgb="FF000000"/>
        <rFont val="Lohit Devanagari"/>
        <family val="2"/>
      </rPr>
      <t xml:space="preserve">الشماسية</t>
    </r>
    <r>
      <rPr>
        <sz val="10"/>
        <color rgb="FF000000"/>
        <rFont val="Arial Narrow"/>
        <family val="2"/>
        <charset val="1"/>
      </rPr>
      <t xml:space="preserve">-318</t>
    </r>
  </si>
  <si>
    <t xml:space="preserve">Al Shamasiyah-320</t>
  </si>
  <si>
    <r>
      <rPr>
        <sz val="10"/>
        <color rgb="FF000000"/>
        <rFont val="Lohit Devanagari"/>
        <family val="2"/>
      </rPr>
      <t xml:space="preserve">الشماسية</t>
    </r>
    <r>
      <rPr>
        <sz val="10"/>
        <color rgb="FF000000"/>
        <rFont val="Arial Narrow"/>
        <family val="2"/>
        <charset val="1"/>
      </rPr>
      <t xml:space="preserve">-320</t>
    </r>
  </si>
  <si>
    <t xml:space="preserve">Al Waha Al Khadhraa Village</t>
  </si>
  <si>
    <t xml:space="preserve">قرية الواحة الخضراء</t>
  </si>
  <si>
    <t xml:space="preserve">Al Waziriyah-301</t>
  </si>
  <si>
    <r>
      <rPr>
        <sz val="10"/>
        <color rgb="FF000000"/>
        <rFont val="Lohit Devanagari"/>
        <family val="2"/>
      </rPr>
      <t xml:space="preserve">الوزيرية</t>
    </r>
    <r>
      <rPr>
        <sz val="10"/>
        <color rgb="FF000000"/>
        <rFont val="Arial Narrow"/>
        <family val="2"/>
        <charset val="1"/>
      </rPr>
      <t xml:space="preserve">-301</t>
    </r>
  </si>
  <si>
    <t xml:space="preserve">Al Waziriyah-305</t>
  </si>
  <si>
    <r>
      <rPr>
        <sz val="10"/>
        <color rgb="FF000000"/>
        <rFont val="Lohit Devanagari"/>
        <family val="2"/>
      </rPr>
      <t xml:space="preserve">الوزيرية</t>
    </r>
    <r>
      <rPr>
        <sz val="10"/>
        <color rgb="FF000000"/>
        <rFont val="Arial Narrow"/>
        <family val="2"/>
        <charset val="1"/>
      </rPr>
      <t xml:space="preserve">-305</t>
    </r>
  </si>
  <si>
    <t xml:space="preserve">Al-Nabi Sheit Camp</t>
  </si>
  <si>
    <t xml:space="preserve">مخيم النبي شيت</t>
  </si>
  <si>
    <t xml:space="preserve">Al-Rabeaa village</t>
  </si>
  <si>
    <t xml:space="preserve">قرية الربيع</t>
  </si>
  <si>
    <t xml:space="preserve">Ali Al Faiadh village</t>
  </si>
  <si>
    <t xml:space="preserve">قرية علي الفياض</t>
  </si>
  <si>
    <t xml:space="preserve">Bob Al Sham-361</t>
  </si>
  <si>
    <r>
      <rPr>
        <sz val="10"/>
        <color rgb="FF000000"/>
        <rFont val="Lohit Devanagari"/>
        <family val="2"/>
      </rPr>
      <t xml:space="preserve">بوب الشام</t>
    </r>
    <r>
      <rPr>
        <sz val="10"/>
        <color rgb="FF000000"/>
        <rFont val="Arial Narrow"/>
        <family val="2"/>
        <charset val="1"/>
      </rPr>
      <t xml:space="preserve">-361</t>
    </r>
  </si>
  <si>
    <t xml:space="preserve">Bob Al Sham-363</t>
  </si>
  <si>
    <r>
      <rPr>
        <sz val="10"/>
        <color rgb="FF000000"/>
        <rFont val="Lohit Devanagari"/>
        <family val="2"/>
      </rPr>
      <t xml:space="preserve">بوب الشام</t>
    </r>
    <r>
      <rPr>
        <sz val="10"/>
        <color rgb="FF000000"/>
        <rFont val="Arial Narrow"/>
        <family val="2"/>
        <charset val="1"/>
      </rPr>
      <t xml:space="preserve">-363</t>
    </r>
  </si>
  <si>
    <t xml:space="preserve">Bob Al Sham-365</t>
  </si>
  <si>
    <r>
      <rPr>
        <sz val="10"/>
        <color rgb="FF000000"/>
        <rFont val="Lohit Devanagari"/>
        <family val="2"/>
      </rPr>
      <t xml:space="preserve">بوب الشام</t>
    </r>
    <r>
      <rPr>
        <sz val="10"/>
        <color rgb="FF000000"/>
        <rFont val="Arial Narrow"/>
        <family val="2"/>
        <charset val="1"/>
      </rPr>
      <t xml:space="preserve">-365</t>
    </r>
  </si>
  <si>
    <t xml:space="preserve">Bob Al Sham-367</t>
  </si>
  <si>
    <r>
      <rPr>
        <sz val="10"/>
        <color rgb="FF000000"/>
        <rFont val="Lohit Devanagari"/>
        <family val="2"/>
      </rPr>
      <t xml:space="preserve">بوب الشام</t>
    </r>
    <r>
      <rPr>
        <sz val="10"/>
        <color rgb="FF000000"/>
        <rFont val="Arial Narrow"/>
        <family val="2"/>
        <charset val="1"/>
      </rPr>
      <t xml:space="preserve">-367</t>
    </r>
  </si>
  <si>
    <t xml:space="preserve">Bob Al Sham-388</t>
  </si>
  <si>
    <r>
      <rPr>
        <sz val="10"/>
        <color rgb="FF000000"/>
        <rFont val="Lohit Devanagari"/>
        <family val="2"/>
      </rPr>
      <t xml:space="preserve">بوب الشام</t>
    </r>
    <r>
      <rPr>
        <sz val="10"/>
        <color rgb="FF000000"/>
        <rFont val="Arial Narrow"/>
        <family val="2"/>
        <charset val="1"/>
      </rPr>
      <t xml:space="preserve">-388</t>
    </r>
  </si>
  <si>
    <t xml:space="preserve">Gumaira Village</t>
  </si>
  <si>
    <t xml:space="preserve">قرية كميرة</t>
  </si>
  <si>
    <t xml:space="preserve">Hammed al Hummod village</t>
  </si>
  <si>
    <t xml:space="preserve">قرية حميد الحمود</t>
  </si>
  <si>
    <t xml:space="preserve">Hay Al Rabee-332</t>
  </si>
  <si>
    <r>
      <rPr>
        <sz val="10"/>
        <color rgb="FF000000"/>
        <rFont val="Lohit Devanagari"/>
        <family val="2"/>
      </rPr>
      <t xml:space="preserve">حي الربيع</t>
    </r>
    <r>
      <rPr>
        <sz val="10"/>
        <color rgb="FF000000"/>
        <rFont val="Arial Narrow"/>
        <family val="2"/>
        <charset val="1"/>
      </rPr>
      <t xml:space="preserve">-332</t>
    </r>
  </si>
  <si>
    <t xml:space="preserve">Hay Al Rabee-334</t>
  </si>
  <si>
    <r>
      <rPr>
        <sz val="10"/>
        <color rgb="FF000000"/>
        <rFont val="Lohit Devanagari"/>
        <family val="2"/>
      </rPr>
      <t xml:space="preserve">حي الربيع</t>
    </r>
    <r>
      <rPr>
        <sz val="10"/>
        <color rgb="FF000000"/>
        <rFont val="Arial Narrow"/>
        <family val="2"/>
        <charset val="1"/>
      </rPr>
      <t xml:space="preserve">-334</t>
    </r>
  </si>
  <si>
    <t xml:space="preserve">Hay Al Rabee-336</t>
  </si>
  <si>
    <r>
      <rPr>
        <sz val="10"/>
        <color rgb="FF000000"/>
        <rFont val="Lohit Devanagari"/>
        <family val="2"/>
      </rPr>
      <t xml:space="preserve">حي الربيع</t>
    </r>
    <r>
      <rPr>
        <sz val="10"/>
        <color rgb="FF000000"/>
        <rFont val="Arial Narrow"/>
        <family val="2"/>
        <charset val="1"/>
      </rPr>
      <t xml:space="preserve">-336</t>
    </r>
  </si>
  <si>
    <t xml:space="preserve">Hay Al Rabee-340</t>
  </si>
  <si>
    <r>
      <rPr>
        <sz val="10"/>
        <color rgb="FF000000"/>
        <rFont val="Lohit Devanagari"/>
        <family val="2"/>
      </rPr>
      <t xml:space="preserve">حي الربيع</t>
    </r>
    <r>
      <rPr>
        <sz val="10"/>
        <color rgb="FF000000"/>
        <rFont val="Arial Narrow"/>
        <family val="2"/>
        <charset val="1"/>
      </rPr>
      <t xml:space="preserve">-340</t>
    </r>
  </si>
  <si>
    <t xml:space="preserve">Hay Al Rabee-342</t>
  </si>
  <si>
    <r>
      <rPr>
        <sz val="10"/>
        <color rgb="FF000000"/>
        <rFont val="Lohit Devanagari"/>
        <family val="2"/>
      </rPr>
      <t xml:space="preserve">حي الربيع</t>
    </r>
    <r>
      <rPr>
        <sz val="10"/>
        <color rgb="FF000000"/>
        <rFont val="Arial Narrow"/>
        <family val="2"/>
        <charset val="1"/>
      </rPr>
      <t xml:space="preserve">-342</t>
    </r>
  </si>
  <si>
    <t xml:space="preserve">Hay Ur-325</t>
  </si>
  <si>
    <r>
      <rPr>
        <sz val="10"/>
        <color rgb="FF000000"/>
        <rFont val="Lohit Devanagari"/>
        <family val="2"/>
      </rPr>
      <t xml:space="preserve">حي اور</t>
    </r>
    <r>
      <rPr>
        <sz val="10"/>
        <color rgb="FF000000"/>
        <rFont val="Arial Narrow"/>
        <family val="2"/>
        <charset val="1"/>
      </rPr>
      <t xml:space="preserve">-325</t>
    </r>
  </si>
  <si>
    <t xml:space="preserve">Hay Ur-327</t>
  </si>
  <si>
    <r>
      <rPr>
        <sz val="10"/>
        <color rgb="FF000000"/>
        <rFont val="Lohit Devanagari"/>
        <family val="2"/>
      </rPr>
      <t xml:space="preserve">حي اور</t>
    </r>
    <r>
      <rPr>
        <sz val="10"/>
        <color rgb="FF000000"/>
        <rFont val="Arial Narrow"/>
        <family val="2"/>
        <charset val="1"/>
      </rPr>
      <t xml:space="preserve">-327</t>
    </r>
  </si>
  <si>
    <t xml:space="preserve">Hay Ur-329</t>
  </si>
  <si>
    <r>
      <rPr>
        <sz val="10"/>
        <color rgb="FF000000"/>
        <rFont val="Lohit Devanagari"/>
        <family val="2"/>
      </rPr>
      <t xml:space="preserve">حي اور</t>
    </r>
    <r>
      <rPr>
        <sz val="10"/>
        <color rgb="FF000000"/>
        <rFont val="Arial Narrow"/>
        <family val="2"/>
        <charset val="1"/>
      </rPr>
      <t xml:space="preserve">-329</t>
    </r>
  </si>
  <si>
    <t xml:space="preserve">Jowad Al Faiadh Village</t>
  </si>
  <si>
    <t xml:space="preserve">قرية جواد الفياض</t>
  </si>
  <si>
    <t xml:space="preserve">Mahmmud Al Musleh Village</t>
  </si>
  <si>
    <t xml:space="preserve">قرية محمود المصلح</t>
  </si>
  <si>
    <t xml:space="preserve">Majed al Naser village</t>
  </si>
  <si>
    <t xml:space="preserve">قرية مجيد الناصر</t>
  </si>
  <si>
    <t xml:space="preserve">Qaryat Al-Intisar</t>
  </si>
  <si>
    <t xml:space="preserve">قرية الانتصار</t>
  </si>
  <si>
    <t xml:space="preserve">Saba Qusor</t>
  </si>
  <si>
    <t xml:space="preserve">سبع قصور</t>
  </si>
  <si>
    <t xml:space="preserve">Taleb Al Ali Village</t>
  </si>
  <si>
    <t xml:space="preserve">قرية طالب العلي</t>
  </si>
  <si>
    <t xml:space="preserve">Tarbiya-317</t>
  </si>
  <si>
    <r>
      <rPr>
        <sz val="10"/>
        <color rgb="FF000000"/>
        <rFont val="Lohit Devanagari"/>
        <family val="2"/>
      </rPr>
      <t xml:space="preserve">التربية</t>
    </r>
    <r>
      <rPr>
        <sz val="10"/>
        <color rgb="FF000000"/>
        <rFont val="Arial Narrow"/>
        <family val="2"/>
        <charset val="1"/>
      </rPr>
      <t xml:space="preserve">-317</t>
    </r>
  </si>
  <si>
    <t xml:space="preserve">Tunis-326</t>
  </si>
  <si>
    <r>
      <rPr>
        <sz val="10"/>
        <color rgb="FF000000"/>
        <rFont val="Lohit Devanagari"/>
        <family val="2"/>
      </rPr>
      <t xml:space="preserve">تونس</t>
    </r>
    <r>
      <rPr>
        <sz val="10"/>
        <color rgb="FF000000"/>
        <rFont val="Arial Narrow"/>
        <family val="2"/>
        <charset val="1"/>
      </rPr>
      <t xml:space="preserve">-326</t>
    </r>
  </si>
  <si>
    <t xml:space="preserve">Tunis-328</t>
  </si>
  <si>
    <r>
      <rPr>
        <sz val="10"/>
        <color rgb="FF000000"/>
        <rFont val="Lohit Devanagari"/>
        <family val="2"/>
      </rPr>
      <t xml:space="preserve">تونس</t>
    </r>
    <r>
      <rPr>
        <sz val="10"/>
        <color rgb="FF000000"/>
        <rFont val="Arial Narrow"/>
        <family val="2"/>
        <charset val="1"/>
      </rPr>
      <t xml:space="preserve">-328</t>
    </r>
  </si>
  <si>
    <t xml:space="preserve">Tunis-330</t>
  </si>
  <si>
    <r>
      <rPr>
        <sz val="10"/>
        <color rgb="FF000000"/>
        <rFont val="Lohit Devanagari"/>
        <family val="2"/>
      </rPr>
      <t xml:space="preserve">تونس</t>
    </r>
    <r>
      <rPr>
        <sz val="10"/>
        <color rgb="FF000000"/>
        <rFont val="Arial Narrow"/>
        <family val="2"/>
        <charset val="1"/>
      </rPr>
      <t xml:space="preserve">-330</t>
    </r>
  </si>
  <si>
    <t xml:space="preserve">Zuber jaata village</t>
  </si>
  <si>
    <t xml:space="preserve">قرية زبير جعاطة</t>
  </si>
  <si>
    <t xml:space="preserve">Al Resafa</t>
  </si>
  <si>
    <t xml:space="preserve">14 Tamoz-508</t>
  </si>
  <si>
    <r>
      <rPr>
        <sz val="10"/>
        <color rgb="FF000000"/>
        <rFont val="Arial Narrow"/>
        <family val="2"/>
        <charset val="1"/>
      </rPr>
      <t xml:space="preserve">508-14 </t>
    </r>
    <r>
      <rPr>
        <sz val="10"/>
        <color rgb="FF000000"/>
        <rFont val="Lohit Devanagari"/>
        <family val="2"/>
      </rPr>
      <t xml:space="preserve">تمو</t>
    </r>
  </si>
  <si>
    <t xml:space="preserve">14 Tamoz-510</t>
  </si>
  <si>
    <r>
      <rPr>
        <sz val="10"/>
        <color rgb="FF000000"/>
        <rFont val="Arial Narrow"/>
        <family val="2"/>
        <charset val="1"/>
      </rPr>
      <t xml:space="preserve">510-14 </t>
    </r>
    <r>
      <rPr>
        <sz val="10"/>
        <color rgb="FF000000"/>
        <rFont val="Lohit Devanagari"/>
        <family val="2"/>
      </rPr>
      <t xml:space="preserve">تموز</t>
    </r>
  </si>
  <si>
    <t xml:space="preserve">Abu Nuas-102</t>
  </si>
  <si>
    <r>
      <rPr>
        <sz val="10"/>
        <color rgb="FF000000"/>
        <rFont val="Lohit Devanagari"/>
        <family val="2"/>
      </rPr>
      <t xml:space="preserve">أبو نؤاس</t>
    </r>
    <r>
      <rPr>
        <sz val="10"/>
        <color rgb="FF000000"/>
        <rFont val="Arial Narrow"/>
        <family val="2"/>
        <charset val="1"/>
      </rPr>
      <t xml:space="preserve">-102</t>
    </r>
  </si>
  <si>
    <t xml:space="preserve">Al Ameen-737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</si>
  <si>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-737</t>
    </r>
  </si>
  <si>
    <t xml:space="preserve">Al Ameen-739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</si>
  <si>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-739</t>
    </r>
  </si>
  <si>
    <t xml:space="preserve">Al Ameen-741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</si>
  <si>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-741</t>
    </r>
  </si>
  <si>
    <t xml:space="preserve">Al Ameen-743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</si>
  <si>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-743</t>
    </r>
  </si>
  <si>
    <t xml:space="preserve">Al Ameen-745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</si>
  <si>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-745</t>
    </r>
  </si>
  <si>
    <t xml:space="preserve">Al Ameen-747</t>
  </si>
  <si>
    <r>
      <rPr>
        <sz val="10"/>
        <color rgb="FF000000"/>
        <rFont val="Lohit Devanagari"/>
        <family val="2"/>
      </rPr>
      <t xml:space="preserve">الأمين</t>
    </r>
    <r>
      <rPr>
        <sz val="10"/>
        <color rgb="FF000000"/>
        <rFont val="Arial Narrow"/>
        <family val="2"/>
        <charset val="1"/>
      </rPr>
      <t xml:space="preserve">-747</t>
    </r>
  </si>
  <si>
    <t xml:space="preserve">Al Atebaa-116</t>
  </si>
  <si>
    <r>
      <rPr>
        <sz val="10"/>
        <color rgb="FF000000"/>
        <rFont val="Lohit Devanagari"/>
        <family val="2"/>
      </rPr>
      <t xml:space="preserve">الأطباء</t>
    </r>
    <r>
      <rPr>
        <sz val="10"/>
        <color rgb="FF000000"/>
        <rFont val="Arial Narrow"/>
        <family val="2"/>
        <charset val="1"/>
      </rPr>
      <t xml:space="preserve">-116</t>
    </r>
  </si>
  <si>
    <t xml:space="preserve">Al Atebaa-118</t>
  </si>
  <si>
    <r>
      <rPr>
        <sz val="10"/>
        <color rgb="FF000000"/>
        <rFont val="Lohit Devanagari"/>
        <family val="2"/>
      </rPr>
      <t xml:space="preserve">الأطباء</t>
    </r>
    <r>
      <rPr>
        <sz val="10"/>
        <color rgb="FF000000"/>
        <rFont val="Arial Narrow"/>
        <family val="2"/>
        <charset val="1"/>
      </rPr>
      <t xml:space="preserve">-118</t>
    </r>
  </si>
  <si>
    <t xml:space="preserve">Al Atebaa-120</t>
  </si>
  <si>
    <r>
      <rPr>
        <sz val="10"/>
        <color rgb="FF000000"/>
        <rFont val="Lohit Devanagari"/>
        <family val="2"/>
      </rPr>
      <t xml:space="preserve">الاطباء</t>
    </r>
    <r>
      <rPr>
        <sz val="10"/>
        <color rgb="FF000000"/>
        <rFont val="Arial Narrow"/>
        <family val="2"/>
        <charset val="1"/>
      </rPr>
      <t xml:space="preserve">-120</t>
    </r>
  </si>
  <si>
    <t xml:space="preserve">Al baladiyat-728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</si>
  <si>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-728</t>
    </r>
  </si>
  <si>
    <t xml:space="preserve">Al baladiyat-730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</si>
  <si>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-730</t>
    </r>
  </si>
  <si>
    <t xml:space="preserve">Al baladiyat-732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</si>
  <si>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-732</t>
    </r>
  </si>
  <si>
    <t xml:space="preserve">Al baladiyat-734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</si>
  <si>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-734</t>
    </r>
  </si>
  <si>
    <t xml:space="preserve">Al baladiyat-738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</si>
  <si>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-738</t>
    </r>
  </si>
  <si>
    <t xml:space="preserve">Al Baladiyat-744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</si>
  <si>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-744</t>
    </r>
  </si>
  <si>
    <t xml:space="preserve">Al Baladiyat-746</t>
  </si>
  <si>
    <r>
      <rPr>
        <sz val="10"/>
        <color rgb="FF000000"/>
        <rFont val="Lohit Devanagari"/>
        <family val="2"/>
      </rPr>
      <t xml:space="preserve">البلديات</t>
    </r>
    <r>
      <rPr>
        <sz val="10"/>
        <color rgb="FF000000"/>
        <rFont val="Arial Narrow"/>
        <family val="2"/>
        <charset val="1"/>
      </rPr>
      <t xml:space="preserve">-746</t>
    </r>
  </si>
  <si>
    <t xml:space="preserve">Al Edreesiy-505</t>
  </si>
  <si>
    <r>
      <rPr>
        <sz val="10"/>
        <color rgb="FF000000"/>
        <rFont val="Lohit Devanagari"/>
        <family val="2"/>
      </rPr>
      <t xml:space="preserve">الأدريسي</t>
    </r>
    <r>
      <rPr>
        <sz val="10"/>
        <color rgb="FF000000"/>
        <rFont val="Arial Narrow"/>
        <family val="2"/>
        <charset val="1"/>
      </rPr>
      <t xml:space="preserve">-505</t>
    </r>
  </si>
  <si>
    <t xml:space="preserve">Al Edreesiy-507</t>
  </si>
  <si>
    <r>
      <rPr>
        <sz val="10"/>
        <color rgb="FF000000"/>
        <rFont val="Lohit Devanagari"/>
        <family val="2"/>
      </rPr>
      <t xml:space="preserve">الادريسي</t>
    </r>
    <r>
      <rPr>
        <sz val="10"/>
        <color rgb="FF000000"/>
        <rFont val="Arial Narrow"/>
        <family val="2"/>
        <charset val="1"/>
      </rPr>
      <t xml:space="preserve">-507</t>
    </r>
  </si>
  <si>
    <t xml:space="preserve">Al Fudhiliyah-753</t>
  </si>
  <si>
    <r>
      <rPr>
        <sz val="10"/>
        <color rgb="FF000000"/>
        <rFont val="Lohit Devanagari"/>
        <family val="2"/>
      </rPr>
      <t xml:space="preserve">الفضيلية</t>
    </r>
    <r>
      <rPr>
        <sz val="10"/>
        <color rgb="FF000000"/>
        <rFont val="Arial Narrow"/>
        <family val="2"/>
        <charset val="1"/>
      </rPr>
      <t xml:space="preserve">-753</t>
    </r>
  </si>
  <si>
    <t xml:space="preserve">Al Gilani-123</t>
  </si>
  <si>
    <r>
      <rPr>
        <sz val="10"/>
        <color rgb="FF000000"/>
        <rFont val="Lohit Devanagari"/>
        <family val="2"/>
      </rPr>
      <t xml:space="preserve">الكيلاني</t>
    </r>
    <r>
      <rPr>
        <sz val="10"/>
        <color rgb="FF000000"/>
        <rFont val="Arial Narrow"/>
        <family val="2"/>
        <charset val="1"/>
      </rPr>
      <t xml:space="preserve">-123</t>
    </r>
  </si>
  <si>
    <t xml:space="preserve">Al Jumhoriyah 111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</si>
  <si>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-111</t>
    </r>
  </si>
  <si>
    <t xml:space="preserve">Al Jumhoriyah-109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</si>
  <si>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-109</t>
    </r>
  </si>
  <si>
    <t xml:space="preserve">Al Jumhoriyah-113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</si>
  <si>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-113</t>
    </r>
  </si>
  <si>
    <t xml:space="preserve">Al Jumhoriyah-115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</si>
  <si>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-115</t>
    </r>
  </si>
  <si>
    <t xml:space="preserve">Al Jumhoriyah-117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</si>
  <si>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-117</t>
    </r>
  </si>
  <si>
    <t xml:space="preserve">Al Jumhoriyah-119</t>
  </si>
  <si>
    <r>
      <rPr>
        <sz val="10"/>
        <color rgb="FF000000"/>
        <rFont val="Lohit Devanagari"/>
        <family val="2"/>
      </rPr>
      <t xml:space="preserve">الجمهورية</t>
    </r>
    <r>
      <rPr>
        <sz val="10"/>
        <color rgb="FF000000"/>
        <rFont val="Arial Narrow"/>
        <family val="2"/>
        <charset val="1"/>
      </rPr>
      <t xml:space="preserve">-119</t>
    </r>
  </si>
  <si>
    <t xml:space="preserve">Al Kamaliya-757</t>
  </si>
  <si>
    <r>
      <rPr>
        <sz val="10"/>
        <color rgb="FF000000"/>
        <rFont val="Lohit Devanagari"/>
        <family val="2"/>
      </rPr>
      <t xml:space="preserve">الكمالية</t>
    </r>
    <r>
      <rPr>
        <sz val="10"/>
        <color rgb="FF000000"/>
        <rFont val="Arial Narrow"/>
        <family val="2"/>
        <charset val="1"/>
      </rPr>
      <t xml:space="preserve">-757</t>
    </r>
  </si>
  <si>
    <t xml:space="preserve">Al Kamaliya-759</t>
  </si>
  <si>
    <r>
      <rPr>
        <sz val="10"/>
        <color rgb="FF000000"/>
        <rFont val="Lohit Devanagari"/>
        <family val="2"/>
      </rPr>
      <t xml:space="preserve">الكمالية</t>
    </r>
    <r>
      <rPr>
        <sz val="10"/>
        <color rgb="FF000000"/>
        <rFont val="Arial Narrow"/>
        <family val="2"/>
        <charset val="1"/>
      </rPr>
      <t xml:space="preserve">-759</t>
    </r>
  </si>
  <si>
    <t xml:space="preserve">Al Kamaliya-765</t>
  </si>
  <si>
    <r>
      <rPr>
        <sz val="10"/>
        <color rgb="FF000000"/>
        <rFont val="Lohit Devanagari"/>
        <family val="2"/>
      </rPr>
      <t xml:space="preserve">الكمالية</t>
    </r>
    <r>
      <rPr>
        <sz val="10"/>
        <color rgb="FF000000"/>
        <rFont val="Arial Narrow"/>
        <family val="2"/>
        <charset val="1"/>
      </rPr>
      <t xml:space="preserve">-765</t>
    </r>
  </si>
  <si>
    <t xml:space="preserve">Al Kamaliya-767</t>
  </si>
  <si>
    <r>
      <rPr>
        <sz val="10"/>
        <color rgb="FF000000"/>
        <rFont val="Lohit Devanagari"/>
        <family val="2"/>
      </rPr>
      <t xml:space="preserve">الكمالية</t>
    </r>
    <r>
      <rPr>
        <sz val="10"/>
        <color rgb="FF000000"/>
        <rFont val="Arial Narrow"/>
        <family val="2"/>
        <charset val="1"/>
      </rPr>
      <t xml:space="preserve">-767</t>
    </r>
  </si>
  <si>
    <t xml:space="preserve">Al Karada-901</t>
  </si>
  <si>
    <r>
      <rPr>
        <sz val="10"/>
        <color rgb="FF000000"/>
        <rFont val="Lohit Devanagari"/>
        <family val="2"/>
      </rPr>
      <t xml:space="preserve">الكرادة</t>
    </r>
    <r>
      <rPr>
        <sz val="10"/>
        <color rgb="FF000000"/>
        <rFont val="Arial Narrow"/>
        <family val="2"/>
        <charset val="1"/>
      </rPr>
      <t xml:space="preserve">-901</t>
    </r>
  </si>
  <si>
    <t xml:space="preserve">Al Karada-903</t>
  </si>
  <si>
    <r>
      <rPr>
        <sz val="10"/>
        <color rgb="FF000000"/>
        <rFont val="Lohit Devanagari"/>
        <family val="2"/>
      </rPr>
      <t xml:space="preserve">الكرادة</t>
    </r>
    <r>
      <rPr>
        <sz val="10"/>
        <color rgb="FF000000"/>
        <rFont val="Arial Narrow"/>
        <family val="2"/>
        <charset val="1"/>
      </rPr>
      <t xml:space="preserve">-903</t>
    </r>
  </si>
  <si>
    <t xml:space="preserve">Al Karada-905</t>
  </si>
  <si>
    <r>
      <rPr>
        <sz val="10"/>
        <color rgb="FF000000"/>
        <rFont val="Lohit Devanagari"/>
        <family val="2"/>
      </rPr>
      <t xml:space="preserve">الكرادة</t>
    </r>
    <r>
      <rPr>
        <sz val="10"/>
        <color rgb="FF000000"/>
        <rFont val="Arial Narrow"/>
        <family val="2"/>
        <charset val="1"/>
      </rPr>
      <t xml:space="preserve">-905</t>
    </r>
  </si>
  <si>
    <t xml:space="preserve">Al Karada-907</t>
  </si>
  <si>
    <r>
      <rPr>
        <sz val="10"/>
        <color rgb="FF000000"/>
        <rFont val="Lohit Devanagari"/>
        <family val="2"/>
      </rPr>
      <t xml:space="preserve">الكرادة</t>
    </r>
    <r>
      <rPr>
        <sz val="10"/>
        <color rgb="FF000000"/>
        <rFont val="Arial Narrow"/>
        <family val="2"/>
        <charset val="1"/>
      </rPr>
      <t xml:space="preserve">-907</t>
    </r>
  </si>
  <si>
    <t xml:space="preserve">Al Maamil-771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</si>
  <si>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-771</t>
    </r>
  </si>
  <si>
    <t xml:space="preserve">Al Maamil-772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</si>
  <si>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-772</t>
    </r>
  </si>
  <si>
    <t xml:space="preserve">Al Maamil-773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</si>
  <si>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-773</t>
    </r>
  </si>
  <si>
    <t xml:space="preserve">Al Maamil-774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</si>
  <si>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-774</t>
    </r>
  </si>
  <si>
    <t xml:space="preserve">Al Maamil-779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</si>
  <si>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-779</t>
    </r>
  </si>
  <si>
    <t xml:space="preserve">Al Maamil-781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</si>
  <si>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-781</t>
    </r>
  </si>
  <si>
    <t xml:space="preserve">Al Maamil-799</t>
  </si>
  <si>
    <r>
      <rPr>
        <sz val="10"/>
        <color rgb="FF000000"/>
        <rFont val="Lohit Devanagari"/>
        <family val="2"/>
      </rPr>
      <t xml:space="preserve">المعامل</t>
    </r>
    <r>
      <rPr>
        <sz val="10"/>
        <color rgb="FF000000"/>
        <rFont val="Arial Narrow"/>
        <family val="2"/>
        <charset val="1"/>
      </rPr>
      <t xml:space="preserve">-799</t>
    </r>
  </si>
  <si>
    <t xml:space="preserve">Al Mashtal-729</t>
  </si>
  <si>
    <r>
      <rPr>
        <sz val="10"/>
        <color rgb="FF000000"/>
        <rFont val="Lohit Devanagari"/>
        <family val="2"/>
      </rPr>
      <t xml:space="preserve">المشتل</t>
    </r>
    <r>
      <rPr>
        <sz val="10"/>
        <color rgb="FF000000"/>
        <rFont val="Arial Narrow"/>
        <family val="2"/>
        <charset val="1"/>
      </rPr>
      <t xml:space="preserve">-729</t>
    </r>
  </si>
  <si>
    <t xml:space="preserve">Al Mashtal-731</t>
  </si>
  <si>
    <r>
      <rPr>
        <sz val="10"/>
        <color rgb="FF000000"/>
        <rFont val="Lohit Devanagari"/>
        <family val="2"/>
      </rPr>
      <t xml:space="preserve">المشتل</t>
    </r>
    <r>
      <rPr>
        <sz val="10"/>
        <color rgb="FF000000"/>
        <rFont val="Arial Narrow"/>
        <family val="2"/>
        <charset val="1"/>
      </rPr>
      <t xml:space="preserve">-731</t>
    </r>
  </si>
  <si>
    <t xml:space="preserve">Al Mashtal-733</t>
  </si>
  <si>
    <r>
      <rPr>
        <sz val="10"/>
        <color rgb="FF000000"/>
        <rFont val="Lohit Devanagari"/>
        <family val="2"/>
      </rPr>
      <t xml:space="preserve">المشتل</t>
    </r>
    <r>
      <rPr>
        <sz val="10"/>
        <color rgb="FF000000"/>
        <rFont val="Arial Narrow"/>
        <family val="2"/>
        <charset val="1"/>
      </rPr>
      <t xml:space="preserve">-733</t>
    </r>
  </si>
  <si>
    <t xml:space="preserve">Al Mashtal-735</t>
  </si>
  <si>
    <r>
      <rPr>
        <sz val="10"/>
        <color rgb="FF000000"/>
        <rFont val="Lohit Devanagari"/>
        <family val="2"/>
      </rPr>
      <t xml:space="preserve">المشتل</t>
    </r>
    <r>
      <rPr>
        <sz val="10"/>
        <color rgb="FF000000"/>
        <rFont val="Arial Narrow"/>
        <family val="2"/>
        <charset val="1"/>
      </rPr>
      <t xml:space="preserve">-735</t>
    </r>
  </si>
  <si>
    <t xml:space="preserve">Al Mashtal-751</t>
  </si>
  <si>
    <r>
      <rPr>
        <sz val="10"/>
        <color rgb="FF000000"/>
        <rFont val="Lohit Devanagari"/>
        <family val="2"/>
      </rPr>
      <t xml:space="preserve">المشتل</t>
    </r>
    <r>
      <rPr>
        <sz val="10"/>
        <color rgb="FF000000"/>
        <rFont val="Arial Narrow"/>
        <family val="2"/>
        <charset val="1"/>
      </rPr>
      <t xml:space="preserve">-751</t>
    </r>
  </si>
  <si>
    <t xml:space="preserve">Al muthana-710</t>
  </si>
  <si>
    <r>
      <rPr>
        <sz val="10"/>
        <color rgb="FF000000"/>
        <rFont val="Lohit Devanagari"/>
        <family val="2"/>
      </rPr>
      <t xml:space="preserve">المثنى</t>
    </r>
    <r>
      <rPr>
        <sz val="10"/>
        <color rgb="FF000000"/>
        <rFont val="Arial Narrow"/>
        <family val="2"/>
        <charset val="1"/>
      </rPr>
      <t xml:space="preserve">-710</t>
    </r>
  </si>
  <si>
    <t xml:space="preserve">Al Muthana-712</t>
  </si>
  <si>
    <r>
      <rPr>
        <sz val="10"/>
        <color rgb="FF000000"/>
        <rFont val="Lohit Devanagari"/>
        <family val="2"/>
      </rPr>
      <t xml:space="preserve">المثنى</t>
    </r>
    <r>
      <rPr>
        <sz val="10"/>
        <color rgb="FF000000"/>
        <rFont val="Arial Narrow"/>
        <family val="2"/>
        <charset val="1"/>
      </rPr>
      <t xml:space="preserve">-712</t>
    </r>
  </si>
  <si>
    <t xml:space="preserve">Al Muthana-714</t>
  </si>
  <si>
    <r>
      <rPr>
        <sz val="10"/>
        <color rgb="FF000000"/>
        <rFont val="Lohit Devanagari"/>
        <family val="2"/>
      </rPr>
      <t xml:space="preserve">المثنى</t>
    </r>
    <r>
      <rPr>
        <sz val="10"/>
        <color rgb="FF000000"/>
        <rFont val="Arial Narrow"/>
        <family val="2"/>
        <charset val="1"/>
      </rPr>
      <t xml:space="preserve">-714</t>
    </r>
  </si>
  <si>
    <t xml:space="preserve">Al Muthana-716</t>
  </si>
  <si>
    <r>
      <rPr>
        <sz val="10"/>
        <color rgb="FF000000"/>
        <rFont val="Lohit Devanagari"/>
        <family val="2"/>
      </rPr>
      <t xml:space="preserve">المثنى</t>
    </r>
    <r>
      <rPr>
        <sz val="10"/>
        <color rgb="FF000000"/>
        <rFont val="Arial Narrow"/>
        <family val="2"/>
        <charset val="1"/>
      </rPr>
      <t xml:space="preserve">-716</t>
    </r>
  </si>
  <si>
    <t xml:space="preserve">Al Muthana-718</t>
  </si>
  <si>
    <r>
      <rPr>
        <sz val="10"/>
        <color rgb="FF000000"/>
        <rFont val="Lohit Devanagari"/>
        <family val="2"/>
      </rPr>
      <t xml:space="preserve">المثنى</t>
    </r>
    <r>
      <rPr>
        <sz val="10"/>
        <color rgb="FF000000"/>
        <rFont val="Arial Narrow"/>
        <family val="2"/>
        <charset val="1"/>
      </rPr>
      <t xml:space="preserve">-718</t>
    </r>
  </si>
  <si>
    <t xml:space="preserve">Al Nidhal-103</t>
  </si>
  <si>
    <r>
      <rPr>
        <sz val="10"/>
        <color rgb="FF000000"/>
        <rFont val="Lohit Devanagari"/>
        <family val="2"/>
      </rPr>
      <t xml:space="preserve">النضال</t>
    </r>
    <r>
      <rPr>
        <sz val="10"/>
        <color rgb="FF000000"/>
        <rFont val="Arial Narrow"/>
        <family val="2"/>
        <charset val="1"/>
      </rPr>
      <t xml:space="preserve">-103</t>
    </r>
  </si>
  <si>
    <t xml:space="preserve">Al Nile-503</t>
  </si>
  <si>
    <r>
      <rPr>
        <sz val="10"/>
        <color rgb="FF000000"/>
        <rFont val="Lohit Devanagari"/>
        <family val="2"/>
      </rPr>
      <t xml:space="preserve">النيل</t>
    </r>
    <r>
      <rPr>
        <sz val="10"/>
        <color rgb="FF000000"/>
        <rFont val="Arial Narrow"/>
        <family val="2"/>
        <charset val="1"/>
      </rPr>
      <t xml:space="preserve">-503</t>
    </r>
  </si>
  <si>
    <t xml:space="preserve">Al Rasheed-104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</si>
  <si>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-104</t>
    </r>
  </si>
  <si>
    <t xml:space="preserve">Al Rasheed-108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</si>
  <si>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-108</t>
    </r>
  </si>
  <si>
    <t xml:space="preserve">Al Rasheed-112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</si>
  <si>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-112</t>
    </r>
  </si>
  <si>
    <t xml:space="preserve">Al Rasheed-114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</si>
  <si>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-114</t>
    </r>
  </si>
  <si>
    <t xml:space="preserve">Al Riyadh-910</t>
  </si>
  <si>
    <r>
      <rPr>
        <sz val="10"/>
        <color rgb="FF000000"/>
        <rFont val="Lohit Devanagari"/>
        <family val="2"/>
      </rPr>
      <t xml:space="preserve">الرياض</t>
    </r>
    <r>
      <rPr>
        <sz val="10"/>
        <color rgb="FF000000"/>
        <rFont val="Arial Narrow"/>
        <family val="2"/>
        <charset val="1"/>
      </rPr>
      <t xml:space="preserve">-910</t>
    </r>
  </si>
  <si>
    <t xml:space="preserve">Al Saadon-101</t>
  </si>
  <si>
    <r>
      <rPr>
        <sz val="10"/>
        <color rgb="FF000000"/>
        <rFont val="Lohit Devanagari"/>
        <family val="2"/>
      </rPr>
      <t xml:space="preserve">السعدون</t>
    </r>
    <r>
      <rPr>
        <sz val="10"/>
        <color rgb="FF000000"/>
        <rFont val="Arial Narrow"/>
        <family val="2"/>
        <charset val="1"/>
      </rPr>
      <t xml:space="preserve">-101</t>
    </r>
  </si>
  <si>
    <t xml:space="preserve">Al Shaikh Omer-125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</si>
  <si>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-125</t>
    </r>
  </si>
  <si>
    <t xml:space="preserve">Al Shaikh Omer-127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</si>
  <si>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-127</t>
    </r>
  </si>
  <si>
    <t xml:space="preserve">Al Shaikh Omer-129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</si>
  <si>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-129</t>
    </r>
  </si>
  <si>
    <t xml:space="preserve">Al Shaikh Omer-131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</si>
  <si>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-131</t>
    </r>
  </si>
  <si>
    <t xml:space="preserve">Al Shaikh Omer-137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</si>
  <si>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-137</t>
    </r>
  </si>
  <si>
    <t xml:space="preserve">Al Shaikh Omer-145</t>
  </si>
  <si>
    <r>
      <rPr>
        <sz val="10"/>
        <color rgb="FF000000"/>
        <rFont val="Lohit Devanagari"/>
        <family val="2"/>
      </rPr>
      <t xml:space="preserve">الشيخ عمر</t>
    </r>
    <r>
      <rPr>
        <sz val="10"/>
        <color rgb="FF000000"/>
        <rFont val="Arial Narrow"/>
        <family val="2"/>
        <charset val="1"/>
      </rPr>
      <t xml:space="preserve">-145</t>
    </r>
  </si>
  <si>
    <t xml:space="preserve">Al Sindabad-979</t>
  </si>
  <si>
    <r>
      <rPr>
        <sz val="10"/>
        <color rgb="FF000000"/>
        <rFont val="Lohit Devanagari"/>
        <family val="2"/>
      </rPr>
      <t xml:space="preserve">السندباد</t>
    </r>
    <r>
      <rPr>
        <sz val="10"/>
        <color rgb="FF000000"/>
        <rFont val="Arial Narrow"/>
        <family val="2"/>
        <charset val="1"/>
      </rPr>
      <t xml:space="preserve">-979</t>
    </r>
  </si>
  <si>
    <t xml:space="preserve">Al Sindebad-977</t>
  </si>
  <si>
    <r>
      <rPr>
        <sz val="10"/>
        <color rgb="FF000000"/>
        <rFont val="Lohit Devanagari"/>
        <family val="2"/>
      </rPr>
      <t xml:space="preserve">السندباد</t>
    </r>
    <r>
      <rPr>
        <sz val="10"/>
        <color rgb="FF000000"/>
        <rFont val="Arial Narrow"/>
        <family val="2"/>
        <charset val="1"/>
      </rPr>
      <t xml:space="preserve">-977</t>
    </r>
  </si>
  <si>
    <t xml:space="preserve">Al Sindibad-949</t>
  </si>
  <si>
    <r>
      <rPr>
        <sz val="10"/>
        <color rgb="FF000000"/>
        <rFont val="Lohit Devanagari"/>
        <family val="2"/>
      </rPr>
      <t xml:space="preserve">السندباد</t>
    </r>
    <r>
      <rPr>
        <sz val="10"/>
        <color rgb="FF000000"/>
        <rFont val="Arial Narrow"/>
        <family val="2"/>
        <charset val="1"/>
      </rPr>
      <t xml:space="preserve">-949</t>
    </r>
  </si>
  <si>
    <t xml:space="preserve">Al Ubaidy 760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</si>
  <si>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-760</t>
    </r>
  </si>
  <si>
    <t xml:space="preserve">Al Ubaidy 766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</si>
  <si>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-766</t>
    </r>
  </si>
  <si>
    <t xml:space="preserve">Al Ubaidy 768</t>
  </si>
  <si>
    <r>
      <rPr>
        <sz val="10"/>
        <color rgb="FF000000"/>
        <rFont val="Lohit Devanagari"/>
        <family val="2"/>
      </rPr>
      <t xml:space="preserve">العبيدي </t>
    </r>
    <r>
      <rPr>
        <sz val="10"/>
        <color rgb="FF000000"/>
        <rFont val="Arial Narrow"/>
        <family val="2"/>
        <charset val="1"/>
      </rPr>
      <t xml:space="preserve">768</t>
    </r>
  </si>
  <si>
    <t xml:space="preserve">Al Ubaidy-752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</si>
  <si>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-752</t>
    </r>
  </si>
  <si>
    <t xml:space="preserve">Al Ubaidy-756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</si>
  <si>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-756</t>
    </r>
  </si>
  <si>
    <t xml:space="preserve">Al Ubaidy-758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</si>
  <si>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-758</t>
    </r>
  </si>
  <si>
    <t xml:space="preserve">Al Ubaidy-762</t>
  </si>
  <si>
    <r>
      <rPr>
        <sz val="10"/>
        <color rgb="FF000000"/>
        <rFont val="Lohit Devanagari"/>
        <family val="2"/>
      </rPr>
      <t xml:space="preserve">العبيدي</t>
    </r>
    <r>
      <rPr>
        <sz val="10"/>
        <color rgb="FF000000"/>
        <rFont val="Arial Narrow"/>
        <family val="2"/>
        <charset val="1"/>
      </rPr>
      <t xml:space="preserve">-762</t>
    </r>
  </si>
  <si>
    <t xml:space="preserve">Al Wehda-902</t>
  </si>
  <si>
    <r>
      <rPr>
        <sz val="10"/>
        <color rgb="FF000000"/>
        <rFont val="Lohit Devanagari"/>
        <family val="2"/>
      </rPr>
      <t xml:space="preserve">الوحدة</t>
    </r>
    <r>
      <rPr>
        <sz val="10"/>
        <color rgb="FF000000"/>
        <rFont val="Arial Narrow"/>
        <family val="2"/>
        <charset val="1"/>
      </rPr>
      <t xml:space="preserve">-902</t>
    </r>
  </si>
  <si>
    <t xml:space="preserve">Al Wehda-904</t>
  </si>
  <si>
    <r>
      <rPr>
        <sz val="10"/>
        <color rgb="FF000000"/>
        <rFont val="Lohit Devanagari"/>
        <family val="2"/>
      </rPr>
      <t xml:space="preserve">الوحدة</t>
    </r>
    <r>
      <rPr>
        <sz val="10"/>
        <color rgb="FF000000"/>
        <rFont val="Arial Narrow"/>
        <family val="2"/>
        <charset val="1"/>
      </rPr>
      <t xml:space="preserve">-904</t>
    </r>
  </si>
  <si>
    <t xml:space="preserve">Al Wehda-906</t>
  </si>
  <si>
    <r>
      <rPr>
        <sz val="10"/>
        <color rgb="FF000000"/>
        <rFont val="Lohit Devanagari"/>
        <family val="2"/>
      </rPr>
      <t xml:space="preserve">الوحدة</t>
    </r>
    <r>
      <rPr>
        <sz val="10"/>
        <color rgb="FF000000"/>
        <rFont val="Arial Narrow"/>
        <family val="2"/>
        <charset val="1"/>
      </rPr>
      <t xml:space="preserve">-906</t>
    </r>
  </si>
  <si>
    <t xml:space="preserve">Al Zaafaranyah-951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</si>
  <si>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-951</t>
    </r>
  </si>
  <si>
    <t xml:space="preserve">Al Zaafaranyah-953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</si>
  <si>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-953</t>
    </r>
  </si>
  <si>
    <t xml:space="preserve">Al Zaafaranyah-955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</si>
  <si>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-955</t>
    </r>
  </si>
  <si>
    <t xml:space="preserve">Al Zaafaranyah-959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</si>
  <si>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-959</t>
    </r>
  </si>
  <si>
    <t xml:space="preserve">Al Zaafaranyah-961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</si>
  <si>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-961</t>
    </r>
  </si>
  <si>
    <t xml:space="preserve">Al Zaafaranyah-965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</si>
  <si>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-965</t>
    </r>
  </si>
  <si>
    <t xml:space="preserve">Al Zaafaranyah-969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</si>
  <si>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-969</t>
    </r>
  </si>
  <si>
    <t xml:space="preserve">Al Zafaraniyah-957</t>
  </si>
  <si>
    <r>
      <rPr>
        <sz val="10"/>
        <color rgb="FF000000"/>
        <rFont val="Lohit Devanagari"/>
        <family val="2"/>
      </rPr>
      <t xml:space="preserve">الزعفرانية</t>
    </r>
    <r>
      <rPr>
        <sz val="10"/>
        <color rgb="FF000000"/>
        <rFont val="Arial Narrow"/>
        <family val="2"/>
        <charset val="1"/>
      </rPr>
      <t xml:space="preserve">-957</t>
    </r>
  </si>
  <si>
    <t xml:space="preserve">Baghdad Al Jadidah-701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</si>
  <si>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-701</t>
    </r>
  </si>
  <si>
    <t xml:space="preserve">Baghdad Al Jadidah-709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</si>
  <si>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-709</t>
    </r>
  </si>
  <si>
    <t xml:space="preserve">Baghdad Al Jadidia-711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</si>
  <si>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-711</t>
    </r>
  </si>
  <si>
    <t xml:space="preserve">Baghdad Al Jadidia-713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</si>
  <si>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-713</t>
    </r>
  </si>
  <si>
    <t xml:space="preserve">Baghdad Al Jadidia-717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</si>
  <si>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-717</t>
    </r>
  </si>
  <si>
    <t xml:space="preserve">Baghdad Al Jadidia-719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</si>
  <si>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-719</t>
    </r>
  </si>
  <si>
    <t xml:space="preserve">Baghdad Al Jadidia-721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</si>
  <si>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-721</t>
    </r>
  </si>
  <si>
    <t xml:space="preserve">Baghdad Al Jadidia-723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</si>
  <si>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-723</t>
    </r>
  </si>
  <si>
    <t xml:space="preserve">Baghdad Al Jadidia-725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</si>
  <si>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-725</t>
    </r>
  </si>
  <si>
    <t xml:space="preserve">Baghdad Al Jadidia-727</t>
  </si>
  <si>
    <r>
      <rPr>
        <sz val="10"/>
        <color rgb="FF000000"/>
        <rFont val="Lohit Devanagari"/>
        <family val="2"/>
      </rPr>
      <t xml:space="preserve">بغداد الجديدة</t>
    </r>
    <r>
      <rPr>
        <sz val="10"/>
        <color rgb="FF000000"/>
        <rFont val="Arial Narrow"/>
        <family val="2"/>
        <charset val="1"/>
      </rPr>
      <t xml:space="preserve">-727</t>
    </r>
  </si>
  <si>
    <t xml:space="preserve">Hay Diyala-930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</si>
  <si>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-930</t>
    </r>
  </si>
  <si>
    <t xml:space="preserve">Hay Diyala-950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</si>
  <si>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-950</t>
    </r>
  </si>
  <si>
    <t xml:space="preserve">Hay Diyala-952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</si>
  <si>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-952</t>
    </r>
  </si>
  <si>
    <t xml:space="preserve">Hay Diyala-954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</si>
  <si>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-954</t>
    </r>
  </si>
  <si>
    <t xml:space="preserve">Hay Diyala-958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</si>
  <si>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-958</t>
    </r>
  </si>
  <si>
    <t xml:space="preserve">Hay Diyala-962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</si>
  <si>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-962</t>
    </r>
  </si>
  <si>
    <t xml:space="preserve">Hay Diyala-964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</si>
  <si>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-964</t>
    </r>
  </si>
  <si>
    <t xml:space="preserve">Hay Diyala-966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</si>
  <si>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-966</t>
    </r>
  </si>
  <si>
    <t xml:space="preserve">Hay Diyala-970</t>
  </si>
  <si>
    <r>
      <rPr>
        <sz val="10"/>
        <color rgb="FF000000"/>
        <rFont val="Lohit Devanagari"/>
        <family val="2"/>
      </rPr>
      <t xml:space="preserve">حي ديالى</t>
    </r>
    <r>
      <rPr>
        <sz val="10"/>
        <color rgb="FF000000"/>
        <rFont val="Arial Narrow"/>
        <family val="2"/>
        <charset val="1"/>
      </rPr>
      <t xml:space="preserve">-970</t>
    </r>
  </si>
  <si>
    <t xml:space="preserve">Hay Sumer-702</t>
  </si>
  <si>
    <r>
      <rPr>
        <sz val="10"/>
        <color rgb="FF000000"/>
        <rFont val="Lohit Devanagari"/>
        <family val="2"/>
      </rPr>
      <t xml:space="preserve">حي سومر</t>
    </r>
    <r>
      <rPr>
        <sz val="10"/>
        <color rgb="FF000000"/>
        <rFont val="Arial Narrow"/>
        <family val="2"/>
        <charset val="1"/>
      </rPr>
      <t xml:space="preserve">-702</t>
    </r>
  </si>
  <si>
    <t xml:space="preserve">Hay Sumer-706</t>
  </si>
  <si>
    <r>
      <rPr>
        <sz val="10"/>
        <color rgb="FF000000"/>
        <rFont val="Lohit Devanagari"/>
        <family val="2"/>
      </rPr>
      <t xml:space="preserve">حي سومر</t>
    </r>
    <r>
      <rPr>
        <sz val="10"/>
        <color rgb="FF000000"/>
        <rFont val="Arial Narrow"/>
        <family val="2"/>
        <charset val="1"/>
      </rPr>
      <t xml:space="preserve">-706</t>
    </r>
  </si>
  <si>
    <t xml:space="preserve">Hay Summer-704</t>
  </si>
  <si>
    <r>
      <rPr>
        <sz val="10"/>
        <color rgb="FF000000"/>
        <rFont val="Lohit Devanagari"/>
        <family val="2"/>
      </rPr>
      <t xml:space="preserve">حي سومر</t>
    </r>
    <r>
      <rPr>
        <sz val="10"/>
        <color rgb="FF000000"/>
        <rFont val="Arial Narrow"/>
        <family val="2"/>
        <charset val="1"/>
      </rPr>
      <t xml:space="preserve">-704</t>
    </r>
  </si>
  <si>
    <t xml:space="preserve">Zayona Camp</t>
  </si>
  <si>
    <t xml:space="preserve">مخيم زيونة</t>
  </si>
  <si>
    <t xml:space="preserve">Kadhimia</t>
  </si>
  <si>
    <t xml:space="preserve">Abaid al abd alla village</t>
  </si>
  <si>
    <t xml:space="preserve">قرية عبيد العبد الله</t>
  </si>
  <si>
    <t xml:space="preserve">Abd Al Hammad village</t>
  </si>
  <si>
    <t xml:space="preserve">قرية عبد الحماد</t>
  </si>
  <si>
    <t xml:space="preserve">Ahmed Al Hamid village</t>
  </si>
  <si>
    <t xml:space="preserve">قرية أحمد الحميد</t>
  </si>
  <si>
    <t xml:space="preserve">Ajeel Al Sultan village</t>
  </si>
  <si>
    <t xml:space="preserve">قرية عجيل السلطان</t>
  </si>
  <si>
    <t xml:space="preserve">Al Ahnaf-Al Rakia Fadel village</t>
  </si>
  <si>
    <r>
      <rPr>
        <sz val="10"/>
        <color rgb="FF000000"/>
        <rFont val="Lohit Devanagari"/>
        <family val="2"/>
      </rPr>
      <t xml:space="preserve">الأحنف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اركية وفاضل</t>
    </r>
  </si>
  <si>
    <t xml:space="preserve">Al Ahnaf-Al Sabaiyat</t>
  </si>
  <si>
    <r>
      <rPr>
        <sz val="10"/>
        <color rgb="FF000000"/>
        <rFont val="Lohit Devanagari"/>
        <family val="2"/>
      </rPr>
      <t xml:space="preserve">الاحنف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الصابيات</t>
    </r>
  </si>
  <si>
    <t xml:space="preserve">Al Ahnaf-Al Salamiat</t>
  </si>
  <si>
    <r>
      <rPr>
        <sz val="10"/>
        <color rgb="FF000000"/>
        <rFont val="Lohit Devanagari"/>
        <family val="2"/>
      </rPr>
      <t xml:space="preserve">الاحنف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السلاميات</t>
    </r>
  </si>
  <si>
    <t xml:space="preserve">Al Ateefia-407</t>
  </si>
  <si>
    <r>
      <rPr>
        <sz val="10"/>
        <color rgb="FF000000"/>
        <rFont val="Lohit Devanagari"/>
        <family val="2"/>
      </rPr>
      <t xml:space="preserve">العطيفية</t>
    </r>
    <r>
      <rPr>
        <sz val="10"/>
        <color rgb="FF000000"/>
        <rFont val="Arial Narrow"/>
        <family val="2"/>
        <charset val="1"/>
      </rPr>
      <t xml:space="preserve">-407</t>
    </r>
  </si>
  <si>
    <t xml:space="preserve">Al Ateefia-409</t>
  </si>
  <si>
    <r>
      <rPr>
        <sz val="10"/>
        <color rgb="FF000000"/>
        <rFont val="Lohit Devanagari"/>
        <family val="2"/>
      </rPr>
      <t xml:space="preserve">العطيفية</t>
    </r>
    <r>
      <rPr>
        <sz val="10"/>
        <color rgb="FF000000"/>
        <rFont val="Arial Narrow"/>
        <family val="2"/>
        <charset val="1"/>
      </rPr>
      <t xml:space="preserve">-409</t>
    </r>
  </si>
  <si>
    <t xml:space="preserve">Al Batta viilage</t>
  </si>
  <si>
    <t xml:space="preserve">قرية البطة</t>
  </si>
  <si>
    <t xml:space="preserve">Al bu Ataes Village</t>
  </si>
  <si>
    <t xml:space="preserve">قرية البو طعيس</t>
  </si>
  <si>
    <t xml:space="preserve">Al Halabsa village</t>
  </si>
  <si>
    <t xml:space="preserve">قرية الحلابسة</t>
  </si>
  <si>
    <t xml:space="preserve">Al Huriyah-a 430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</si>
  <si>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-430</t>
    </r>
  </si>
  <si>
    <t xml:space="preserve">Al Hurriyah-416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</si>
  <si>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-416</t>
    </r>
  </si>
  <si>
    <t xml:space="preserve">Al Hurriyah-418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</si>
  <si>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-418</t>
    </r>
  </si>
  <si>
    <t xml:space="preserve">Al Hurriyah-420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</si>
  <si>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-420</t>
    </r>
  </si>
  <si>
    <t xml:space="preserve">Al Hurriyah-424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</si>
  <si>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-424</t>
    </r>
  </si>
  <si>
    <t xml:space="preserve">Al Hurriyah-426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</si>
  <si>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-426</t>
    </r>
  </si>
  <si>
    <t xml:space="preserve">Al Hurriyah-428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</si>
  <si>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-428</t>
    </r>
  </si>
  <si>
    <t xml:space="preserve">Al Hurriyah-432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</si>
  <si>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-432</t>
    </r>
  </si>
  <si>
    <t xml:space="preserve">Al Hurriyah-436</t>
  </si>
  <si>
    <r>
      <rPr>
        <sz val="10"/>
        <color rgb="FF000000"/>
        <rFont val="Lohit Devanagari"/>
        <family val="2"/>
      </rPr>
      <t xml:space="preserve">الحرية</t>
    </r>
    <r>
      <rPr>
        <sz val="10"/>
        <color rgb="FF000000"/>
        <rFont val="Arial Narrow"/>
        <family val="2"/>
        <charset val="1"/>
      </rPr>
      <t xml:space="preserve">-436</t>
    </r>
  </si>
  <si>
    <t xml:space="preserve">Al Jaefar Village</t>
  </si>
  <si>
    <t xml:space="preserve">قرية الجعيفر</t>
  </si>
  <si>
    <t xml:space="preserve">Al Khwather Village</t>
  </si>
  <si>
    <t xml:space="preserve">قرية الكوثر</t>
  </si>
  <si>
    <t xml:space="preserve">Al Malahma(Al Sekak)Village</t>
  </si>
  <si>
    <r>
      <rPr>
        <sz val="10"/>
        <color rgb="FF000000"/>
        <rFont val="Lohit Devanagari"/>
        <family val="2"/>
      </rPr>
      <t xml:space="preserve">قرية الملاحمة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دور السكك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</si>
  <si>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Rafedain village</t>
  </si>
  <si>
    <t xml:space="preserve">قرية الرافدين</t>
  </si>
  <si>
    <t xml:space="preserve">Al Salam-404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</si>
  <si>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-404</t>
    </r>
  </si>
  <si>
    <t xml:space="preserve">Al Salam-406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</si>
  <si>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-406</t>
    </r>
  </si>
  <si>
    <t xml:space="preserve">Al Salam-410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</si>
  <si>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-410</t>
    </r>
  </si>
  <si>
    <t xml:space="preserve">Al Salam-412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</si>
  <si>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-412</t>
    </r>
  </si>
  <si>
    <t xml:space="preserve">Al Salehen Village</t>
  </si>
  <si>
    <t xml:space="preserve">قرية الصالحين</t>
  </si>
  <si>
    <t xml:space="preserve">Al Shehaa Village</t>
  </si>
  <si>
    <t xml:space="preserve">قرية الشيحة</t>
  </si>
  <si>
    <t xml:space="preserve">Al Sheik Amir Village</t>
  </si>
  <si>
    <t xml:space="preserve">قرية الشيخ عامر</t>
  </si>
  <si>
    <t xml:space="preserve">Al Suwaed village</t>
  </si>
  <si>
    <t xml:space="preserve">قرية السواعد</t>
  </si>
  <si>
    <t xml:space="preserve">Al-Hamamiyat</t>
  </si>
  <si>
    <t xml:space="preserve">الحماميات</t>
  </si>
  <si>
    <t xml:space="preserve">Al-Shalchiya</t>
  </si>
  <si>
    <t xml:space="preserve">الشالجية</t>
  </si>
  <si>
    <t xml:space="preserve">Albo Rkeaba Village</t>
  </si>
  <si>
    <t xml:space="preserve">قرية البو ركيبة</t>
  </si>
  <si>
    <t xml:space="preserve">Albo Sabah Village</t>
  </si>
  <si>
    <t xml:space="preserve">قرية البو صباح</t>
  </si>
  <si>
    <t xml:space="preserve">Albu Aied Village</t>
  </si>
  <si>
    <t xml:space="preserve">قرية ألبوعايد</t>
  </si>
  <si>
    <t xml:space="preserve">Albu Dawod Village</t>
  </si>
  <si>
    <t xml:space="preserve">قرية البو داوود</t>
  </si>
  <si>
    <t xml:space="preserve">Ali Al Hamad Village</t>
  </si>
  <si>
    <t xml:space="preserve">قرية علي الحمد</t>
  </si>
  <si>
    <t xml:space="preserve">Atiya village</t>
  </si>
  <si>
    <t xml:space="preserve">قرية عطية </t>
  </si>
  <si>
    <t xml:space="preserve">Awad Al Hussain village</t>
  </si>
  <si>
    <t xml:space="preserve">قرية عواد الحسين</t>
  </si>
  <si>
    <t xml:space="preserve">Dheeb Al Dhari village</t>
  </si>
  <si>
    <t xml:space="preserve">قرية ذيب الضاري</t>
  </si>
  <si>
    <t xml:space="preserve">Fahad Al Fadhel village</t>
  </si>
  <si>
    <t xml:space="preserve">قرية فهد الفاضل</t>
  </si>
  <si>
    <t xml:space="preserve">Faisal Abbas village</t>
  </si>
  <si>
    <t xml:space="preserve">قرية فيصل عباس</t>
  </si>
  <si>
    <t xml:space="preserve">Hay Al Askreen</t>
  </si>
  <si>
    <t xml:space="preserve">حي العسكريين</t>
  </si>
  <si>
    <t xml:space="preserve">Hay Al Shuhada</t>
  </si>
  <si>
    <t xml:space="preserve">Hay Al Tasneea</t>
  </si>
  <si>
    <t xml:space="preserve">حي التصنيع</t>
  </si>
  <si>
    <t xml:space="preserve">Hay Hasan AlAskari</t>
  </si>
  <si>
    <t xml:space="preserve">حي الحسن العسكري</t>
  </si>
  <si>
    <t xml:space="preserve">Ibrahim Al Juayfis village</t>
  </si>
  <si>
    <t xml:space="preserve">قرية أبراهيم جعيفص </t>
  </si>
  <si>
    <t xml:space="preserve">Jakook-425</t>
  </si>
  <si>
    <r>
      <rPr>
        <sz val="10"/>
        <color rgb="FF000000"/>
        <rFont val="Lohit Devanagari"/>
        <family val="2"/>
      </rPr>
      <t xml:space="preserve">جكوك</t>
    </r>
    <r>
      <rPr>
        <sz val="10"/>
        <color rgb="FF000000"/>
        <rFont val="Arial Narrow"/>
        <family val="2"/>
        <charset val="1"/>
      </rPr>
      <t xml:space="preserve">-425</t>
    </r>
  </si>
  <si>
    <t xml:space="preserve">Jakook-440</t>
  </si>
  <si>
    <r>
      <rPr>
        <sz val="10"/>
        <color rgb="FF000000"/>
        <rFont val="Lohit Devanagari"/>
        <family val="2"/>
      </rPr>
      <t xml:space="preserve">جكوك</t>
    </r>
    <r>
      <rPr>
        <sz val="10"/>
        <color rgb="FF000000"/>
        <rFont val="Arial Narrow"/>
        <family val="2"/>
        <charset val="1"/>
      </rPr>
      <t xml:space="preserve">-440</t>
    </r>
  </si>
  <si>
    <t xml:space="preserve">Jakook-442</t>
  </si>
  <si>
    <r>
      <rPr>
        <sz val="10"/>
        <color rgb="FF000000"/>
        <rFont val="Lohit Devanagari"/>
        <family val="2"/>
      </rPr>
      <t xml:space="preserve">جكوك</t>
    </r>
    <r>
      <rPr>
        <sz val="10"/>
        <color rgb="FF000000"/>
        <rFont val="Arial Narrow"/>
        <family val="2"/>
        <charset val="1"/>
      </rPr>
      <t xml:space="preserve">-442</t>
    </r>
  </si>
  <si>
    <t xml:space="preserve">Jurf Al Milah</t>
  </si>
  <si>
    <t xml:space="preserve">جرف الملح</t>
  </si>
  <si>
    <t xml:space="preserve">Kasar Al Ali Village</t>
  </si>
  <si>
    <t xml:space="preserve">قرية كسار العلي</t>
  </si>
  <si>
    <t xml:space="preserve">Khalaf Jredhi Village</t>
  </si>
  <si>
    <t xml:space="preserve">قرية خلف جريدي</t>
  </si>
  <si>
    <t xml:space="preserve">Mulla Mukhlef Village</t>
  </si>
  <si>
    <t xml:space="preserve">قرية ملا مخلف</t>
  </si>
  <si>
    <t xml:space="preserve">Naif Al Hassan viilage</t>
  </si>
  <si>
    <t xml:space="preserve">قرية نايف الحسن</t>
  </si>
  <si>
    <t xml:space="preserve">Najah Al Suhail village</t>
  </si>
  <si>
    <t xml:space="preserve">قرية نجاح السهيل</t>
  </si>
  <si>
    <t xml:space="preserve">Naji al rahal village</t>
  </si>
  <si>
    <t xml:space="preserve">ناجي الرحال </t>
  </si>
  <si>
    <t xml:space="preserve">Nesaif Al Zegam Village</t>
  </si>
  <si>
    <t xml:space="preserve">قرية نصيف الزكم</t>
  </si>
  <si>
    <t xml:space="preserve">North Al Kadhimia-447</t>
  </si>
  <si>
    <r>
      <rPr>
        <sz val="10"/>
        <color rgb="FF000000"/>
        <rFont val="Lohit Devanagari"/>
        <family val="2"/>
      </rPr>
      <t xml:space="preserve">شمال الكاظمية</t>
    </r>
    <r>
      <rPr>
        <sz val="10"/>
        <color rgb="FF000000"/>
        <rFont val="Arial Narrow"/>
        <family val="2"/>
        <charset val="1"/>
      </rPr>
      <t xml:space="preserve">-447</t>
    </r>
  </si>
  <si>
    <t xml:space="preserve">North Al Kadhimia-Al kadraiya</t>
  </si>
  <si>
    <r>
      <rPr>
        <sz val="10"/>
        <color rgb="FF000000"/>
        <rFont val="Lohit Devanagari"/>
        <family val="2"/>
      </rPr>
      <t xml:space="preserve">شمال الكاظمية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القادرية</t>
    </r>
  </si>
  <si>
    <t xml:space="preserve">North Al Kadhimia-Alwan Al Jasim village</t>
  </si>
  <si>
    <r>
      <rPr>
        <sz val="10"/>
        <color rgb="FF000000"/>
        <rFont val="Lohit Devanagari"/>
        <family val="2"/>
      </rPr>
      <t xml:space="preserve">شمال الكاظمية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علوان الجاسم</t>
    </r>
  </si>
  <si>
    <t xml:space="preserve">North Al Kadhimia-Tajyat shata Al Taji</t>
  </si>
  <si>
    <r>
      <rPr>
        <sz val="10"/>
        <color rgb="FF000000"/>
        <rFont val="Lohit Devanagari"/>
        <family val="2"/>
      </rPr>
      <t xml:space="preserve">شمال الكاظمية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تاجيات شاطئ التاجي</t>
    </r>
  </si>
  <si>
    <t xml:space="preserve">Rezaige Al Badaa village</t>
  </si>
  <si>
    <t xml:space="preserve">قرية رزيج البداع</t>
  </si>
  <si>
    <t xml:space="preserve">Sabea Al Buor(Al Basam)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</si>
  <si>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مقاطعة البصام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</si>
  <si>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Sabea Al Buor-1000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</si>
  <si>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-1000</t>
    </r>
  </si>
  <si>
    <t xml:space="preserve">Sabea Al Buor-11000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</si>
  <si>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-11000</t>
    </r>
  </si>
  <si>
    <t xml:space="preserve">Sabea Al Buor-12000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</si>
  <si>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-12000</t>
    </r>
  </si>
  <si>
    <t xml:space="preserve">Sabea Al Buor-13000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</si>
  <si>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-13000</t>
    </r>
  </si>
  <si>
    <t xml:space="preserve">Sabea Al Buor-14000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</si>
  <si>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-14000</t>
    </r>
  </si>
  <si>
    <t xml:space="preserve">Sabea Al Buor-15000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</si>
  <si>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-15000</t>
    </r>
  </si>
  <si>
    <t xml:space="preserve">Sabea Al Buor-16000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</si>
  <si>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-16000</t>
    </r>
  </si>
  <si>
    <t xml:space="preserve">Sabea Al Buor-2000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</si>
  <si>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-2000</t>
    </r>
  </si>
  <si>
    <t xml:space="preserve">Sabea Al Buor-3000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</si>
  <si>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-3000</t>
    </r>
  </si>
  <si>
    <t xml:space="preserve">Sabea Al Buor-5000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</si>
  <si>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-5000</t>
    </r>
  </si>
  <si>
    <t xml:space="preserve">Sabea Al Buor-6000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</si>
  <si>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-6000</t>
    </r>
  </si>
  <si>
    <t xml:space="preserve">Sabea Al Buor-7000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</si>
  <si>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-7000</t>
    </r>
  </si>
  <si>
    <t xml:space="preserve">Sabea Al Buor-8000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</si>
  <si>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-8000</t>
    </r>
  </si>
  <si>
    <t xml:space="preserve">Sabea Al Buor-9000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</si>
  <si>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-9000</t>
    </r>
  </si>
  <si>
    <t xml:space="preserve">Sabea Al Buor-Hamed Al Farij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</si>
  <si>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حميد الفرج</t>
    </r>
  </si>
  <si>
    <t xml:space="preserve">Sabea Al Buor-Saket Al Ali</t>
  </si>
  <si>
    <r>
      <rPr>
        <sz val="10"/>
        <color rgb="FF000000"/>
        <rFont val="Lohit Devanagari"/>
        <family val="2"/>
      </rPr>
      <t xml:space="preserve">سبع البور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ساكت العلي</t>
    </r>
  </si>
  <si>
    <t xml:space="preserve">Said Jasim Village</t>
  </si>
  <si>
    <t xml:space="preserve">قرية سيد جاسم</t>
  </si>
  <si>
    <t xml:space="preserve">Salam-408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</si>
  <si>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-408</t>
    </r>
  </si>
  <si>
    <t xml:space="preserve">Salh Al Fayad </t>
  </si>
  <si>
    <t xml:space="preserve">قرية صالح الفياض</t>
  </si>
  <si>
    <t xml:space="preserve">Shate Al Taji(Mezurfa)Village</t>
  </si>
  <si>
    <r>
      <rPr>
        <sz val="10"/>
        <color rgb="FF000000"/>
        <rFont val="Lohit Devanagari"/>
        <family val="2"/>
      </rPr>
      <t xml:space="preserve">شاطئ التاجي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مزرفة و حصيوة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</si>
  <si>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Shoala-446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</si>
  <si>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-446</t>
    </r>
  </si>
  <si>
    <t xml:space="preserve">Shoala-448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</si>
  <si>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-448</t>
    </r>
  </si>
  <si>
    <t xml:space="preserve">Shoala-450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</si>
  <si>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-450</t>
    </r>
  </si>
  <si>
    <t xml:space="preserve">Shoala-454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</si>
  <si>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-454</t>
    </r>
  </si>
  <si>
    <t xml:space="preserve">Shoala-458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</si>
  <si>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-458</t>
    </r>
  </si>
  <si>
    <t xml:space="preserve">Shoala-460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</si>
  <si>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-460</t>
    </r>
  </si>
  <si>
    <t xml:space="preserve">Shoala-464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</si>
  <si>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-464</t>
    </r>
  </si>
  <si>
    <t xml:space="preserve">Shoala-Al Doanam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</si>
  <si>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الدوانم</t>
    </r>
  </si>
  <si>
    <t xml:space="preserve">Shoala-Khatib</t>
  </si>
  <si>
    <r>
      <rPr>
        <sz val="10"/>
        <color rgb="FF000000"/>
        <rFont val="Lohit Devanagari"/>
        <family val="2"/>
      </rPr>
      <t xml:space="preserve">الشعلة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الخطيب</t>
    </r>
  </si>
  <si>
    <t xml:space="preserve">Um Najem village</t>
  </si>
  <si>
    <t xml:space="preserve">قرية أم نجم</t>
  </si>
  <si>
    <t xml:space="preserve">Zedan Al Jameel Vilage</t>
  </si>
  <si>
    <t xml:space="preserve">قرية زيدان الجميل</t>
  </si>
  <si>
    <t xml:space="preserve">Karkh</t>
  </si>
  <si>
    <t xml:space="preserve">-Dora Center(Dora-Asia camp)-</t>
  </si>
  <si>
    <r>
      <rPr>
        <sz val="10"/>
        <color rgb="FF000000"/>
        <rFont val="Lohit Devanagari"/>
        <family val="2"/>
      </rPr>
      <t xml:space="preserve">مخيم الدورة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الامل المنشود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</si>
  <si>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Abu Dsheer-850</t>
  </si>
  <si>
    <r>
      <rPr>
        <sz val="10"/>
        <color rgb="FF000000"/>
        <rFont val="Lohit Devanagari"/>
        <family val="2"/>
      </rPr>
      <t xml:space="preserve">ابو دشير</t>
    </r>
    <r>
      <rPr>
        <sz val="10"/>
        <color rgb="FF000000"/>
        <rFont val="Arial Narrow"/>
        <family val="2"/>
        <charset val="1"/>
      </rPr>
      <t xml:space="preserve">-850</t>
    </r>
  </si>
  <si>
    <t xml:space="preserve">Abu Dsheer-852</t>
  </si>
  <si>
    <r>
      <rPr>
        <sz val="10"/>
        <color rgb="FF000000"/>
        <rFont val="Lohit Devanagari"/>
        <family val="2"/>
      </rPr>
      <t xml:space="preserve">ابو دشير</t>
    </r>
    <r>
      <rPr>
        <sz val="10"/>
        <color rgb="FF000000"/>
        <rFont val="Arial Narrow"/>
        <family val="2"/>
        <charset val="1"/>
      </rPr>
      <t xml:space="preserve">-852</t>
    </r>
  </si>
  <si>
    <t xml:space="preserve">Abu Dsheer-854</t>
  </si>
  <si>
    <r>
      <rPr>
        <sz val="10"/>
        <color rgb="FF000000"/>
        <rFont val="Lohit Devanagari"/>
        <family val="2"/>
      </rPr>
      <t xml:space="preserve">ابو دشير</t>
    </r>
    <r>
      <rPr>
        <sz val="10"/>
        <color rgb="FF000000"/>
        <rFont val="Arial Narrow"/>
        <family val="2"/>
        <charset val="1"/>
      </rPr>
      <t xml:space="preserve">-854</t>
    </r>
  </si>
  <si>
    <t xml:space="preserve">Abu Dsheer-856</t>
  </si>
  <si>
    <r>
      <rPr>
        <sz val="10"/>
        <color rgb="FF000000"/>
        <rFont val="Lohit Devanagari"/>
        <family val="2"/>
      </rPr>
      <t xml:space="preserve">ابو دشير</t>
    </r>
    <r>
      <rPr>
        <sz val="10"/>
        <color rgb="FF000000"/>
        <rFont val="Arial Narrow"/>
        <family val="2"/>
        <charset val="1"/>
      </rPr>
      <t xml:space="preserve">-856</t>
    </r>
  </si>
  <si>
    <t xml:space="preserve">Abu Dsheer-858</t>
  </si>
  <si>
    <r>
      <rPr>
        <sz val="10"/>
        <color rgb="FF000000"/>
        <rFont val="Lohit Devanagari"/>
        <family val="2"/>
      </rPr>
      <t xml:space="preserve">ابو دشير</t>
    </r>
    <r>
      <rPr>
        <sz val="10"/>
        <color rgb="FF000000"/>
        <rFont val="Arial Narrow"/>
        <family val="2"/>
        <charset val="1"/>
      </rPr>
      <t xml:space="preserve">-858</t>
    </r>
  </si>
  <si>
    <t xml:space="preserve">Al Amerya-632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</si>
  <si>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-632</t>
    </r>
  </si>
  <si>
    <t xml:space="preserve">Al Amerya-634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</si>
  <si>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-634</t>
    </r>
  </si>
  <si>
    <t xml:space="preserve">Al Amerya-636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</si>
  <si>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-636</t>
    </r>
  </si>
  <si>
    <t xml:space="preserve">Al Amerya-638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</si>
  <si>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-638</t>
    </r>
  </si>
  <si>
    <t xml:space="preserve">Al Amreya-628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</si>
  <si>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-628</t>
    </r>
  </si>
  <si>
    <t xml:space="preserve">Al Amreya-630</t>
  </si>
  <si>
    <r>
      <rPr>
        <sz val="10"/>
        <color rgb="FF000000"/>
        <rFont val="Lohit Devanagari"/>
        <family val="2"/>
      </rPr>
      <t xml:space="preserve">العامرية</t>
    </r>
    <r>
      <rPr>
        <sz val="10"/>
        <color rgb="FF000000"/>
        <rFont val="Arial Narrow"/>
        <family val="2"/>
        <charset val="1"/>
      </rPr>
      <t xml:space="preserve">-630</t>
    </r>
  </si>
  <si>
    <t xml:space="preserve">Al Andls-613</t>
  </si>
  <si>
    <r>
      <rPr>
        <sz val="10"/>
        <color rgb="FF000000"/>
        <rFont val="Lohit Devanagari"/>
        <family val="2"/>
      </rPr>
      <t xml:space="preserve">الاندلس</t>
    </r>
    <r>
      <rPr>
        <sz val="10"/>
        <color rgb="FF000000"/>
        <rFont val="Arial Narrow"/>
        <family val="2"/>
        <charset val="1"/>
      </rPr>
      <t xml:space="preserve">-613</t>
    </r>
  </si>
  <si>
    <t xml:space="preserve">Al Andulus-611</t>
  </si>
  <si>
    <r>
      <rPr>
        <sz val="10"/>
        <color rgb="FF000000"/>
        <rFont val="Lohit Devanagari"/>
        <family val="2"/>
      </rPr>
      <t xml:space="preserve">الاندلس</t>
    </r>
    <r>
      <rPr>
        <sz val="10"/>
        <color rgb="FF000000"/>
        <rFont val="Arial Narrow"/>
        <family val="2"/>
        <charset val="1"/>
      </rPr>
      <t xml:space="preserve">-611</t>
    </r>
  </si>
  <si>
    <t xml:space="preserve">Al Andulus-617</t>
  </si>
  <si>
    <r>
      <rPr>
        <sz val="10"/>
        <color rgb="FF000000"/>
        <rFont val="Lohit Devanagari"/>
        <family val="2"/>
      </rPr>
      <t xml:space="preserve">الاندلس</t>
    </r>
    <r>
      <rPr>
        <sz val="10"/>
        <color rgb="FF000000"/>
        <rFont val="Arial Narrow"/>
        <family val="2"/>
        <charset val="1"/>
      </rPr>
      <t xml:space="preserve">-617</t>
    </r>
  </si>
  <si>
    <t xml:space="preserve">Al Bayaa-817</t>
  </si>
  <si>
    <r>
      <rPr>
        <sz val="10"/>
        <color rgb="FF000000"/>
        <rFont val="Lohit Devanagari"/>
        <family val="2"/>
      </rPr>
      <t xml:space="preserve">البياع</t>
    </r>
    <r>
      <rPr>
        <sz val="10"/>
        <color rgb="FF000000"/>
        <rFont val="Arial Narrow"/>
        <family val="2"/>
        <charset val="1"/>
      </rPr>
      <t xml:space="preserve">-817</t>
    </r>
  </si>
  <si>
    <t xml:space="preserve">Al Forat-893</t>
  </si>
  <si>
    <r>
      <rPr>
        <sz val="10"/>
        <color rgb="FF000000"/>
        <rFont val="Lohit Devanagari"/>
        <family val="2"/>
      </rPr>
      <t xml:space="preserve">الفرات</t>
    </r>
    <r>
      <rPr>
        <sz val="10"/>
        <color rgb="FF000000"/>
        <rFont val="Arial Narrow"/>
        <family val="2"/>
        <charset val="1"/>
      </rPr>
      <t xml:space="preserve">-893</t>
    </r>
  </si>
  <si>
    <t xml:space="preserve">Al Forat-Shaka 6</t>
  </si>
  <si>
    <r>
      <rPr>
        <sz val="10"/>
        <color rgb="FF000000"/>
        <rFont val="Lohit Devanagari"/>
        <family val="2"/>
      </rPr>
      <t xml:space="preserve">الفرات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شاخة </t>
    </r>
    <r>
      <rPr>
        <sz val="10"/>
        <color rgb="FF000000"/>
        <rFont val="Arial Narrow"/>
        <family val="2"/>
        <charset val="1"/>
      </rPr>
      <t xml:space="preserve">6</t>
    </r>
  </si>
  <si>
    <t xml:space="preserve">Al Ghazaliya-649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</si>
  <si>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-649</t>
    </r>
  </si>
  <si>
    <t xml:space="preserve">Al Ghazaliya-651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</si>
  <si>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-651</t>
    </r>
  </si>
  <si>
    <t xml:space="preserve">Al Ghazaliya-653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</si>
  <si>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-653</t>
    </r>
  </si>
  <si>
    <t xml:space="preserve">Al Ghazaliya-655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</si>
  <si>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-655</t>
    </r>
  </si>
  <si>
    <t xml:space="preserve">Al Ghazaliya-659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</si>
  <si>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-659</t>
    </r>
  </si>
  <si>
    <t xml:space="preserve">Al Ghazaliya-665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</si>
  <si>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-665</t>
    </r>
  </si>
  <si>
    <t xml:space="preserve">Al Ghazaliya-667</t>
  </si>
  <si>
    <r>
      <rPr>
        <sz val="10"/>
        <color rgb="FF000000"/>
        <rFont val="Lohit Devanagari"/>
        <family val="2"/>
      </rPr>
      <t xml:space="preserve">الغزاليه</t>
    </r>
    <r>
      <rPr>
        <sz val="10"/>
        <color rgb="FF000000"/>
        <rFont val="Arial Narrow"/>
        <family val="2"/>
        <charset val="1"/>
      </rPr>
      <t xml:space="preserve">-667</t>
    </r>
  </si>
  <si>
    <t xml:space="preserve">Al Ghazaliya-681</t>
  </si>
  <si>
    <r>
      <rPr>
        <sz val="10"/>
        <color rgb="FF000000"/>
        <rFont val="Lohit Devanagari"/>
        <family val="2"/>
      </rPr>
      <t xml:space="preserve">الغزالية</t>
    </r>
    <r>
      <rPr>
        <sz val="10"/>
        <color rgb="FF000000"/>
        <rFont val="Arial Narrow"/>
        <family val="2"/>
        <charset val="1"/>
      </rPr>
      <t xml:space="preserve">-681</t>
    </r>
  </si>
  <si>
    <t xml:space="preserve">Al Ghazaliyah(sheik Al Janabi)collective center</t>
  </si>
  <si>
    <r>
      <rPr>
        <sz val="10"/>
        <color rgb="FF000000"/>
        <rFont val="Lohit Devanagari"/>
        <family val="2"/>
      </rPr>
      <t xml:space="preserve">مجمع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شيخ الجنابي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الغزالية</t>
    </r>
  </si>
  <si>
    <t xml:space="preserve">Al Ghazaliyah-685</t>
  </si>
  <si>
    <r>
      <rPr>
        <sz val="10"/>
        <color rgb="FF000000"/>
        <rFont val="Lohit Devanagari"/>
        <family val="2"/>
      </rPr>
      <t xml:space="preserve">الغزالية</t>
    </r>
    <r>
      <rPr>
        <sz val="10"/>
        <color rgb="FF000000"/>
        <rFont val="Arial Narrow"/>
        <family val="2"/>
        <charset val="1"/>
      </rPr>
      <t xml:space="preserve">-685</t>
    </r>
  </si>
  <si>
    <t xml:space="preserve">Al Ilam-829</t>
  </si>
  <si>
    <r>
      <rPr>
        <sz val="10"/>
        <color rgb="FF000000"/>
        <rFont val="Lohit Devanagari"/>
        <family val="2"/>
      </rPr>
      <t xml:space="preserve">الأعلام</t>
    </r>
    <r>
      <rPr>
        <sz val="10"/>
        <color rgb="FF000000"/>
        <rFont val="Arial Narrow"/>
        <family val="2"/>
        <charset val="1"/>
      </rPr>
      <t xml:space="preserve">-829</t>
    </r>
  </si>
  <si>
    <t xml:space="preserve">Al Ilam-831</t>
  </si>
  <si>
    <r>
      <rPr>
        <sz val="10"/>
        <color rgb="FF000000"/>
        <rFont val="Lohit Devanagari"/>
        <family val="2"/>
      </rPr>
      <t xml:space="preserve">الأعلام</t>
    </r>
    <r>
      <rPr>
        <sz val="10"/>
        <color rgb="FF000000"/>
        <rFont val="Arial Narrow"/>
        <family val="2"/>
        <charset val="1"/>
      </rPr>
      <t xml:space="preserve">-831</t>
    </r>
  </si>
  <si>
    <t xml:space="preserve">Al Iskan(Al Masfi)-822</t>
  </si>
  <si>
    <r>
      <rPr>
        <sz val="10"/>
        <color rgb="FF000000"/>
        <rFont val="Lohit Devanagari"/>
        <family val="2"/>
      </rPr>
      <t xml:space="preserve">الاسكان</t>
    </r>
    <r>
      <rPr>
        <sz val="10"/>
        <color rgb="FF000000"/>
        <rFont val="Arial Narrow"/>
        <family val="2"/>
        <charset val="1"/>
      </rPr>
      <t xml:space="preserve">-822(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</si>
  <si>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Jameah-627</t>
  </si>
  <si>
    <r>
      <rPr>
        <sz val="10"/>
        <color rgb="FF000000"/>
        <rFont val="Lohit Devanagari"/>
        <family val="2"/>
      </rPr>
      <t xml:space="preserve">الجامعة</t>
    </r>
    <r>
      <rPr>
        <sz val="10"/>
        <color rgb="FF000000"/>
        <rFont val="Arial Narrow"/>
        <family val="2"/>
        <charset val="1"/>
      </rPr>
      <t xml:space="preserve">-627</t>
    </r>
  </si>
  <si>
    <t xml:space="preserve">Al Jameah-629</t>
  </si>
  <si>
    <r>
      <rPr>
        <sz val="10"/>
        <color rgb="FF000000"/>
        <rFont val="Lohit Devanagari"/>
        <family val="2"/>
      </rPr>
      <t xml:space="preserve">الجامعة</t>
    </r>
    <r>
      <rPr>
        <sz val="10"/>
        <color rgb="FF000000"/>
        <rFont val="Arial Narrow"/>
        <family val="2"/>
        <charset val="1"/>
      </rPr>
      <t xml:space="preserve">-629</t>
    </r>
  </si>
  <si>
    <t xml:space="preserve">Al Jameah-631</t>
  </si>
  <si>
    <r>
      <rPr>
        <sz val="10"/>
        <color rgb="FF000000"/>
        <rFont val="Lohit Devanagari"/>
        <family val="2"/>
      </rPr>
      <t xml:space="preserve">الجامعة</t>
    </r>
    <r>
      <rPr>
        <sz val="10"/>
        <color rgb="FF000000"/>
        <rFont val="Arial Narrow"/>
        <family val="2"/>
        <charset val="1"/>
      </rPr>
      <t xml:space="preserve">-631</t>
    </r>
  </si>
  <si>
    <t xml:space="preserve">Al Jameah-633</t>
  </si>
  <si>
    <r>
      <rPr>
        <sz val="10"/>
        <color rgb="FF000000"/>
        <rFont val="Lohit Devanagari"/>
        <family val="2"/>
      </rPr>
      <t xml:space="preserve">الجامعة</t>
    </r>
    <r>
      <rPr>
        <sz val="10"/>
        <color rgb="FF000000"/>
        <rFont val="Arial Narrow"/>
        <family val="2"/>
        <charset val="1"/>
      </rPr>
      <t xml:space="preserve">-633</t>
    </r>
  </si>
  <si>
    <t xml:space="preserve">Al Jameah-635</t>
  </si>
  <si>
    <r>
      <rPr>
        <sz val="10"/>
        <color rgb="FF000000"/>
        <rFont val="Lohit Devanagari"/>
        <family val="2"/>
      </rPr>
      <t xml:space="preserve">الجامعة </t>
    </r>
    <r>
      <rPr>
        <sz val="10"/>
        <color rgb="FF000000"/>
        <rFont val="Arial Narrow"/>
        <family val="2"/>
        <charset val="1"/>
      </rPr>
      <t xml:space="preserve">635</t>
    </r>
  </si>
  <si>
    <t xml:space="preserve">Al Jamhoriyah(Al Masfi)-838</t>
  </si>
  <si>
    <r>
      <rPr>
        <sz val="10"/>
        <color rgb="FF000000"/>
        <rFont val="Lohit Devanagari"/>
        <family val="2"/>
      </rPr>
      <t xml:space="preserve">الجمهورية </t>
    </r>
    <r>
      <rPr>
        <sz val="10"/>
        <color rgb="FF000000"/>
        <rFont val="Arial Narrow"/>
        <family val="2"/>
        <charset val="1"/>
      </rPr>
      <t xml:space="preserve">838(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</si>
  <si>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Jazaer-804</t>
  </si>
  <si>
    <r>
      <rPr>
        <sz val="10"/>
        <color rgb="FF000000"/>
        <rFont val="Lohit Devanagari"/>
        <family val="2"/>
      </rPr>
      <t xml:space="preserve">الجزائر</t>
    </r>
    <r>
      <rPr>
        <sz val="10"/>
        <color rgb="FF000000"/>
        <rFont val="Arial Narrow"/>
        <family val="2"/>
        <charset val="1"/>
      </rPr>
      <t xml:space="preserve">-804</t>
    </r>
  </si>
  <si>
    <t xml:space="preserve">Al Jazaer-818</t>
  </si>
  <si>
    <r>
      <rPr>
        <sz val="10"/>
        <color rgb="FF000000"/>
        <rFont val="Lohit Devanagari"/>
        <family val="2"/>
      </rPr>
      <t xml:space="preserve">الجزائر</t>
    </r>
    <r>
      <rPr>
        <sz val="10"/>
        <color rgb="FF000000"/>
        <rFont val="Arial Narrow"/>
        <family val="2"/>
        <charset val="1"/>
      </rPr>
      <t xml:space="preserve">-818</t>
    </r>
  </si>
  <si>
    <t xml:space="preserve">Al Jazaer-820</t>
  </si>
  <si>
    <r>
      <rPr>
        <sz val="10"/>
        <color rgb="FF000000"/>
        <rFont val="Lohit Devanagari"/>
        <family val="2"/>
      </rPr>
      <t xml:space="preserve">الجزائر</t>
    </r>
    <r>
      <rPr>
        <sz val="10"/>
        <color rgb="FF000000"/>
        <rFont val="Arial Narrow"/>
        <family val="2"/>
        <charset val="1"/>
      </rPr>
      <t xml:space="preserve">-820</t>
    </r>
  </si>
  <si>
    <t xml:space="preserve">Al Jazera-806</t>
  </si>
  <si>
    <r>
      <rPr>
        <sz val="10"/>
        <color rgb="FF000000"/>
        <rFont val="Lohit Devanagari"/>
        <family val="2"/>
      </rPr>
      <t xml:space="preserve">الجزيرة</t>
    </r>
    <r>
      <rPr>
        <sz val="10"/>
        <color rgb="FF000000"/>
        <rFont val="Arial Narrow"/>
        <family val="2"/>
        <charset val="1"/>
      </rPr>
      <t xml:space="preserve">-806</t>
    </r>
  </si>
  <si>
    <t xml:space="preserve">Al Jazera-808</t>
  </si>
  <si>
    <r>
      <rPr>
        <sz val="10"/>
        <color rgb="FF000000"/>
        <rFont val="Lohit Devanagari"/>
        <family val="2"/>
      </rPr>
      <t xml:space="preserve">الجزيرة</t>
    </r>
    <r>
      <rPr>
        <sz val="10"/>
        <color rgb="FF000000"/>
        <rFont val="Arial Narrow"/>
        <family val="2"/>
        <charset val="1"/>
      </rPr>
      <t xml:space="preserve">-808</t>
    </r>
  </si>
  <si>
    <t xml:space="preserve">Al Jazera-812</t>
  </si>
  <si>
    <r>
      <rPr>
        <sz val="10"/>
        <color rgb="FF000000"/>
        <rFont val="Lohit Devanagari"/>
        <family val="2"/>
      </rPr>
      <t xml:space="preserve">الجزيرة</t>
    </r>
    <r>
      <rPr>
        <sz val="10"/>
        <color rgb="FF000000"/>
        <rFont val="Arial Narrow"/>
        <family val="2"/>
        <charset val="1"/>
      </rPr>
      <t xml:space="preserve">-812</t>
    </r>
  </si>
  <si>
    <t xml:space="preserve">Al Jazera-814</t>
  </si>
  <si>
    <r>
      <rPr>
        <sz val="10"/>
        <color rgb="FF000000"/>
        <rFont val="Lohit Devanagari"/>
        <family val="2"/>
      </rPr>
      <t xml:space="preserve">الجزيرة</t>
    </r>
    <r>
      <rPr>
        <sz val="10"/>
        <color rgb="FF000000"/>
        <rFont val="Arial Narrow"/>
        <family val="2"/>
        <charset val="1"/>
      </rPr>
      <t xml:space="preserve">-814</t>
    </r>
  </si>
  <si>
    <t xml:space="preserve">Al Kandi-Mahalla 211</t>
  </si>
  <si>
    <r>
      <rPr>
        <sz val="10"/>
        <color rgb="FF000000"/>
        <rFont val="Lohit Devanagari"/>
        <family val="2"/>
      </rPr>
      <t xml:space="preserve">الكندي</t>
    </r>
    <r>
      <rPr>
        <sz val="10"/>
        <color rgb="FF000000"/>
        <rFont val="Arial Narrow"/>
        <family val="2"/>
        <charset val="1"/>
      </rPr>
      <t xml:space="preserve">-211</t>
    </r>
  </si>
  <si>
    <t xml:space="preserve">Al Kandi-Mahalla 213</t>
  </si>
  <si>
    <r>
      <rPr>
        <sz val="10"/>
        <color rgb="FF000000"/>
        <rFont val="Lohit Devanagari"/>
        <family val="2"/>
      </rPr>
      <t xml:space="preserve">الكندي</t>
    </r>
    <r>
      <rPr>
        <sz val="10"/>
        <color rgb="FF000000"/>
        <rFont val="Arial Narrow"/>
        <family val="2"/>
        <charset val="1"/>
      </rPr>
      <t xml:space="preserve">-213</t>
    </r>
  </si>
  <si>
    <t xml:space="preserve">Al Karkh-212</t>
  </si>
  <si>
    <r>
      <rPr>
        <sz val="10"/>
        <color rgb="FF000000"/>
        <rFont val="Lohit Devanagari"/>
        <family val="2"/>
      </rPr>
      <t xml:space="preserve">الكرخ</t>
    </r>
    <r>
      <rPr>
        <sz val="10"/>
        <color rgb="FF000000"/>
        <rFont val="Arial Narrow"/>
        <family val="2"/>
        <charset val="1"/>
      </rPr>
      <t xml:space="preserve">-212</t>
    </r>
  </si>
  <si>
    <t xml:space="preserve">Al Karkh-216</t>
  </si>
  <si>
    <r>
      <rPr>
        <sz val="10"/>
        <color rgb="FF000000"/>
        <rFont val="Lohit Devanagari"/>
        <family val="2"/>
      </rPr>
      <t xml:space="preserve">الكرخ</t>
    </r>
    <r>
      <rPr>
        <sz val="10"/>
        <color rgb="FF000000"/>
        <rFont val="Arial Narrow"/>
        <family val="2"/>
        <charset val="1"/>
      </rPr>
      <t xml:space="preserve">-216</t>
    </r>
  </si>
  <si>
    <t xml:space="preserve">Al Khadraa-639</t>
  </si>
  <si>
    <r>
      <rPr>
        <sz val="10"/>
        <color rgb="FF000000"/>
        <rFont val="Lohit Devanagari"/>
        <family val="2"/>
      </rPr>
      <t xml:space="preserve">الخضراء</t>
    </r>
    <r>
      <rPr>
        <sz val="10"/>
        <color rgb="FF000000"/>
        <rFont val="Arial Narrow"/>
        <family val="2"/>
        <charset val="1"/>
      </rPr>
      <t xml:space="preserve">-639</t>
    </r>
  </si>
  <si>
    <t xml:space="preserve">Al Khadraa-640</t>
  </si>
  <si>
    <r>
      <rPr>
        <sz val="10"/>
        <color rgb="FF000000"/>
        <rFont val="Lohit Devanagari"/>
        <family val="2"/>
      </rPr>
      <t xml:space="preserve">الخضراء</t>
    </r>
    <r>
      <rPr>
        <sz val="10"/>
        <color rgb="FF000000"/>
        <rFont val="Arial Narrow"/>
        <family val="2"/>
        <charset val="1"/>
      </rPr>
      <t xml:space="preserve">-640</t>
    </r>
  </si>
  <si>
    <t xml:space="preserve">Al Maalef-837</t>
  </si>
  <si>
    <r>
      <rPr>
        <sz val="10"/>
        <color rgb="FF000000"/>
        <rFont val="Lohit Devanagari"/>
        <family val="2"/>
      </rPr>
      <t xml:space="preserve">المعالف</t>
    </r>
    <r>
      <rPr>
        <sz val="10"/>
        <color rgb="FF000000"/>
        <rFont val="Arial Narrow"/>
        <family val="2"/>
        <charset val="1"/>
      </rPr>
      <t xml:space="preserve">-837</t>
    </r>
  </si>
  <si>
    <t xml:space="preserve">Al Maalef-843</t>
  </si>
  <si>
    <r>
      <rPr>
        <sz val="10"/>
        <color rgb="FF000000"/>
        <rFont val="Lohit Devanagari"/>
        <family val="2"/>
      </rPr>
      <t xml:space="preserve">المعالف</t>
    </r>
    <r>
      <rPr>
        <sz val="10"/>
        <color rgb="FF000000"/>
        <rFont val="Arial Narrow"/>
        <family val="2"/>
        <charset val="1"/>
      </rPr>
      <t xml:space="preserve">-843</t>
    </r>
  </si>
  <si>
    <t xml:space="preserve">Al Mechanic(Al Hader)-830</t>
  </si>
  <si>
    <r>
      <rPr>
        <sz val="10"/>
        <color rgb="FF000000"/>
        <rFont val="Lohit Devanagari"/>
        <family val="2"/>
      </rPr>
      <t xml:space="preserve">الميكانيك</t>
    </r>
    <r>
      <rPr>
        <sz val="10"/>
        <color rgb="FF000000"/>
        <rFont val="Arial Narrow"/>
        <family val="2"/>
        <charset val="1"/>
      </rPr>
      <t xml:space="preserve">-830(</t>
    </r>
    <r>
      <rPr>
        <sz val="10"/>
        <color rgb="FF000000"/>
        <rFont val="Lohit Devanagari"/>
        <family val="2"/>
      </rPr>
      <t xml:space="preserve">الحضر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</si>
  <si>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Mechanic(Al Hader)-832</t>
  </si>
  <si>
    <r>
      <rPr>
        <sz val="10"/>
        <color rgb="FF000000"/>
        <rFont val="Lohit Devanagari"/>
        <family val="2"/>
      </rPr>
      <t xml:space="preserve">الميكانيك</t>
    </r>
    <r>
      <rPr>
        <sz val="10"/>
        <color rgb="FF000000"/>
        <rFont val="Arial Narrow"/>
        <family val="2"/>
        <charset val="1"/>
      </rPr>
      <t xml:space="preserve">-832(</t>
    </r>
    <r>
      <rPr>
        <sz val="10"/>
        <color rgb="FF000000"/>
        <rFont val="Lohit Devanagari"/>
        <family val="2"/>
      </rPr>
      <t xml:space="preserve">الحضر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</si>
  <si>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Mechanic-834</t>
  </si>
  <si>
    <r>
      <rPr>
        <sz val="10"/>
        <color rgb="FF000000"/>
        <rFont val="Lohit Devanagari"/>
        <family val="2"/>
      </rPr>
      <t xml:space="preserve">الميكانيك</t>
    </r>
    <r>
      <rPr>
        <sz val="10"/>
        <color rgb="FF000000"/>
        <rFont val="Arial Narrow"/>
        <family val="2"/>
        <charset val="1"/>
      </rPr>
      <t xml:space="preserve">-834(</t>
    </r>
    <r>
      <rPr>
        <sz val="10"/>
        <color rgb="FF000000"/>
        <rFont val="Lohit Devanagari"/>
        <family val="2"/>
      </rPr>
      <t xml:space="preserve">الحضر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</si>
  <si>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Mowasalat-863</t>
  </si>
  <si>
    <r>
      <rPr>
        <sz val="10"/>
        <color rgb="FF000000"/>
        <rFont val="Lohit Devanagari"/>
        <family val="2"/>
      </rPr>
      <t xml:space="preserve">المواصلات</t>
    </r>
    <r>
      <rPr>
        <sz val="10"/>
        <color rgb="FF000000"/>
        <rFont val="Arial Narrow"/>
        <family val="2"/>
        <charset val="1"/>
      </rPr>
      <t xml:space="preserve">-863</t>
    </r>
  </si>
  <si>
    <t xml:space="preserve">Al Mutanbi-603</t>
  </si>
  <si>
    <r>
      <rPr>
        <sz val="10"/>
        <color rgb="FF000000"/>
        <rFont val="Lohit Devanagari"/>
        <family val="2"/>
      </rPr>
      <t xml:space="preserve">المتنبي</t>
    </r>
    <r>
      <rPr>
        <sz val="10"/>
        <color rgb="FF000000"/>
        <rFont val="Arial Narrow"/>
        <family val="2"/>
        <charset val="1"/>
      </rPr>
      <t xml:space="preserve">-603</t>
    </r>
  </si>
  <si>
    <t xml:space="preserve">Al Mutanbi-605</t>
  </si>
  <si>
    <r>
      <rPr>
        <sz val="10"/>
        <color rgb="FF000000"/>
        <rFont val="Lohit Devanagari"/>
        <family val="2"/>
      </rPr>
      <t xml:space="preserve">المتنبي</t>
    </r>
    <r>
      <rPr>
        <sz val="10"/>
        <color rgb="FF000000"/>
        <rFont val="Arial Narrow"/>
        <family val="2"/>
        <charset val="1"/>
      </rPr>
      <t xml:space="preserve">-605</t>
    </r>
  </si>
  <si>
    <t xml:space="preserve">Al Mutanbi-607</t>
  </si>
  <si>
    <r>
      <rPr>
        <sz val="10"/>
        <color rgb="FF000000"/>
        <rFont val="Lohit Devanagari"/>
        <family val="2"/>
      </rPr>
      <t xml:space="preserve">المتنبي</t>
    </r>
    <r>
      <rPr>
        <sz val="10"/>
        <color rgb="FF000000"/>
        <rFont val="Arial Narrow"/>
        <family val="2"/>
        <charset val="1"/>
      </rPr>
      <t xml:space="preserve">-607</t>
    </r>
  </si>
  <si>
    <t xml:space="preserve">Al Mutanbi-615</t>
  </si>
  <si>
    <r>
      <rPr>
        <sz val="10"/>
        <color rgb="FF000000"/>
        <rFont val="Lohit Devanagari"/>
        <family val="2"/>
      </rPr>
      <t xml:space="preserve">المتنبي</t>
    </r>
    <r>
      <rPr>
        <sz val="10"/>
        <color rgb="FF000000"/>
        <rFont val="Arial Narrow"/>
        <family val="2"/>
        <charset val="1"/>
      </rPr>
      <t xml:space="preserve">-615</t>
    </r>
  </si>
  <si>
    <t xml:space="preserve">Al Qadissiya-602</t>
  </si>
  <si>
    <r>
      <rPr>
        <sz val="10"/>
        <color rgb="FF000000"/>
        <rFont val="Lohit Devanagari"/>
        <family val="2"/>
      </rPr>
      <t xml:space="preserve">القادسية</t>
    </r>
    <r>
      <rPr>
        <sz val="10"/>
        <color rgb="FF000000"/>
        <rFont val="Arial Narrow"/>
        <family val="2"/>
        <charset val="1"/>
      </rPr>
      <t xml:space="preserve">-602</t>
    </r>
  </si>
  <si>
    <t xml:space="preserve">Al Qadissiya-604</t>
  </si>
  <si>
    <r>
      <rPr>
        <sz val="10"/>
        <color rgb="FF000000"/>
        <rFont val="Lohit Devanagari"/>
        <family val="2"/>
      </rPr>
      <t xml:space="preserve">القادسية</t>
    </r>
    <r>
      <rPr>
        <sz val="10"/>
        <color rgb="FF000000"/>
        <rFont val="Arial Narrow"/>
        <family val="2"/>
        <charset val="1"/>
      </rPr>
      <t xml:space="preserve">-604</t>
    </r>
  </si>
  <si>
    <t xml:space="preserve">Al Qadissiya-606</t>
  </si>
  <si>
    <r>
      <rPr>
        <sz val="10"/>
        <color rgb="FF000000"/>
        <rFont val="Lohit Devanagari"/>
        <family val="2"/>
      </rPr>
      <t xml:space="preserve">القادسية</t>
    </r>
    <r>
      <rPr>
        <sz val="10"/>
        <color rgb="FF000000"/>
        <rFont val="Arial Narrow"/>
        <family val="2"/>
        <charset val="1"/>
      </rPr>
      <t xml:space="preserve">-606</t>
    </r>
  </si>
  <si>
    <t xml:space="preserve">Al Radwania</t>
  </si>
  <si>
    <t xml:space="preserve">منطقة الرضوانية</t>
  </si>
  <si>
    <t xml:space="preserve">Al Raie 861</t>
  </si>
  <si>
    <r>
      <rPr>
        <sz val="10"/>
        <color rgb="FF000000"/>
        <rFont val="Lohit Devanagari"/>
        <family val="2"/>
      </rPr>
      <t xml:space="preserve">الري </t>
    </r>
    <r>
      <rPr>
        <sz val="10"/>
        <color rgb="FF000000"/>
        <rFont val="Arial Narrow"/>
        <family val="2"/>
        <charset val="1"/>
      </rPr>
      <t xml:space="preserve">861</t>
    </r>
  </si>
  <si>
    <t xml:space="preserve">Al Resala-849</t>
  </si>
  <si>
    <r>
      <rPr>
        <sz val="10"/>
        <color rgb="FF000000"/>
        <rFont val="Lohit Devanagari"/>
        <family val="2"/>
      </rPr>
      <t xml:space="preserve">الرسالة</t>
    </r>
    <r>
      <rPr>
        <sz val="10"/>
        <color rgb="FF000000"/>
        <rFont val="Arial Narrow"/>
        <family val="2"/>
        <charset val="1"/>
      </rPr>
      <t xml:space="preserve">-849</t>
    </r>
  </si>
  <si>
    <t xml:space="preserve">Al Resala-851</t>
  </si>
  <si>
    <r>
      <rPr>
        <sz val="10"/>
        <color rgb="FF000000"/>
        <rFont val="Lohit Devanagari"/>
        <family val="2"/>
      </rPr>
      <t xml:space="preserve">الرسالة</t>
    </r>
    <r>
      <rPr>
        <sz val="10"/>
        <color rgb="FF000000"/>
        <rFont val="Arial Narrow"/>
        <family val="2"/>
        <charset val="1"/>
      </rPr>
      <t xml:space="preserve">-851</t>
    </r>
  </si>
  <si>
    <t xml:space="preserve">Al Resala-853</t>
  </si>
  <si>
    <r>
      <rPr>
        <sz val="10"/>
        <color rgb="FF000000"/>
        <rFont val="Lohit Devanagari"/>
        <family val="2"/>
      </rPr>
      <t xml:space="preserve">الرسالة</t>
    </r>
    <r>
      <rPr>
        <sz val="10"/>
        <color rgb="FF000000"/>
        <rFont val="Arial Narrow"/>
        <family val="2"/>
        <charset val="1"/>
      </rPr>
      <t xml:space="preserve">-853</t>
    </r>
  </si>
  <si>
    <t xml:space="preserve">Al Resala-855</t>
  </si>
  <si>
    <r>
      <rPr>
        <sz val="10"/>
        <color rgb="FF000000"/>
        <rFont val="Lohit Devanagari"/>
        <family val="2"/>
      </rPr>
      <t xml:space="preserve">الرسالة</t>
    </r>
    <r>
      <rPr>
        <sz val="10"/>
        <color rgb="FF000000"/>
        <rFont val="Arial Narrow"/>
        <family val="2"/>
        <charset val="1"/>
      </rPr>
      <t xml:space="preserve">-855</t>
    </r>
  </si>
  <si>
    <t xml:space="preserve">Al Salahiya-222</t>
  </si>
  <si>
    <r>
      <rPr>
        <sz val="10"/>
        <color rgb="FF000000"/>
        <rFont val="Lohit Devanagari"/>
        <family val="2"/>
      </rPr>
      <t xml:space="preserve">الصالحية</t>
    </r>
    <r>
      <rPr>
        <sz val="10"/>
        <color rgb="FF000000"/>
        <rFont val="Arial Narrow"/>
        <family val="2"/>
        <charset val="1"/>
      </rPr>
      <t xml:space="preserve">-222</t>
    </r>
  </si>
  <si>
    <t xml:space="preserve">Al salam-al takia al kasnazania camp</t>
  </si>
  <si>
    <t xml:space="preserve">مخيم الكسنزانية</t>
  </si>
  <si>
    <t xml:space="preserve">Al Saydiya-823</t>
  </si>
  <si>
    <r>
      <rPr>
        <sz val="10"/>
        <color rgb="FF000000"/>
        <rFont val="Lohit Devanagari"/>
        <family val="2"/>
      </rPr>
      <t xml:space="preserve">السيدية</t>
    </r>
    <r>
      <rPr>
        <sz val="10"/>
        <color rgb="FF000000"/>
        <rFont val="Arial Narrow"/>
        <family val="2"/>
        <charset val="1"/>
      </rPr>
      <t xml:space="preserve">-823</t>
    </r>
  </si>
  <si>
    <t xml:space="preserve">Al Sedea-821</t>
  </si>
  <si>
    <r>
      <rPr>
        <sz val="10"/>
        <color rgb="FF000000"/>
        <rFont val="Lohit Devanagari"/>
        <family val="2"/>
      </rPr>
      <t xml:space="preserve">السيدية</t>
    </r>
    <r>
      <rPr>
        <sz val="10"/>
        <color rgb="FF000000"/>
        <rFont val="Arial Narrow"/>
        <family val="2"/>
        <charset val="1"/>
      </rPr>
      <t xml:space="preserve">-821</t>
    </r>
  </si>
  <si>
    <t xml:space="preserve">Al Sedea-825</t>
  </si>
  <si>
    <r>
      <rPr>
        <sz val="10"/>
        <color rgb="FF000000"/>
        <rFont val="Lohit Devanagari"/>
        <family val="2"/>
      </rPr>
      <t xml:space="preserve">السيدية</t>
    </r>
    <r>
      <rPr>
        <sz val="10"/>
        <color rgb="FF000000"/>
        <rFont val="Arial Narrow"/>
        <family val="2"/>
        <charset val="1"/>
      </rPr>
      <t xml:space="preserve">-825</t>
    </r>
  </si>
  <si>
    <t xml:space="preserve">Al Shabab-835</t>
  </si>
  <si>
    <r>
      <rPr>
        <sz val="10"/>
        <color rgb="FF000000"/>
        <rFont val="Lohit Devanagari"/>
        <family val="2"/>
      </rPr>
      <t xml:space="preserve">الشباب</t>
    </r>
    <r>
      <rPr>
        <sz val="10"/>
        <color rgb="FF000000"/>
        <rFont val="Arial Narrow"/>
        <family val="2"/>
        <charset val="1"/>
      </rPr>
      <t xml:space="preserve">-835</t>
    </r>
  </si>
  <si>
    <t xml:space="preserve">Al Shabab-839</t>
  </si>
  <si>
    <r>
      <rPr>
        <sz val="10"/>
        <color rgb="FF000000"/>
        <rFont val="Lohit Devanagari"/>
        <family val="2"/>
      </rPr>
      <t xml:space="preserve">الشباب</t>
    </r>
    <r>
      <rPr>
        <sz val="10"/>
        <color rgb="FF000000"/>
        <rFont val="Arial Narrow"/>
        <family val="2"/>
        <charset val="1"/>
      </rPr>
      <t xml:space="preserve">-839</t>
    </r>
  </si>
  <si>
    <t xml:space="preserve">Al Shurta-857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</si>
  <si>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-857</t>
    </r>
  </si>
  <si>
    <t xml:space="preserve">Al Shurta-865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</si>
  <si>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-865</t>
    </r>
  </si>
  <si>
    <t xml:space="preserve">Al Shurta-869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</si>
  <si>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-869</t>
    </r>
  </si>
  <si>
    <t xml:space="preserve">Al Shurta-875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</si>
  <si>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-875</t>
    </r>
  </si>
  <si>
    <t xml:space="preserve">Al Shurtah-867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</si>
  <si>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-867</t>
    </r>
  </si>
  <si>
    <t xml:space="preserve">Al Shurtah-873</t>
  </si>
  <si>
    <r>
      <rPr>
        <sz val="10"/>
        <color rgb="FF000000"/>
        <rFont val="Lohit Devanagari"/>
        <family val="2"/>
      </rPr>
      <t xml:space="preserve">الشرطة</t>
    </r>
    <r>
      <rPr>
        <sz val="10"/>
        <color rgb="FF000000"/>
        <rFont val="Arial Narrow"/>
        <family val="2"/>
        <charset val="1"/>
      </rPr>
      <t xml:space="preserve">-873</t>
    </r>
  </si>
  <si>
    <t xml:space="preserve">Al Toma(Al Masfi)-826</t>
  </si>
  <si>
    <r>
      <rPr>
        <sz val="10"/>
        <color rgb="FF000000"/>
        <rFont val="Lohit Devanagari"/>
        <family val="2"/>
      </rPr>
      <t xml:space="preserve">الطعمة</t>
    </r>
    <r>
      <rPr>
        <sz val="10"/>
        <color rgb="FF000000"/>
        <rFont val="Arial Narrow"/>
        <family val="2"/>
        <charset val="1"/>
      </rPr>
      <t xml:space="preserve">-826(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</si>
  <si>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Wadi(Al Masfi)-824</t>
  </si>
  <si>
    <r>
      <rPr>
        <sz val="10"/>
        <color rgb="FF000000"/>
        <rFont val="Lohit Devanagari"/>
        <family val="2"/>
      </rPr>
      <t xml:space="preserve">الوادي</t>
    </r>
    <r>
      <rPr>
        <sz val="10"/>
        <color rgb="FF000000"/>
        <rFont val="Arial Narrow"/>
        <family val="2"/>
        <charset val="1"/>
      </rPr>
      <t xml:space="preserve">-824(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</si>
  <si>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Yarmok</t>
  </si>
  <si>
    <t xml:space="preserve">اليرموك</t>
  </si>
  <si>
    <t xml:space="preserve">Al Yarmok-614</t>
  </si>
  <si>
    <r>
      <rPr>
        <sz val="10"/>
        <color rgb="FF000000"/>
        <rFont val="Lohit Devanagari"/>
        <family val="2"/>
      </rPr>
      <t xml:space="preserve">اليرموك</t>
    </r>
    <r>
      <rPr>
        <sz val="10"/>
        <color rgb="FF000000"/>
        <rFont val="Arial Narrow"/>
        <family val="2"/>
        <charset val="1"/>
      </rPr>
      <t xml:space="preserve">-614</t>
    </r>
  </si>
  <si>
    <t xml:space="preserve">Al Yarmouk-608</t>
  </si>
  <si>
    <r>
      <rPr>
        <sz val="10"/>
        <color rgb="FF000000"/>
        <rFont val="Lohit Devanagari"/>
        <family val="2"/>
      </rPr>
      <t xml:space="preserve">اليرموك</t>
    </r>
    <r>
      <rPr>
        <sz val="10"/>
        <color rgb="FF000000"/>
        <rFont val="Arial Narrow"/>
        <family val="2"/>
        <charset val="1"/>
      </rPr>
      <t xml:space="preserve">-608</t>
    </r>
  </si>
  <si>
    <t xml:space="preserve">Al Yarmouk-610</t>
  </si>
  <si>
    <r>
      <rPr>
        <sz val="10"/>
        <color rgb="FF000000"/>
        <rFont val="Lohit Devanagari"/>
        <family val="2"/>
      </rPr>
      <t xml:space="preserve">اليرموك</t>
    </r>
    <r>
      <rPr>
        <sz val="10"/>
        <color rgb="FF000000"/>
        <rFont val="Arial Narrow"/>
        <family val="2"/>
        <charset val="1"/>
      </rPr>
      <t xml:space="preserve">-610</t>
    </r>
  </si>
  <si>
    <t xml:space="preserve">Al Yarmouk-612</t>
  </si>
  <si>
    <r>
      <rPr>
        <sz val="10"/>
        <color rgb="FF000000"/>
        <rFont val="Lohit Devanagari"/>
        <family val="2"/>
      </rPr>
      <t xml:space="preserve">اليرموك</t>
    </r>
    <r>
      <rPr>
        <sz val="10"/>
        <color rgb="FF000000"/>
        <rFont val="Arial Narrow"/>
        <family val="2"/>
        <charset val="1"/>
      </rPr>
      <t xml:space="preserve">-612</t>
    </r>
  </si>
  <si>
    <t xml:space="preserve">Al Yarmouk-616</t>
  </si>
  <si>
    <r>
      <rPr>
        <sz val="10"/>
        <color rgb="FF000000"/>
        <rFont val="Lohit Devanagari"/>
        <family val="2"/>
      </rPr>
      <t xml:space="preserve">اليرموك</t>
    </r>
    <r>
      <rPr>
        <sz val="10"/>
        <color rgb="FF000000"/>
        <rFont val="Arial Narrow"/>
        <family val="2"/>
        <charset val="1"/>
      </rPr>
      <t xml:space="preserve">-616</t>
    </r>
  </si>
  <si>
    <t xml:space="preserve">Al-Iskan 623</t>
  </si>
  <si>
    <r>
      <rPr>
        <sz val="10"/>
        <color rgb="FF000000"/>
        <rFont val="Lohit Devanagari"/>
        <family val="2"/>
      </rPr>
      <t xml:space="preserve">الاسكان</t>
    </r>
    <r>
      <rPr>
        <sz val="10"/>
        <color rgb="FF000000"/>
        <rFont val="Arial Narrow"/>
        <family val="2"/>
        <charset val="1"/>
      </rPr>
      <t xml:space="preserve">-623</t>
    </r>
  </si>
  <si>
    <t xml:space="preserve">Al-Iskan-625</t>
  </si>
  <si>
    <r>
      <rPr>
        <sz val="10"/>
        <color rgb="FF000000"/>
        <rFont val="Lohit Devanagari"/>
        <family val="2"/>
      </rPr>
      <t xml:space="preserve">الاسكان</t>
    </r>
    <r>
      <rPr>
        <sz val="10"/>
        <color rgb="FF000000"/>
        <rFont val="Arial Narrow"/>
        <family val="2"/>
        <charset val="1"/>
      </rPr>
      <t xml:space="preserve">-625</t>
    </r>
  </si>
  <si>
    <t xml:space="preserve">Al-Mansour-601</t>
  </si>
  <si>
    <r>
      <rPr>
        <sz val="10"/>
        <color rgb="FF000000"/>
        <rFont val="Lohit Devanagari"/>
        <family val="2"/>
      </rPr>
      <t xml:space="preserve">حي المنصور</t>
    </r>
    <r>
      <rPr>
        <sz val="10"/>
        <color rgb="FF000000"/>
        <rFont val="Arial Narrow"/>
        <family val="2"/>
        <charset val="1"/>
      </rPr>
      <t xml:space="preserve">-601</t>
    </r>
  </si>
  <si>
    <t xml:space="preserve">Al-Mansour-609</t>
  </si>
  <si>
    <r>
      <rPr>
        <sz val="10"/>
        <color rgb="FF000000"/>
        <rFont val="Lohit Devanagari"/>
        <family val="2"/>
      </rPr>
      <t xml:space="preserve">حي المنصور</t>
    </r>
    <r>
      <rPr>
        <sz val="10"/>
        <color rgb="FF000000"/>
        <rFont val="Arial Narrow"/>
        <family val="2"/>
        <charset val="1"/>
      </rPr>
      <t xml:space="preserve">-609</t>
    </r>
  </si>
  <si>
    <t xml:space="preserve">Albo_Aitha</t>
  </si>
  <si>
    <t xml:space="preserve">البو عيثا</t>
  </si>
  <si>
    <t xml:space="preserve">Arab jbor</t>
  </si>
  <si>
    <t xml:space="preserve">عرب جبور</t>
  </si>
  <si>
    <t xml:space="preserve">Asia(Al Hader)-836</t>
  </si>
  <si>
    <r>
      <rPr>
        <sz val="10"/>
        <color rgb="FF000000"/>
        <rFont val="Lohit Devanagari"/>
        <family val="2"/>
      </rPr>
      <t xml:space="preserve">اسيا</t>
    </r>
    <r>
      <rPr>
        <sz val="10"/>
        <color rgb="FF000000"/>
        <rFont val="Arial Narrow"/>
        <family val="2"/>
        <charset val="1"/>
      </rPr>
      <t xml:space="preserve">-836(</t>
    </r>
    <r>
      <rPr>
        <sz val="10"/>
        <color rgb="FF000000"/>
        <rFont val="Lohit Devanagari"/>
        <family val="2"/>
      </rPr>
      <t xml:space="preserve">الحضر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</si>
  <si>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Gazaliya Camp</t>
  </si>
  <si>
    <t xml:space="preserve">مخيم الغزالية</t>
  </si>
  <si>
    <t xml:space="preserve">Hateen-620</t>
  </si>
  <si>
    <r>
      <rPr>
        <sz val="10"/>
        <color rgb="FF000000"/>
        <rFont val="Lohit Devanagari"/>
        <family val="2"/>
      </rPr>
      <t xml:space="preserve">حطين</t>
    </r>
    <r>
      <rPr>
        <sz val="10"/>
        <color rgb="FF000000"/>
        <rFont val="Arial Narrow"/>
        <family val="2"/>
        <charset val="1"/>
      </rPr>
      <t xml:space="preserve">-620</t>
    </r>
  </si>
  <si>
    <t xml:space="preserve">Hateen-622</t>
  </si>
  <si>
    <r>
      <rPr>
        <sz val="10"/>
        <color rgb="FF000000"/>
        <rFont val="Lohit Devanagari"/>
        <family val="2"/>
      </rPr>
      <t xml:space="preserve">حطين</t>
    </r>
    <r>
      <rPr>
        <sz val="10"/>
        <color rgb="FF000000"/>
        <rFont val="Arial Narrow"/>
        <family val="2"/>
        <charset val="1"/>
      </rPr>
      <t xml:space="preserve">-622</t>
    </r>
  </si>
  <si>
    <t xml:space="preserve">Hay Al Adil-647</t>
  </si>
  <si>
    <r>
      <rPr>
        <sz val="10"/>
        <color rgb="FF000000"/>
        <rFont val="Lohit Devanagari"/>
        <family val="2"/>
      </rPr>
      <t xml:space="preserve">حي العدل</t>
    </r>
    <r>
      <rPr>
        <sz val="10"/>
        <color rgb="FF000000"/>
        <rFont val="Arial Narrow"/>
        <family val="2"/>
        <charset val="1"/>
      </rPr>
      <t xml:space="preserve">-647</t>
    </r>
  </si>
  <si>
    <t xml:space="preserve">Hay Al Adil-657</t>
  </si>
  <si>
    <r>
      <rPr>
        <sz val="10"/>
        <color rgb="FF000000"/>
        <rFont val="Lohit Devanagari"/>
        <family val="2"/>
      </rPr>
      <t xml:space="preserve">حي العدل</t>
    </r>
    <r>
      <rPr>
        <sz val="10"/>
        <color rgb="FF000000"/>
        <rFont val="Arial Narrow"/>
        <family val="2"/>
        <charset val="1"/>
      </rPr>
      <t xml:space="preserve">-657</t>
    </r>
  </si>
  <si>
    <t xml:space="preserve">Hay Al Amel-805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</si>
  <si>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-805</t>
    </r>
  </si>
  <si>
    <t xml:space="preserve">Hay Al Amel-811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</si>
  <si>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-811</t>
    </r>
  </si>
  <si>
    <t xml:space="preserve">Hay Al Amil-801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</si>
  <si>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-801</t>
    </r>
  </si>
  <si>
    <t xml:space="preserve">Hay Al Amil-803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</si>
  <si>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-803</t>
    </r>
  </si>
  <si>
    <t xml:space="preserve">Hay Al Amil-807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</si>
  <si>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-807</t>
    </r>
  </si>
  <si>
    <t xml:space="preserve">Hay Al Amil-809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</si>
  <si>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-809</t>
    </r>
  </si>
  <si>
    <t xml:space="preserve">Hay Al Amil-813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</si>
  <si>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-813</t>
    </r>
  </si>
  <si>
    <t xml:space="preserve">Hay Al Amil-815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</si>
  <si>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-815</t>
    </r>
  </si>
  <si>
    <t xml:space="preserve">Hay al jamiyah-842</t>
  </si>
  <si>
    <r>
      <rPr>
        <sz val="10"/>
        <color rgb="FF000000"/>
        <rFont val="Lohit Devanagari"/>
        <family val="2"/>
      </rPr>
      <t xml:space="preserve">حي الجمعية</t>
    </r>
    <r>
      <rPr>
        <sz val="10"/>
        <color rgb="FF000000"/>
        <rFont val="Arial Narrow"/>
        <family val="2"/>
        <charset val="1"/>
      </rPr>
      <t xml:space="preserve">-842(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</si>
  <si>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Hay Al Jehad-879</t>
  </si>
  <si>
    <r>
      <rPr>
        <sz val="10"/>
        <color rgb="FF000000"/>
        <rFont val="Lohit Devanagari"/>
        <family val="2"/>
      </rPr>
      <t xml:space="preserve">حي الجهاد</t>
    </r>
    <r>
      <rPr>
        <sz val="10"/>
        <color rgb="FF000000"/>
        <rFont val="Arial Narrow"/>
        <family val="2"/>
        <charset val="1"/>
      </rPr>
      <t xml:space="preserve">-879</t>
    </r>
  </si>
  <si>
    <t xml:space="preserve">Hay Al Jehad-881</t>
  </si>
  <si>
    <r>
      <rPr>
        <sz val="10"/>
        <color rgb="FF000000"/>
        <rFont val="Lohit Devanagari"/>
        <family val="2"/>
      </rPr>
      <t xml:space="preserve">حي الجهاد</t>
    </r>
    <r>
      <rPr>
        <sz val="10"/>
        <color rgb="FF000000"/>
        <rFont val="Arial Narrow"/>
        <family val="2"/>
        <charset val="1"/>
      </rPr>
      <t xml:space="preserve">-881</t>
    </r>
  </si>
  <si>
    <t xml:space="preserve">Hay Al Jehad-883</t>
  </si>
  <si>
    <r>
      <rPr>
        <sz val="10"/>
        <color rgb="FF000000"/>
        <rFont val="Lohit Devanagari"/>
        <family val="2"/>
      </rPr>
      <t xml:space="preserve">حي الجهاد</t>
    </r>
    <r>
      <rPr>
        <sz val="10"/>
        <color rgb="FF000000"/>
        <rFont val="Arial Narrow"/>
        <family val="2"/>
        <charset val="1"/>
      </rPr>
      <t xml:space="preserve">-883</t>
    </r>
  </si>
  <si>
    <t xml:space="preserve">Hay Al Jehad-887</t>
  </si>
  <si>
    <r>
      <rPr>
        <sz val="10"/>
        <color rgb="FF000000"/>
        <rFont val="Lohit Devanagari"/>
        <family val="2"/>
      </rPr>
      <t xml:space="preserve">حي الجهاد</t>
    </r>
    <r>
      <rPr>
        <sz val="10"/>
        <color rgb="FF000000"/>
        <rFont val="Arial Narrow"/>
        <family val="2"/>
        <charset val="1"/>
      </rPr>
      <t xml:space="preserve">-887</t>
    </r>
  </si>
  <si>
    <t xml:space="preserve">Hay Al Jehad-891</t>
  </si>
  <si>
    <r>
      <rPr>
        <sz val="10"/>
        <color rgb="FF000000"/>
        <rFont val="Lohit Devanagari"/>
        <family val="2"/>
      </rPr>
      <t xml:space="preserve">حي الجهاد</t>
    </r>
    <r>
      <rPr>
        <sz val="10"/>
        <color rgb="FF000000"/>
        <rFont val="Arial Narrow"/>
        <family val="2"/>
        <charset val="1"/>
      </rPr>
      <t xml:space="preserve">-891</t>
    </r>
  </si>
  <si>
    <t xml:space="preserve">Hoor Rajab</t>
  </si>
  <si>
    <t xml:space="preserve">هور رجب</t>
  </si>
  <si>
    <t xml:space="preserve">Kadhraa Camp</t>
  </si>
  <si>
    <t xml:space="preserve">مخيم الخضراء</t>
  </si>
  <si>
    <t xml:space="preserve">Sheikh Maaroof-204</t>
  </si>
  <si>
    <r>
      <rPr>
        <sz val="10"/>
        <color rgb="FF000000"/>
        <rFont val="Lohit Devanagari"/>
        <family val="2"/>
      </rPr>
      <t xml:space="preserve">شيخ معروف</t>
    </r>
    <r>
      <rPr>
        <sz val="10"/>
        <color rgb="FF000000"/>
        <rFont val="Arial Narrow"/>
        <family val="2"/>
        <charset val="1"/>
      </rPr>
      <t xml:space="preserve">-204</t>
    </r>
  </si>
  <si>
    <t xml:space="preserve">Sheikh Maaroof-206</t>
  </si>
  <si>
    <r>
      <rPr>
        <sz val="10"/>
        <color rgb="FF000000"/>
        <rFont val="Lohit Devanagari"/>
        <family val="2"/>
      </rPr>
      <t xml:space="preserve">شيخ معروف</t>
    </r>
    <r>
      <rPr>
        <sz val="10"/>
        <color rgb="FF000000"/>
        <rFont val="Arial Narrow"/>
        <family val="2"/>
        <charset val="1"/>
      </rPr>
      <t xml:space="preserve">-206</t>
    </r>
  </si>
  <si>
    <t xml:space="preserve">Sheikh Maaroof-208</t>
  </si>
  <si>
    <r>
      <rPr>
        <sz val="10"/>
        <color rgb="FF000000"/>
        <rFont val="Lohit Devanagari"/>
        <family val="2"/>
      </rPr>
      <t xml:space="preserve">شيخ معروف</t>
    </r>
    <r>
      <rPr>
        <sz val="10"/>
        <color rgb="FF000000"/>
        <rFont val="Arial Narrow"/>
        <family val="2"/>
        <charset val="1"/>
      </rPr>
      <t xml:space="preserve">-208</t>
    </r>
  </si>
  <si>
    <t xml:space="preserve">Sheikh Maaroof-210</t>
  </si>
  <si>
    <r>
      <rPr>
        <sz val="10"/>
        <color rgb="FF000000"/>
        <rFont val="Lohit Devanagari"/>
        <family val="2"/>
      </rPr>
      <t xml:space="preserve">شيخ معروف</t>
    </r>
    <r>
      <rPr>
        <sz val="10"/>
        <color rgb="FF000000"/>
        <rFont val="Arial Narrow"/>
        <family val="2"/>
        <charset val="1"/>
      </rPr>
      <t xml:space="preserve">-210</t>
    </r>
  </si>
  <si>
    <t xml:space="preserve">Sheikh Maaroof-214</t>
  </si>
  <si>
    <r>
      <rPr>
        <sz val="10"/>
        <color rgb="FF000000"/>
        <rFont val="Lohit Devanagari"/>
        <family val="2"/>
      </rPr>
      <t xml:space="preserve">شيخ معروف</t>
    </r>
    <r>
      <rPr>
        <sz val="10"/>
        <color rgb="FF000000"/>
        <rFont val="Arial Narrow"/>
        <family val="2"/>
        <charset val="1"/>
      </rPr>
      <t xml:space="preserve">-214</t>
    </r>
  </si>
  <si>
    <t xml:space="preserve">Shekh Junid-202</t>
  </si>
  <si>
    <r>
      <rPr>
        <sz val="10"/>
        <color rgb="FF000000"/>
        <rFont val="Lohit Devanagari"/>
        <family val="2"/>
      </rPr>
      <t xml:space="preserve">شيخ جنيد</t>
    </r>
    <r>
      <rPr>
        <sz val="10"/>
        <color rgb="FF000000"/>
        <rFont val="Arial Narrow"/>
        <family val="2"/>
        <charset val="1"/>
      </rPr>
      <t xml:space="preserve">-202</t>
    </r>
  </si>
  <si>
    <t xml:space="preserve">Shurta Al Masafi-840</t>
  </si>
  <si>
    <r>
      <rPr>
        <sz val="10"/>
        <color rgb="FF000000"/>
        <rFont val="Lohit Devanagari"/>
        <family val="2"/>
      </rPr>
      <t xml:space="preserve">شرطة المصافي </t>
    </r>
    <r>
      <rPr>
        <sz val="10"/>
        <color rgb="FF000000"/>
        <rFont val="Arial Narrow"/>
        <family val="2"/>
        <charset val="1"/>
      </rPr>
      <t xml:space="preserve">840(</t>
    </r>
    <r>
      <rPr>
        <sz val="10"/>
        <color rgb="FF000000"/>
        <rFont val="Lohit Devanagari"/>
        <family val="2"/>
      </rPr>
      <t xml:space="preserve">المصافي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</si>
  <si>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Shurtah Al Hader-846</t>
  </si>
  <si>
    <r>
      <rPr>
        <sz val="10"/>
        <color rgb="FF000000"/>
        <rFont val="Lohit Devanagari"/>
        <family val="2"/>
      </rPr>
      <t xml:space="preserve">شرطة الحضر</t>
    </r>
    <r>
      <rPr>
        <sz val="10"/>
        <color rgb="FF000000"/>
        <rFont val="Arial Narrow"/>
        <family val="2"/>
        <charset val="1"/>
      </rPr>
      <t xml:space="preserve">-846</t>
    </r>
  </si>
  <si>
    <t xml:space="preserve">Suwaib-871</t>
  </si>
  <si>
    <r>
      <rPr>
        <sz val="10"/>
        <color rgb="FF000000"/>
        <rFont val="Lohit Devanagari"/>
        <family val="2"/>
      </rPr>
      <t xml:space="preserve">سويب</t>
    </r>
    <r>
      <rPr>
        <sz val="10"/>
        <color rgb="FF000000"/>
        <rFont val="Arial Narrow"/>
        <family val="2"/>
        <charset val="1"/>
      </rPr>
      <t xml:space="preserve">-871</t>
    </r>
  </si>
  <si>
    <t xml:space="preserve">Uwayrij</t>
  </si>
  <si>
    <t xml:space="preserve">عويريج</t>
  </si>
  <si>
    <t xml:space="preserve">Uwayrij Camp</t>
  </si>
  <si>
    <t xml:space="preserve">مخيم عويريج</t>
  </si>
  <si>
    <t xml:space="preserve">Uwrej-Al Qurtan</t>
  </si>
  <si>
    <t xml:space="preserve">عويريج الكرطان</t>
  </si>
  <si>
    <t xml:space="preserve">Mada'in</t>
  </si>
  <si>
    <t xml:space="preserve">9 Nissan</t>
  </si>
  <si>
    <r>
      <rPr>
        <sz val="10"/>
        <color rgb="FF000000"/>
        <rFont val="Arial Narrow"/>
        <family val="2"/>
        <charset val="1"/>
      </rPr>
      <t xml:space="preserve">9 </t>
    </r>
    <r>
      <rPr>
        <sz val="10"/>
        <color rgb="FF000000"/>
        <rFont val="Lohit Devanagari"/>
        <family val="2"/>
      </rPr>
      <t xml:space="preserve">نيسان</t>
    </r>
  </si>
  <si>
    <t xml:space="preserve">Abu Thaila Village</t>
  </si>
  <si>
    <t xml:space="preserve">قرية ابو ثيلة</t>
  </si>
  <si>
    <t xml:space="preserve">Al Arefia</t>
  </si>
  <si>
    <t xml:space="preserve">العريفية</t>
  </si>
  <si>
    <t xml:space="preserve">Al Desaim Village</t>
  </si>
  <si>
    <t xml:space="preserve">قرية الدسيم</t>
  </si>
  <si>
    <t xml:space="preserve">Al Ehsan Complex</t>
  </si>
  <si>
    <t xml:space="preserve">مجمع الاحسان</t>
  </si>
  <si>
    <t xml:space="preserve">Al Holandyia Village</t>
  </si>
  <si>
    <t xml:space="preserve">القرية الهولندية</t>
  </si>
  <si>
    <t xml:space="preserve">Al Imam Al Redha Village</t>
  </si>
  <si>
    <t xml:space="preserve">قرية الامام الرضا</t>
  </si>
  <si>
    <t xml:space="preserve">Al Karagolia</t>
  </si>
  <si>
    <t xml:space="preserve">الكرغولية</t>
  </si>
  <si>
    <t xml:space="preserve">Al Reyad</t>
  </si>
  <si>
    <t xml:space="preserve">الرياض</t>
  </si>
  <si>
    <t xml:space="preserve">Al Samadia</t>
  </si>
  <si>
    <t xml:space="preserve">الصمدية</t>
  </si>
  <si>
    <t xml:space="preserve">Al Tuwetha</t>
  </si>
  <si>
    <t xml:space="preserve">التويثة</t>
  </si>
  <si>
    <t xml:space="preserve">Al Wardia</t>
  </si>
  <si>
    <t xml:space="preserve">الوردية</t>
  </si>
  <si>
    <t xml:space="preserve">Al Wehda-Village 10</t>
  </si>
  <si>
    <r>
      <rPr>
        <sz val="10"/>
        <color rgb="FF000000"/>
        <rFont val="Lohit Devanagari"/>
        <family val="2"/>
      </rPr>
      <t xml:space="preserve">الوحده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القرية </t>
    </r>
    <r>
      <rPr>
        <sz val="10"/>
        <color rgb="FF000000"/>
        <rFont val="Arial Narrow"/>
        <family val="2"/>
        <charset val="1"/>
      </rPr>
      <t xml:space="preserve">10</t>
    </r>
  </si>
  <si>
    <t xml:space="preserve">Al-Hurriyaa Village</t>
  </si>
  <si>
    <t xml:space="preserve">قرية الحرية</t>
  </si>
  <si>
    <t xml:space="preserve">Al-Murtadha Village</t>
  </si>
  <si>
    <t xml:space="preserve">قرية المرتضى</t>
  </si>
  <si>
    <t xml:space="preserve">Al-Nabi Younis Camp</t>
  </si>
  <si>
    <t xml:space="preserve">مخيم النبي يونس</t>
  </si>
  <si>
    <t xml:space="preserve">Ammar Ben Yaser</t>
  </si>
  <si>
    <t xml:space="preserve">عمار بن ياسر</t>
  </si>
  <si>
    <t xml:space="preserve">Dawood Salman Village</t>
  </si>
  <si>
    <t xml:space="preserve">قرية داوود سلمان</t>
  </si>
  <si>
    <t xml:space="preserve">Hatef Al Defaay</t>
  </si>
  <si>
    <t xml:space="preserve">قرية هاتف الدفاعي</t>
  </si>
  <si>
    <t xml:space="preserve">Hay Al Arooba</t>
  </si>
  <si>
    <t xml:space="preserve">حي العروبة</t>
  </si>
  <si>
    <t xml:space="preserve">Hay Al Farwk</t>
  </si>
  <si>
    <t xml:space="preserve">Hay Al Huda</t>
  </si>
  <si>
    <t xml:space="preserve">حي الهدى</t>
  </si>
  <si>
    <t xml:space="preserve">Hay al Jamaiya</t>
  </si>
  <si>
    <t xml:space="preserve">حي الجمعية</t>
  </si>
  <si>
    <t xml:space="preserve">Hay Al Mujtaba</t>
  </si>
  <si>
    <t xml:space="preserve">حي المجتبى</t>
  </si>
  <si>
    <t xml:space="preserve">Hay Al Murtha</t>
  </si>
  <si>
    <t xml:space="preserve">Hay Al Mustafa</t>
  </si>
  <si>
    <t xml:space="preserve">Hay al Qadsiya </t>
  </si>
  <si>
    <t xml:space="preserve">Hay Al Sadk</t>
  </si>
  <si>
    <t xml:space="preserve">Hay Al Sadreen</t>
  </si>
  <si>
    <t xml:space="preserve">حي الصدرين</t>
  </si>
  <si>
    <t xml:space="preserve">Hay Al Taaf</t>
  </si>
  <si>
    <t xml:space="preserve">حي الطف</t>
  </si>
  <si>
    <t xml:space="preserve">Hay Al Zahra</t>
  </si>
  <si>
    <t xml:space="preserve">حي الزهراء</t>
  </si>
  <si>
    <t xml:space="preserve">Hay Al-Muntathar</t>
  </si>
  <si>
    <t xml:space="preserve">حي المنتظر</t>
  </si>
  <si>
    <t xml:space="preserve">Hay Ali Al kaaby</t>
  </si>
  <si>
    <t xml:space="preserve">حي علي الكعبي</t>
  </si>
  <si>
    <t xml:space="preserve">Hay Badr</t>
  </si>
  <si>
    <t xml:space="preserve">حي بدر</t>
  </si>
  <si>
    <t xml:space="preserve">Hay Haethm Al Zaidy</t>
  </si>
  <si>
    <t xml:space="preserve">حي هيثم الزيدي</t>
  </si>
  <si>
    <t xml:space="preserve">Jaara</t>
  </si>
  <si>
    <t xml:space="preserve">جعارة</t>
  </si>
  <si>
    <t xml:space="preserve">Juref Al Nadaaf</t>
  </si>
  <si>
    <t xml:space="preserve">جرف النداف</t>
  </si>
  <si>
    <t xml:space="preserve">Um Wahab Village</t>
  </si>
  <si>
    <t xml:space="preserve">قرية أم وهب</t>
  </si>
  <si>
    <t xml:space="preserve">Village 8</t>
  </si>
  <si>
    <r>
      <rPr>
        <sz val="10"/>
        <color rgb="FF000000"/>
        <rFont val="Lohit Devanagari"/>
        <family val="2"/>
      </rPr>
      <t xml:space="preserve">القرية </t>
    </r>
    <r>
      <rPr>
        <sz val="10"/>
        <color rgb="FF000000"/>
        <rFont val="Arial Narrow"/>
        <family val="2"/>
        <charset val="1"/>
      </rPr>
      <t xml:space="preserve">8</t>
    </r>
  </si>
  <si>
    <t xml:space="preserve">Mahmoudiya</t>
  </si>
  <si>
    <t xml:space="preserve">-Check Point 75(Al-Rasheed-Khaimat Al Iraq)Camp-</t>
  </si>
  <si>
    <t xml:space="preserve">خيمة العراق</t>
  </si>
  <si>
    <t xml:space="preserve">14 Tamooz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</si>
  <si>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14 </t>
    </r>
    <r>
      <rPr>
        <sz val="10"/>
        <color rgb="FF000000"/>
        <rFont val="Lohit Devanagari"/>
        <family val="2"/>
      </rPr>
      <t xml:space="preserve">تموز</t>
    </r>
  </si>
  <si>
    <t xml:space="preserve">Abu Hswa</t>
  </si>
  <si>
    <t xml:space="preserve">مقاطعة أبو حصوة</t>
  </si>
  <si>
    <t xml:space="preserve">Ahmed Abbas Al Nabit collective center</t>
  </si>
  <si>
    <t xml:space="preserve">خيم احمد النبت</t>
  </si>
  <si>
    <t xml:space="preserve">Al Adwaniya</t>
  </si>
  <si>
    <t xml:space="preserve">العدوانية</t>
  </si>
  <si>
    <t xml:space="preserve">Al Kushek Al Ameri</t>
  </si>
  <si>
    <t xml:space="preserve">مقاطعة الكشك الأميري</t>
  </si>
  <si>
    <t xml:space="preserve">Al Latefia-Al Qadessia</t>
  </si>
  <si>
    <r>
      <rPr>
        <sz val="10"/>
        <color rgb="FF000000"/>
        <rFont val="Lohit Devanagari"/>
        <family val="2"/>
      </rPr>
      <t xml:space="preserve">اللطيفية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القادسية</t>
    </r>
  </si>
  <si>
    <t xml:space="preserve">Al Latefia-Al Salam</t>
  </si>
  <si>
    <r>
      <rPr>
        <sz val="10"/>
        <color rgb="FF000000"/>
        <rFont val="Lohit Devanagari"/>
        <family val="2"/>
      </rPr>
      <t xml:space="preserve">اللطيفية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السلام</t>
    </r>
  </si>
  <si>
    <t xml:space="preserve">Al Mketmat village</t>
  </si>
  <si>
    <t xml:space="preserve">مقاطعة مكيطيمات</t>
  </si>
  <si>
    <t xml:space="preserve">Al Qaser Al Wsat Area-Hai Al Jameia</t>
  </si>
  <si>
    <r>
      <rPr>
        <sz val="10"/>
        <color rgb="FF000000"/>
        <rFont val="Lohit Devanagari"/>
        <family val="2"/>
      </rPr>
      <t xml:space="preserve">القصر والوسط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الجمعية</t>
    </r>
  </si>
  <si>
    <t xml:space="preserve">Al Radhwania Al Sharkia</t>
  </si>
  <si>
    <t xml:space="preserve">مقاطعة الرضوانية الشرقية</t>
  </si>
  <si>
    <t xml:space="preserve">Al sajad Complex</t>
  </si>
  <si>
    <t xml:space="preserve">مجمع السجاد</t>
  </si>
  <si>
    <t xml:space="preserve">Al Wahda Camp</t>
  </si>
  <si>
    <t xml:space="preserve">مخيم الوحدة</t>
  </si>
  <si>
    <t xml:space="preserve">Al Yusifiya camp</t>
  </si>
  <si>
    <t xml:space="preserve">مخيم اليوسفية</t>
  </si>
  <si>
    <t xml:space="preserve">Al Zahraa Complex</t>
  </si>
  <si>
    <t xml:space="preserve">مجمع الزهراء</t>
  </si>
  <si>
    <t xml:space="preserve">Al-Rasheed-14 Tamoz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</si>
  <si>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-14 </t>
    </r>
    <r>
      <rPr>
        <sz val="10"/>
        <color rgb="FF000000"/>
        <rFont val="Lohit Devanagari"/>
        <family val="2"/>
      </rPr>
      <t xml:space="preserve">تموز</t>
    </r>
  </si>
  <si>
    <t xml:space="preserve">Al-Zanbrania</t>
  </si>
  <si>
    <t xml:space="preserve">الزنبرانية</t>
  </si>
  <si>
    <t xml:space="preserve">Bezbez brighde collective center</t>
  </si>
  <si>
    <t xml:space="preserve">خيم جسر بزيبز</t>
  </si>
  <si>
    <t xml:space="preserve">Biyar Al-Hamam</t>
  </si>
  <si>
    <t xml:space="preserve">مقاطعة بئر الحمام</t>
  </si>
  <si>
    <t xml:space="preserve">Dereia w Um Mahar</t>
  </si>
  <si>
    <t xml:space="preserve">مقاطعة ديرية وأم محار</t>
  </si>
  <si>
    <t xml:space="preserve">Hay Abu Shamaa</t>
  </si>
  <si>
    <t xml:space="preserve">حي ابو شمع</t>
  </si>
  <si>
    <t xml:space="preserve">Hay Al Alkhmysaat </t>
  </si>
  <si>
    <r>
      <rPr>
        <sz val="10"/>
        <color rgb="FF000000"/>
        <rFont val="Lohit Devanagari"/>
        <family val="2"/>
      </rPr>
      <t xml:space="preserve">الرشيد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الخميسات</t>
    </r>
  </si>
  <si>
    <t xml:space="preserve">Hay Al Mazraa</t>
  </si>
  <si>
    <t xml:space="preserve">حي المزرعة </t>
  </si>
  <si>
    <t xml:space="preserve">Hay Al Modhafeen-210</t>
  </si>
  <si>
    <r>
      <rPr>
        <sz val="10"/>
        <color rgb="FF000000"/>
        <rFont val="Lohit Devanagari"/>
        <family val="2"/>
      </rPr>
      <t xml:space="preserve">حي الموظفين</t>
    </r>
    <r>
      <rPr>
        <sz val="10"/>
        <color rgb="FF000000"/>
        <rFont val="Arial Narrow"/>
        <family val="2"/>
        <charset val="1"/>
      </rPr>
      <t xml:space="preserve">-210</t>
    </r>
  </si>
  <si>
    <t xml:space="preserve">Hay Al Rabee</t>
  </si>
  <si>
    <t xml:space="preserve">حي الربيع</t>
  </si>
  <si>
    <t xml:space="preserve">Hay Al Rasul</t>
  </si>
  <si>
    <t xml:space="preserve">Hay Al Sekalat</t>
  </si>
  <si>
    <t xml:space="preserve">حي السكلات</t>
  </si>
  <si>
    <t xml:space="preserve">Hay Al Shuhada(Al kragolyia)</t>
  </si>
  <si>
    <r>
      <rPr>
        <sz val="10"/>
        <color rgb="FF000000"/>
        <rFont val="Lohit Devanagari"/>
        <family val="2"/>
      </rPr>
      <t xml:space="preserve">حي الشهداء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الكرغولية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</si>
  <si>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Hay Al Sukur</t>
  </si>
  <si>
    <t xml:space="preserve">حي الصقور</t>
  </si>
  <si>
    <t xml:space="preserve">Hay Al Zuhoor</t>
  </si>
  <si>
    <t xml:space="preserve">Hay Al-Askary</t>
  </si>
  <si>
    <t xml:space="preserve">Hay Al-Rubaiy-204</t>
  </si>
  <si>
    <r>
      <rPr>
        <sz val="10"/>
        <color rgb="FF000000"/>
        <rFont val="Lohit Devanagari"/>
        <family val="2"/>
      </rPr>
      <t xml:space="preserve">حي الربيعي</t>
    </r>
    <r>
      <rPr>
        <sz val="10"/>
        <color rgb="FF000000"/>
        <rFont val="Arial Narrow"/>
        <family val="2"/>
        <charset val="1"/>
      </rPr>
      <t xml:space="preserve">-204</t>
    </r>
  </si>
  <si>
    <t xml:space="preserve">Hay Al-Sajjad</t>
  </si>
  <si>
    <t xml:space="preserve">Hay Al-Zaahraa</t>
  </si>
  <si>
    <t xml:space="preserve">Hay Al-Zayton</t>
  </si>
  <si>
    <t xml:space="preserve">حي الزيتون</t>
  </si>
  <si>
    <t xml:space="preserve">Hay Bader</t>
  </si>
  <si>
    <t xml:space="preserve">killo-31</t>
  </si>
  <si>
    <r>
      <rPr>
        <sz val="10"/>
        <color rgb="FF000000"/>
        <rFont val="Lohit Devanagari"/>
        <family val="2"/>
      </rPr>
      <t xml:space="preserve">كيلو</t>
    </r>
    <r>
      <rPr>
        <sz val="10"/>
        <color rgb="FF000000"/>
        <rFont val="Arial Narrow"/>
        <family val="2"/>
        <charset val="1"/>
      </rPr>
      <t xml:space="preserve">-31</t>
    </r>
  </si>
  <si>
    <t xml:space="preserve">Kilo 25</t>
  </si>
  <si>
    <r>
      <rPr>
        <sz val="10"/>
        <color rgb="FF000000"/>
        <rFont val="Lohit Devanagari"/>
        <family val="2"/>
      </rPr>
      <t xml:space="preserve">كيلو </t>
    </r>
    <r>
      <rPr>
        <sz val="10"/>
        <color rgb="FF000000"/>
        <rFont val="Arial Narrow"/>
        <family val="2"/>
        <charset val="1"/>
      </rPr>
      <t xml:space="preserve">25</t>
    </r>
  </si>
  <si>
    <t xml:space="preserve">Kuwaresh</t>
  </si>
  <si>
    <t xml:space="preserve">كويريش</t>
  </si>
  <si>
    <t xml:space="preserve">Latifiya 3 Camp</t>
  </si>
  <si>
    <t xml:space="preserve">مخيم اللطيفية</t>
  </si>
  <si>
    <t xml:space="preserve">Mustafa complex</t>
  </si>
  <si>
    <t xml:space="preserve">مجمع المصطفى</t>
  </si>
  <si>
    <t xml:space="preserve">Sader Al Yousfiya</t>
  </si>
  <si>
    <t xml:space="preserve">صدر اليوسفية</t>
  </si>
  <si>
    <t xml:space="preserve">Tell Al Sumer village</t>
  </si>
  <si>
    <t xml:space="preserve">قرية تل السمر</t>
  </si>
  <si>
    <t xml:space="preserve">Zoya Al Akrad</t>
  </si>
  <si>
    <t xml:space="preserve">زوية الأكراد</t>
  </si>
  <si>
    <t xml:space="preserve">Tarmia</t>
  </si>
  <si>
    <t xml:space="preserve">Abu Sreweel Village</t>
  </si>
  <si>
    <t xml:space="preserve">قرية أبو سريويل</t>
  </si>
  <si>
    <t xml:space="preserve">Al Farook Quarter-1</t>
  </si>
  <si>
    <r>
      <rPr>
        <sz val="10"/>
        <color rgb="FF000000"/>
        <rFont val="Lohit Devanagari"/>
        <family val="2"/>
      </rPr>
      <t xml:space="preserve">حي الفاروق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</si>
  <si>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Al Farook Quarter-2</t>
  </si>
  <si>
    <r>
      <rPr>
        <sz val="10"/>
        <color rgb="FF000000"/>
        <rFont val="Lohit Devanagari"/>
        <family val="2"/>
      </rPr>
      <t xml:space="preserve">حي الفاروق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</si>
  <si>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Al Khadraa village</t>
  </si>
  <si>
    <t xml:space="preserve">قرية الخضراء</t>
  </si>
  <si>
    <t xml:space="preserve">Al Rawad</t>
  </si>
  <si>
    <t xml:space="preserve">الرواد</t>
  </si>
  <si>
    <t xml:space="preserve">Al Tarmiya Center</t>
  </si>
  <si>
    <t xml:space="preserve">مركز الطارمية</t>
  </si>
  <si>
    <t xml:space="preserve">Al-Abayechi-1</t>
  </si>
  <si>
    <r>
      <rPr>
        <sz val="10"/>
        <color rgb="FF000000"/>
        <rFont val="Lohit Devanagari"/>
        <family val="2"/>
      </rPr>
      <t xml:space="preserve">العبايجي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</si>
  <si>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Al-Abayechi-10</t>
  </si>
  <si>
    <r>
      <rPr>
        <sz val="10"/>
        <color rgb="FF000000"/>
        <rFont val="Lohit Devanagari"/>
        <family val="2"/>
      </rPr>
      <t xml:space="preserve">العبايجي</t>
    </r>
    <r>
      <rPr>
        <sz val="10"/>
        <color rgb="FF000000"/>
        <rFont val="Arial Narrow"/>
        <family val="2"/>
        <charset val="1"/>
      </rPr>
      <t xml:space="preserve">-10</t>
    </r>
  </si>
  <si>
    <t xml:space="preserve">Hai Al Hukem Al Mahali</t>
  </si>
  <si>
    <t xml:space="preserve">حي الحكم المحلي</t>
  </si>
  <si>
    <t xml:space="preserve">Hai Al Qadessia-1</t>
  </si>
  <si>
    <r>
      <rPr>
        <sz val="10"/>
        <color rgb="FF000000"/>
        <rFont val="Lohit Devanagari"/>
        <family val="2"/>
      </rPr>
      <t xml:space="preserve">حي القادسية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</si>
  <si>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Hai Al Qadessia-2</t>
  </si>
  <si>
    <r>
      <rPr>
        <sz val="10"/>
        <color rgb="FF000000"/>
        <rFont val="Lohit Devanagari"/>
        <family val="2"/>
      </rPr>
      <t xml:space="preserve">حي القادسية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</si>
  <si>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Hai Al Resala</t>
  </si>
  <si>
    <t xml:space="preserve">حي الرسالة</t>
  </si>
  <si>
    <t xml:space="preserve">Hai Al Sedeq</t>
  </si>
  <si>
    <t xml:space="preserve">Hai Al Turba</t>
  </si>
  <si>
    <t xml:space="preserve">حي التربة</t>
  </si>
  <si>
    <t xml:space="preserve">Hai Al Wehda</t>
  </si>
  <si>
    <t xml:space="preserve">حي الوحدة</t>
  </si>
  <si>
    <t xml:space="preserve">Hamadi Al Khalil Village</t>
  </si>
  <si>
    <t xml:space="preserve">قرية حمادي الخليل</t>
  </si>
  <si>
    <t xml:space="preserve">Nadeem-1 Village</t>
  </si>
  <si>
    <r>
      <rPr>
        <sz val="10"/>
        <color rgb="FF000000"/>
        <rFont val="Lohit Devanagari"/>
        <family val="2"/>
      </rPr>
      <t xml:space="preserve">قرية نديم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</si>
  <si>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Nadeem-2 Village</t>
  </si>
  <si>
    <r>
      <rPr>
        <sz val="10"/>
        <color rgb="FF000000"/>
        <rFont val="Lohit Devanagari"/>
        <family val="2"/>
      </rPr>
      <t xml:space="preserve">قرية نديم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</si>
  <si>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Thawra1</t>
  </si>
  <si>
    <t xml:space="preserve">Al Sadir-527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</si>
  <si>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-527</t>
    </r>
  </si>
  <si>
    <t xml:space="preserve">Al Sadir-567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</si>
  <si>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-567</t>
    </r>
  </si>
  <si>
    <t xml:space="preserve">Thawra2</t>
  </si>
  <si>
    <t xml:space="preserve">Al Sadir 2-511</t>
  </si>
  <si>
    <r>
      <rPr>
        <sz val="10"/>
        <color rgb="FF000000"/>
        <rFont val="Lohit Devanagari"/>
        <family val="2"/>
      </rPr>
      <t xml:space="preserve">الصدر </t>
    </r>
    <r>
      <rPr>
        <sz val="10"/>
        <color rgb="FF000000"/>
        <rFont val="Arial Narrow"/>
        <family val="2"/>
        <charset val="1"/>
      </rPr>
      <t xml:space="preserve">2-511</t>
    </r>
  </si>
  <si>
    <t xml:space="preserve">Al Sadir 2-512</t>
  </si>
  <si>
    <r>
      <rPr>
        <sz val="10"/>
        <color rgb="FF000000"/>
        <rFont val="Lohit Devanagari"/>
        <family val="2"/>
      </rPr>
      <t xml:space="preserve">الصدر </t>
    </r>
    <r>
      <rPr>
        <sz val="10"/>
        <color rgb="FF000000"/>
        <rFont val="Arial Narrow"/>
        <family val="2"/>
        <charset val="1"/>
      </rPr>
      <t xml:space="preserve">2-512</t>
    </r>
  </si>
  <si>
    <t xml:space="preserve">Al Sadir 2-513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</si>
  <si>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-513</t>
    </r>
  </si>
  <si>
    <t xml:space="preserve">Al Sadir 2-515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</si>
  <si>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-515</t>
    </r>
  </si>
  <si>
    <t xml:space="preserve">Al Sadir 2-516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</si>
  <si>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-516</t>
    </r>
  </si>
  <si>
    <t xml:space="preserve">Al Sadir 2-517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</si>
  <si>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-517</t>
    </r>
  </si>
  <si>
    <t xml:space="preserve">Al Sadir 2-518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</si>
  <si>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-518</t>
    </r>
  </si>
  <si>
    <t xml:space="preserve">Al Sadir 2-541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</si>
  <si>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-541</t>
    </r>
  </si>
  <si>
    <t xml:space="preserve">Al Sadir 2-570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</si>
  <si>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-570</t>
    </r>
  </si>
  <si>
    <t xml:space="preserve">Al Sadir 3-555</t>
  </si>
  <si>
    <r>
      <rPr>
        <sz val="10"/>
        <color rgb="FF000000"/>
        <rFont val="Lohit Devanagari"/>
        <family val="2"/>
      </rPr>
      <t xml:space="preserve">الصدر </t>
    </r>
    <r>
      <rPr>
        <sz val="10"/>
        <color rgb="FF000000"/>
        <rFont val="Arial Narrow"/>
        <family val="2"/>
        <charset val="1"/>
      </rPr>
      <t xml:space="preserve">3-555</t>
    </r>
  </si>
  <si>
    <t xml:space="preserve">Al Sadir 5-528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</si>
  <si>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-528</t>
    </r>
  </si>
  <si>
    <t xml:space="preserve">Al Sadir 8-550</t>
  </si>
  <si>
    <r>
      <rPr>
        <sz val="10"/>
        <color rgb="FF000000"/>
        <rFont val="Lohit Devanagari"/>
        <family val="2"/>
      </rPr>
      <t xml:space="preserve">الصدر </t>
    </r>
    <r>
      <rPr>
        <sz val="10"/>
        <color rgb="FF000000"/>
        <rFont val="Arial Narrow"/>
        <family val="2"/>
        <charset val="1"/>
      </rPr>
      <t xml:space="preserve">8-550</t>
    </r>
  </si>
  <si>
    <t xml:space="preserve">Al Sadir3-535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</si>
  <si>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-535</t>
    </r>
  </si>
  <si>
    <t xml:space="preserve">Al Sadir3-537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</si>
  <si>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-537</t>
    </r>
  </si>
  <si>
    <t xml:space="preserve">Al Sadir4-547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</si>
  <si>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-547</t>
    </r>
  </si>
  <si>
    <t xml:space="preserve">Al Sadir5-520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</si>
  <si>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-520</t>
    </r>
  </si>
  <si>
    <t xml:space="preserve">Al Sadir5-522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</si>
  <si>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-522</t>
    </r>
  </si>
  <si>
    <t xml:space="preserve">Al Sadir5-530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</si>
  <si>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-530</t>
    </r>
  </si>
  <si>
    <t xml:space="preserve">Al Sadir5-532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</si>
  <si>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-532</t>
    </r>
  </si>
  <si>
    <t xml:space="preserve">Al Sadir6-573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</si>
  <si>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-573</t>
    </r>
  </si>
  <si>
    <t xml:space="preserve">Al Sadir6-575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</si>
  <si>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-575</t>
    </r>
  </si>
  <si>
    <t xml:space="preserve">Al Sadir7-538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</si>
  <si>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-538</t>
    </r>
  </si>
  <si>
    <t xml:space="preserve">Al Sadir7-542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</si>
  <si>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-542</t>
    </r>
  </si>
  <si>
    <t xml:space="preserve">Al Sadir7-544</t>
  </si>
  <si>
    <r>
      <rPr>
        <sz val="10"/>
        <color rgb="FF000000"/>
        <rFont val="Lohit Devanagari"/>
        <family val="2"/>
      </rPr>
      <t xml:space="preserve">الصدر</t>
    </r>
    <r>
      <rPr>
        <sz val="10"/>
        <color rgb="FF000000"/>
        <rFont val="Arial Narrow"/>
        <family val="2"/>
        <charset val="1"/>
      </rPr>
      <t xml:space="preserve">-544</t>
    </r>
  </si>
  <si>
    <t xml:space="preserve">Abu Al-Khaseeb</t>
  </si>
  <si>
    <t xml:space="preserve">Abo Jawzy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</si>
  <si>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الجوزي</t>
    </r>
  </si>
  <si>
    <t xml:space="preserve">Abu flos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</si>
  <si>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فلوس</t>
    </r>
  </si>
  <si>
    <t xml:space="preserve">Abu Kusra</t>
  </si>
  <si>
    <t xml:space="preserve">ابو كوصره</t>
  </si>
  <si>
    <t xml:space="preserve">Abu magheera</t>
  </si>
  <si>
    <t xml:space="preserve">ابو مغيره</t>
  </si>
  <si>
    <t xml:space="preserve">Al Ibraheem</t>
  </si>
  <si>
    <t xml:space="preserve">ال ابراهيم</t>
  </si>
  <si>
    <t xml:space="preserve">Al-Abdaliyan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</si>
  <si>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العبدليان</t>
    </r>
  </si>
  <si>
    <t xml:space="preserve">Al-Awjah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</si>
  <si>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العوجه</t>
    </r>
  </si>
  <si>
    <t xml:space="preserve">Al-bahadria</t>
  </si>
  <si>
    <t xml:space="preserve">البهادرية </t>
  </si>
  <si>
    <t xml:space="preserve">Al-Dhaheeria</t>
  </si>
  <si>
    <t xml:space="preserve">ظاهرية</t>
  </si>
  <si>
    <t xml:space="preserve">Al-jadida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</si>
  <si>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الجُديدا</t>
    </r>
  </si>
  <si>
    <t xml:space="preserve">Al-Nizelah</t>
  </si>
  <si>
    <t xml:space="preserve">النزيلة </t>
  </si>
  <si>
    <t xml:space="preserve">Al-romia</t>
  </si>
  <si>
    <t xml:space="preserve">الرومية</t>
  </si>
  <si>
    <t xml:space="preserve">Al-Sankar</t>
  </si>
  <si>
    <t xml:space="preserve">الصنكر</t>
  </si>
  <si>
    <t xml:space="preserve">Al-Sibiliat</t>
  </si>
  <si>
    <t xml:space="preserve">السيبيليات</t>
  </si>
  <si>
    <t xml:space="preserve">Awaisian</t>
  </si>
  <si>
    <t xml:space="preserve">عويسيان</t>
  </si>
  <si>
    <t xml:space="preserve">Bab al-dabagh</t>
  </si>
  <si>
    <t xml:space="preserve">باب دباغ</t>
  </si>
  <si>
    <t xml:space="preserve">Bab midan</t>
  </si>
  <si>
    <t xml:space="preserve">باب ميدان </t>
  </si>
  <si>
    <t xml:space="preserve">Bab sulaiman</t>
  </si>
  <si>
    <t xml:space="preserve">باب سليمان</t>
  </si>
  <si>
    <t xml:space="preserve">Bab taweel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</si>
  <si>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باب طويل</t>
    </r>
  </si>
  <si>
    <t xml:space="preserve">Balad Sultan</t>
  </si>
  <si>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بلد سلطان</t>
    </r>
  </si>
  <si>
    <t xml:space="preserve">Door Alasmeadh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</si>
  <si>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الاسمدة</t>
    </r>
  </si>
  <si>
    <t xml:space="preserve">Hamdan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</si>
  <si>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حمدن</t>
    </r>
  </si>
  <si>
    <t xml:space="preserve">Hay Al Askarye</t>
  </si>
  <si>
    <t xml:space="preserve">الحي العسكري </t>
  </si>
  <si>
    <t xml:space="preserve">Kut Al Solhy</t>
  </si>
  <si>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كوت الصلحي</t>
    </r>
  </si>
  <si>
    <t xml:space="preserve">Kut thewainy</t>
  </si>
  <si>
    <t xml:space="preserve">كوت ثويني</t>
  </si>
  <si>
    <t xml:space="preserve">Mehila</t>
  </si>
  <si>
    <t xml:space="preserve">محيلة</t>
  </si>
  <si>
    <t xml:space="preserve">Mhjeran</t>
  </si>
  <si>
    <t xml:space="preserve">مهيجران</t>
  </si>
  <si>
    <t xml:space="preserve">Muhoelat al zuhair</t>
  </si>
  <si>
    <t xml:space="preserve">محولة الزهير </t>
  </si>
  <si>
    <t xml:space="preserve">Nahir khuz</t>
  </si>
  <si>
    <t xml:space="preserve">نهر خوز</t>
  </si>
  <si>
    <t xml:space="preserve">Shaikh Ibraheem</t>
  </si>
  <si>
    <t xml:space="preserve">شيخ ابراهيم</t>
  </si>
  <si>
    <t xml:space="preserve">Yousifan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</si>
  <si>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الخصيب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يوسفان</t>
    </r>
  </si>
  <si>
    <t xml:space="preserve">Al-Midaina</t>
  </si>
  <si>
    <t xml:space="preserve">Abo Shaoui</t>
  </si>
  <si>
    <t xml:space="preserve">ابو شاوي</t>
  </si>
  <si>
    <t xml:space="preserve">Abuv Ghazlan</t>
  </si>
  <si>
    <t xml:space="preserve">ابو غزلان</t>
  </si>
  <si>
    <t xml:space="preserve">Al Khas</t>
  </si>
  <si>
    <t xml:space="preserve">الخاص</t>
  </si>
  <si>
    <t xml:space="preserve">Al-a_wijah</t>
  </si>
  <si>
    <t xml:space="preserve">العويجة</t>
  </si>
  <si>
    <t xml:space="preserve">Al-rahmaniyah</t>
  </si>
  <si>
    <t xml:space="preserve">الرحمانية </t>
  </si>
  <si>
    <t xml:space="preserve">Al-Sooq</t>
  </si>
  <si>
    <t xml:space="preserve">السوق </t>
  </si>
  <si>
    <t xml:space="preserve">Alwan</t>
  </si>
  <si>
    <r>
      <rPr>
        <sz val="10"/>
        <color rgb="FF000000"/>
        <rFont val="Lohit Devanagari"/>
        <family val="2"/>
      </rPr>
      <t xml:space="preserve">مدينة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العلوان</t>
    </r>
  </si>
  <si>
    <t xml:space="preserve">Badran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</si>
  <si>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المدينة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البدران</t>
    </r>
  </si>
  <si>
    <t xml:space="preserve">Shalhat Al-Egaab</t>
  </si>
  <si>
    <t xml:space="preserve">شلهة عكاب</t>
  </si>
  <si>
    <t xml:space="preserve">Shalhat al-hajaj</t>
  </si>
  <si>
    <t xml:space="preserve">شلهة الحجاج</t>
  </si>
  <si>
    <t xml:space="preserve">Shuwayj</t>
  </si>
  <si>
    <t xml:space="preserve">ام الشويج</t>
  </si>
  <si>
    <t xml:space="preserve">Al-Qurna</t>
  </si>
  <si>
    <t xml:space="preserve">Al Dair-Al Zahra</t>
  </si>
  <si>
    <r>
      <rPr>
        <sz val="10"/>
        <color rgb="FF000000"/>
        <rFont val="Lohit Devanagari"/>
        <family val="2"/>
      </rPr>
      <t xml:space="preserve">الدير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</si>
  <si>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Al Dair-Al-sharamkha</t>
  </si>
  <si>
    <r>
      <rPr>
        <sz val="10"/>
        <color rgb="FF000000"/>
        <rFont val="Lohit Devanagari"/>
        <family val="2"/>
      </rPr>
      <t xml:space="preserve">الدير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الشرامخة</t>
    </r>
  </si>
  <si>
    <t xml:space="preserve">Al Dair-Hay Al-Amil</t>
  </si>
  <si>
    <r>
      <rPr>
        <sz val="10"/>
        <color rgb="FF000000"/>
        <rFont val="Lohit Devanagari"/>
        <family val="2"/>
      </rPr>
      <t xml:space="preserve">الدير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العامل</t>
    </r>
  </si>
  <si>
    <t xml:space="preserve">Al Jelaa</t>
  </si>
  <si>
    <r>
      <rPr>
        <sz val="10"/>
        <color rgb="FF000000"/>
        <rFont val="Lohit Devanagari"/>
        <family val="2"/>
      </rPr>
      <t xml:space="preserve">البصره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القرنه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الجلعه</t>
    </r>
  </si>
  <si>
    <t xml:space="preserve">Al Sharsh Al Hamdawy</t>
  </si>
  <si>
    <r>
      <rPr>
        <sz val="10"/>
        <color rgb="FF000000"/>
        <rFont val="Lohit Devanagari"/>
        <family val="2"/>
      </rPr>
      <t xml:space="preserve">القرنة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الشرش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الحمداوي</t>
    </r>
  </si>
  <si>
    <t xml:space="preserve">Al Sharsh Shalhat Al-Hassan</t>
  </si>
  <si>
    <r>
      <rPr>
        <sz val="10"/>
        <color rgb="FF000000"/>
        <rFont val="Lohit Devanagari"/>
        <family val="2"/>
      </rPr>
      <t xml:space="preserve">الشرش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شلهة الحسن</t>
    </r>
  </si>
  <si>
    <t xml:space="preserve">Al Thagar-Al-Nekhelat</t>
  </si>
  <si>
    <r>
      <rPr>
        <sz val="10"/>
        <color rgb="FF000000"/>
        <rFont val="Lohit Devanagari"/>
        <family val="2"/>
      </rPr>
      <t xml:space="preserve">الثغر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النخيلات</t>
    </r>
  </si>
  <si>
    <t xml:space="preserve">Al-Dair Al Imam Al Abas</t>
  </si>
  <si>
    <r>
      <rPr>
        <sz val="10"/>
        <color rgb="FF000000"/>
        <rFont val="Lohit Devanagari"/>
        <family val="2"/>
      </rPr>
      <t xml:space="preserve">الدير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الامام العباس</t>
    </r>
  </si>
  <si>
    <t xml:space="preserve">Al-mezearah</t>
  </si>
  <si>
    <r>
      <rPr>
        <sz val="10"/>
        <color rgb="FF000000"/>
        <rFont val="Lohit Devanagari"/>
        <family val="2"/>
      </rPr>
      <t xml:space="preserve">القرنة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المزيرعة </t>
    </r>
  </si>
  <si>
    <t xml:space="preserve">Al-nehairat</t>
  </si>
  <si>
    <t xml:space="preserve">النهيرات</t>
  </si>
  <si>
    <t xml:space="preserve">Al-nesaer</t>
  </si>
  <si>
    <t xml:space="preserve">النصير</t>
  </si>
  <si>
    <t xml:space="preserve">Al-shannanh</t>
  </si>
  <si>
    <t xml:space="preserve">الشنانه</t>
  </si>
  <si>
    <t xml:space="preserve">Al-Souq</t>
  </si>
  <si>
    <t xml:space="preserve">السوق</t>
  </si>
  <si>
    <t xml:space="preserve">Dair-AlJarah</t>
  </si>
  <si>
    <r>
      <rPr>
        <sz val="10"/>
        <color rgb="FF000000"/>
        <rFont val="Lohit Devanagari"/>
        <family val="2"/>
      </rPr>
      <t xml:space="preserve">الدير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الجراح</t>
    </r>
  </si>
  <si>
    <t xml:space="preserve">Hay Al Hakeem</t>
  </si>
  <si>
    <t xml:space="preserve">حي الحكيم </t>
  </si>
  <si>
    <t xml:space="preserve">Hay al-juma_a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</si>
  <si>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القرنة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جمعة</t>
    </r>
  </si>
  <si>
    <t xml:space="preserve">Shifia</t>
  </si>
  <si>
    <t xml:space="preserve">شيفيا</t>
  </si>
  <si>
    <t xml:space="preserve">Al-Zubair</t>
  </si>
  <si>
    <t xml:space="preserve">Al Dawajin</t>
  </si>
  <si>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الدواجن</t>
    </r>
  </si>
  <si>
    <t xml:space="preserve">Al Dirhamiyah 1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</si>
  <si>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الدرهمية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</si>
  <si>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Mushroaa</t>
  </si>
  <si>
    <t xml:space="preserve">المشروع</t>
  </si>
  <si>
    <t xml:space="preserve">Al Petro</t>
  </si>
  <si>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البيترو</t>
    </r>
  </si>
  <si>
    <t xml:space="preserve">Al Rumilah Al Shamaliyah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</si>
  <si>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الرميلة الشمالية</t>
    </r>
  </si>
  <si>
    <t xml:space="preserve">Al-Dur Al-Jahiza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</si>
  <si>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الجاهزة</t>
    </r>
  </si>
  <si>
    <t xml:space="preserve">Al-jamhoriyah al-olah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</si>
  <si>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الجمهورية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</si>
  <si>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Al-jamhoriyah al-thaniyah</t>
  </si>
  <si>
    <r>
      <rPr>
        <sz val="10"/>
        <color rgb="FF000000"/>
        <rFont val="Lohit Devanagari"/>
        <family val="2"/>
      </rPr>
      <t xml:space="preserve">الجمهورية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</si>
  <si>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Al-Kut</t>
  </si>
  <si>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الكوت</t>
    </r>
  </si>
  <si>
    <t xml:space="preserve">Al-marbed al-kadeem</t>
  </si>
  <si>
    <t xml:space="preserve">المربد القديم </t>
  </si>
  <si>
    <t xml:space="preserve">Al-rasheidiyah al-thaniyah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</si>
  <si>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الرشيدية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</si>
  <si>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Al-Rasheidiyah Alolh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</si>
  <si>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الرشيدية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</si>
  <si>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Al-Shemal Area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</si>
  <si>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محلة الشمال</t>
    </r>
  </si>
  <si>
    <t xml:space="preserve">Al-Shuaiba Door Al Masfa</t>
  </si>
  <si>
    <t xml:space="preserve">الشعيبة دور المصفى </t>
  </si>
  <si>
    <t xml:space="preserve">Al-Shuaiba Hay Al-Murtadh</t>
  </si>
  <si>
    <t xml:space="preserve">الشعيبة حي المرتضى</t>
  </si>
  <si>
    <t xml:space="preserve">Al-Zubair Hay AlAthar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</si>
  <si>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الاثار</t>
    </r>
  </si>
  <si>
    <t xml:space="preserve">Door Al Dubbat</t>
  </si>
  <si>
    <t xml:space="preserve">دور الضباط</t>
  </si>
  <si>
    <t xml:space="preserve">Door al hindiyah ash shemaliyah</t>
  </si>
  <si>
    <t xml:space="preserve">دور الهندية الشمالية </t>
  </si>
  <si>
    <t xml:space="preserve">Door al-farook</t>
  </si>
  <si>
    <t xml:space="preserve">حي الفاروق </t>
  </si>
  <si>
    <t xml:space="preserve">الزبير حي العسكري</t>
  </si>
  <si>
    <t xml:space="preserve">Hay Al Dirhamiyah 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</si>
  <si>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الدرهمية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</si>
  <si>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Al Fedaa</t>
  </si>
  <si>
    <t xml:space="preserve">حي الفداء 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</si>
  <si>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</t>
    </r>
  </si>
  <si>
    <t xml:space="preserve">Hay Al Qaed Al muntadar</t>
  </si>
  <si>
    <t xml:space="preserve">حي القائد المنتظر</t>
  </si>
  <si>
    <t xml:space="preserve">Hay Al Sajad</t>
  </si>
  <si>
    <t xml:space="preserve">Hay al-baladiyat</t>
  </si>
  <si>
    <t xml:space="preserve">حي البلديات</t>
  </si>
  <si>
    <t xml:space="preserve">Hay al-mualmein</t>
  </si>
  <si>
    <t xml:space="preserve">Hay Alansar 1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</si>
  <si>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الانصار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</si>
  <si>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Alansar 2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</si>
  <si>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الانصار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</si>
  <si>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Alansar 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</si>
  <si>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الانصار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</si>
  <si>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door al-senaah</t>
  </si>
  <si>
    <t xml:space="preserve">دور الصناعة </t>
  </si>
  <si>
    <t xml:space="preserve">Hey Al khatoa</t>
  </si>
  <si>
    <t xml:space="preserve">حي الخطوة</t>
  </si>
  <si>
    <t xml:space="preserve">khor Al Zubair-Hay Al Baqer Al Thaniyah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</si>
  <si>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الباقر الثانية</t>
    </r>
  </si>
  <si>
    <t xml:space="preserve">khor Al Zubair-Hay Al Baqer Al Ula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</si>
  <si>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الباقر الاولى</t>
    </r>
  </si>
  <si>
    <t xml:space="preserve">khor Al Zubair-Hay AL Hasan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</si>
  <si>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الحسن</t>
    </r>
  </si>
  <si>
    <t xml:space="preserve">Khor Al Zubir-Al Shuqaq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</si>
  <si>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الشقق</t>
    </r>
  </si>
  <si>
    <t xml:space="preserve">Khor Al zubir-Hay Al Zahra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</si>
  <si>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</si>
  <si>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Khor Al zubir-Hay Al-Ansar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</si>
  <si>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الانصار</t>
    </r>
  </si>
  <si>
    <t xml:space="preserve">Khor Al zubir-Hay Al-Hakeem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</si>
  <si>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الحكيم</t>
    </r>
  </si>
  <si>
    <t xml:space="preserve">Khor Al zubir-Hay Al-Rasoul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</si>
  <si>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الرسول</t>
    </r>
  </si>
  <si>
    <t xml:space="preserve">Khor Al zubir-Hay Al-Salam</t>
  </si>
  <si>
    <r>
      <rPr>
        <sz val="10"/>
        <color rgb="FF000000"/>
        <rFont val="Lohit Devanagari"/>
        <family val="2"/>
      </rPr>
      <t xml:space="preserve">خور 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السلام</t>
    </r>
  </si>
  <si>
    <t xml:space="preserve">Mahalat Al-Arab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</si>
  <si>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الزبير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محلة العرب</t>
    </r>
  </si>
  <si>
    <t xml:space="preserve">Safwan-Hay Al Risala</t>
  </si>
  <si>
    <r>
      <rPr>
        <sz val="10"/>
        <color rgb="FF000000"/>
        <rFont val="Lohit Devanagari"/>
        <family val="2"/>
      </rPr>
      <t xml:space="preserve">سفوان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الرساله</t>
    </r>
  </si>
  <si>
    <t xml:space="preserve">Safwan-Hay Al Tahreer</t>
  </si>
  <si>
    <r>
      <rPr>
        <sz val="10"/>
        <color rgb="FF000000"/>
        <rFont val="Lohit Devanagari"/>
        <family val="2"/>
      </rPr>
      <t xml:space="preserve">سفوان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التحرير</t>
    </r>
  </si>
  <si>
    <t xml:space="preserve">Umm Qasr-Al-hindiyah Al-Janobia</t>
  </si>
  <si>
    <r>
      <rPr>
        <sz val="10"/>
        <color rgb="FF000000"/>
        <rFont val="Lohit Devanagari"/>
        <family val="2"/>
      </rPr>
      <t xml:space="preserve">ام قصير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الهندية الجنوبية</t>
    </r>
  </si>
  <si>
    <t xml:space="preserve">Umm Qasr-Door Al-Moaneaa 1-Street 10</t>
  </si>
  <si>
    <r>
      <rPr>
        <sz val="10"/>
        <color rgb="FF000000"/>
        <rFont val="Lohit Devanagari"/>
        <family val="2"/>
      </rPr>
      <t xml:space="preserve">دور الموانئ </t>
    </r>
    <r>
      <rPr>
        <sz val="10"/>
        <color rgb="FF000000"/>
        <rFont val="Arial Narrow"/>
        <family val="2"/>
        <charset val="1"/>
      </rPr>
      <t xml:space="preserve">1-</t>
    </r>
    <r>
      <rPr>
        <sz val="10"/>
        <color rgb="FF000000"/>
        <rFont val="Lohit Devanagari"/>
        <family val="2"/>
      </rPr>
      <t xml:space="preserve">أم قصير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10</t>
    </r>
  </si>
  <si>
    <t xml:space="preserve">Umm Qasr-Door Al-Moaneaa 1-Street 11</t>
  </si>
  <si>
    <r>
      <rPr>
        <sz val="10"/>
        <color rgb="FF000000"/>
        <rFont val="Lohit Devanagari"/>
        <family val="2"/>
      </rPr>
      <t xml:space="preserve">دور الموانئ </t>
    </r>
    <r>
      <rPr>
        <sz val="10"/>
        <color rgb="FF000000"/>
        <rFont val="Arial Narrow"/>
        <family val="2"/>
        <charset val="1"/>
      </rPr>
      <t xml:space="preserve">1-</t>
    </r>
    <r>
      <rPr>
        <sz val="10"/>
        <color rgb="FF000000"/>
        <rFont val="Lohit Devanagari"/>
        <family val="2"/>
      </rPr>
      <t xml:space="preserve">أم قصير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11</t>
    </r>
  </si>
  <si>
    <t xml:space="preserve">Umm Qasr-Door Al-Moaneaa 1-Street 4</t>
  </si>
  <si>
    <r>
      <rPr>
        <sz val="10"/>
        <color rgb="FF000000"/>
        <rFont val="Lohit Devanagari"/>
        <family val="2"/>
      </rPr>
      <t xml:space="preserve">ام قصير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الموانئ </t>
    </r>
    <r>
      <rPr>
        <sz val="10"/>
        <color rgb="FF000000"/>
        <rFont val="Arial Narrow"/>
        <family val="2"/>
        <charset val="1"/>
      </rPr>
      <t xml:space="preserve">1-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</si>
  <si>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Umm Qasr-Door Al-Moaneaa 2</t>
  </si>
  <si>
    <r>
      <rPr>
        <sz val="10"/>
        <color rgb="FF000000"/>
        <rFont val="Lohit Devanagari"/>
        <family val="2"/>
      </rPr>
      <t xml:space="preserve">ام قصير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الموانئ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</si>
  <si>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Village Al-Nakheel Al-Asria</t>
  </si>
  <si>
    <t xml:space="preserve">قرية النخيل العصرية</t>
  </si>
  <si>
    <t xml:space="preserve">5 Miles(Al Hady Al Thaniyah)</t>
  </si>
  <si>
    <r>
      <rPr>
        <sz val="10"/>
        <color rgb="FF000000"/>
        <rFont val="Arial Narrow"/>
        <family val="2"/>
        <charset val="1"/>
      </rPr>
      <t xml:space="preserve">5</t>
    </r>
    <r>
      <rPr>
        <sz val="10"/>
        <color rgb="FF000000"/>
        <rFont val="Lohit Devanagari"/>
        <family val="2"/>
      </rPr>
      <t xml:space="preserve">ميل الهادي الثانية</t>
    </r>
  </si>
  <si>
    <t xml:space="preserve">50 hosh</t>
  </si>
  <si>
    <r>
      <rPr>
        <sz val="10"/>
        <color rgb="FF000000"/>
        <rFont val="Arial Narrow"/>
        <family val="2"/>
        <charset val="1"/>
      </rPr>
      <t xml:space="preserve">50</t>
    </r>
    <r>
      <rPr>
        <sz val="10"/>
        <color rgb="FF000000"/>
        <rFont val="Lohit Devanagari"/>
        <family val="2"/>
      </rPr>
      <t xml:space="preserve">حوش</t>
    </r>
  </si>
  <si>
    <t xml:space="preserve">Abu Hilwa</t>
  </si>
  <si>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ابو حلوه</t>
    </r>
  </si>
  <si>
    <t xml:space="preserve">Abu sukhair</t>
  </si>
  <si>
    <t xml:space="preserve">ابو صخير</t>
  </si>
  <si>
    <t xml:space="preserve">Al Ablah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</si>
  <si>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المعقل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الابله</t>
    </r>
  </si>
  <si>
    <t xml:space="preserve">Al Amn Al Dakhly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</si>
  <si>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الامن الداخلي </t>
    </r>
  </si>
  <si>
    <t xml:space="preserve">Al Andolous</t>
  </si>
  <si>
    <t xml:space="preserve">Al Ashar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</si>
  <si>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العشار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العطيرية</t>
    </r>
  </si>
  <si>
    <t xml:space="preserve">Al Ashar Center</t>
  </si>
  <si>
    <t xml:space="preserve">مركز العشار</t>
  </si>
  <si>
    <t xml:space="preserve">Al Harthah Almagdah</t>
  </si>
  <si>
    <t xml:space="preserve">الهارثة الماجدية</t>
  </si>
  <si>
    <t xml:space="preserve">Al Harthah Hai Al Intesar</t>
  </si>
  <si>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الانتصار</t>
    </r>
  </si>
  <si>
    <t xml:space="preserve">Al Harthah-Altaleaa</t>
  </si>
  <si>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الطليعة</t>
    </r>
  </si>
  <si>
    <t xml:space="preserve">Al Harthah-Hay Al Risalah</t>
  </si>
  <si>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الرسالة</t>
    </r>
  </si>
  <si>
    <t xml:space="preserve">Al Jazair-Al-Forsey</t>
  </si>
  <si>
    <r>
      <rPr>
        <sz val="10"/>
        <color rgb="FF000000"/>
        <rFont val="Lohit Devanagari"/>
        <family val="2"/>
      </rPr>
      <t xml:space="preserve">الجزائر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الفرسي</t>
    </r>
  </si>
  <si>
    <t xml:space="preserve">Al Jumhuriya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</si>
  <si>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الجمهورية</t>
    </r>
  </si>
  <si>
    <t xml:space="preserve">Al Kaim 1</t>
  </si>
  <si>
    <r>
      <rPr>
        <sz val="10"/>
        <color rgb="FF000000"/>
        <rFont val="Lohit Devanagari"/>
        <family val="2"/>
      </rPr>
      <t xml:space="preserve">القائم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</si>
  <si>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Khaleej1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</si>
  <si>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الجمعيات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الخليج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</si>
  <si>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Khaleej2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</si>
  <si>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الجمعيات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الخليج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</si>
  <si>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Khaleej4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</si>
  <si>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الجمعيات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الخليج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</si>
  <si>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Maqil-Al-Farancea</t>
  </si>
  <si>
    <r>
      <rPr>
        <sz val="10"/>
        <color rgb="FF000000"/>
        <rFont val="Lohit Devanagari"/>
        <family val="2"/>
      </rPr>
      <t xml:space="preserve">المعقل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الفرنسية</t>
    </r>
  </si>
  <si>
    <t xml:space="preserve">Al Maqil-Al-kindi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</si>
  <si>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المعقل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الكندي</t>
    </r>
  </si>
  <si>
    <t xml:space="preserve">Al Maqil-AlAhrar</t>
  </si>
  <si>
    <t xml:space="preserve">المعقل الاحرار</t>
  </si>
  <si>
    <t xml:space="preserve">AL Mowafaqiah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</si>
  <si>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الموفقية</t>
    </r>
  </si>
  <si>
    <t xml:space="preserve">Al Muhallab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</si>
  <si>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المهلب</t>
    </r>
  </si>
  <si>
    <t xml:space="preserve">Al Qabla-Hay Al Baladiyat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</si>
  <si>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البلديات</t>
    </r>
  </si>
  <si>
    <t xml:space="preserve">Al Qibla-Al Shahid Al Sadir</t>
  </si>
  <si>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الشهيد الصدر</t>
    </r>
  </si>
  <si>
    <t xml:space="preserve">AL Qiziza</t>
  </si>
  <si>
    <t xml:space="preserve">الكزيزه</t>
  </si>
  <si>
    <t xml:space="preserve">AL Qiziza Hay AlSalam</t>
  </si>
  <si>
    <r>
      <rPr>
        <sz val="10"/>
        <color rgb="FF000000"/>
        <rFont val="Lohit Devanagari"/>
        <family val="2"/>
      </rPr>
      <t xml:space="preserve">الكزيزه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السلام</t>
    </r>
  </si>
  <si>
    <t xml:space="preserve">Al Sholah</t>
  </si>
  <si>
    <t xml:space="preserve">الشعله</t>
  </si>
  <si>
    <t xml:space="preserve">Al Tameemiya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</si>
  <si>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التميمية</t>
    </r>
  </si>
  <si>
    <t xml:space="preserve">Al Tuwaysa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</si>
  <si>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الطويسه</t>
    </r>
  </si>
  <si>
    <t xml:space="preserve">Al-asma_i al-jadeed</t>
  </si>
  <si>
    <t xml:space="preserve">الاصمعي الجديد</t>
  </si>
  <si>
    <t xml:space="preserve">Al-badran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</si>
  <si>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البدران</t>
    </r>
  </si>
  <si>
    <t xml:space="preserve">Al-Baker &amp; Al-Ahrar</t>
  </si>
  <si>
    <t xml:space="preserve">البكر والاحرار</t>
  </si>
  <si>
    <t xml:space="preserve">Al-bradhia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</si>
  <si>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البراضعية</t>
    </r>
  </si>
  <si>
    <t xml:space="preserve">Al-hakeem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</si>
  <si>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الحكيم</t>
    </r>
  </si>
  <si>
    <t xml:space="preserve">Al-hakemia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</si>
  <si>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الحكيمية</t>
    </r>
  </si>
  <si>
    <t xml:space="preserve">Al-Hartha-Al-Ali</t>
  </si>
  <si>
    <t xml:space="preserve">العلي</t>
  </si>
  <si>
    <t xml:space="preserve">Al-hkadrawia</t>
  </si>
  <si>
    <t xml:space="preserve">الخضراوية</t>
  </si>
  <si>
    <t xml:space="preserve">Al-Jnaina</t>
  </si>
  <si>
    <t xml:space="preserve">الجنينة </t>
  </si>
  <si>
    <t xml:space="preserve">Al-jubaila_</t>
  </si>
  <si>
    <t xml:space="preserve">الجبيله</t>
  </si>
  <si>
    <t xml:space="preserve">Al-khaleeliya-2</t>
  </si>
  <si>
    <r>
      <rPr>
        <sz val="10"/>
        <color rgb="FF000000"/>
        <rFont val="Lohit Devanagari"/>
        <family val="2"/>
      </rPr>
      <t xml:space="preserve">الخليلية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</si>
  <si>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Al-meshraq al-qadeem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</si>
  <si>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المشراق القديم</t>
    </r>
  </si>
  <si>
    <t xml:space="preserve">Al-Mishraq Al-Jadeed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</si>
  <si>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المشراق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المشراق الجديد</t>
    </r>
  </si>
  <si>
    <t xml:space="preserve">Al-mutaiha</t>
  </si>
  <si>
    <t xml:space="preserve">المطيحة </t>
  </si>
  <si>
    <t xml:space="preserve">Al-Rubat Al Kabeer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</si>
  <si>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الرباط الكبير</t>
    </r>
  </si>
  <si>
    <t xml:space="preserve">Al-Rubat Al Saghir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</si>
  <si>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الرباط الصغير</t>
    </r>
  </si>
  <si>
    <t xml:space="preserve">Al-Sabkha Al-Kabeera</t>
  </si>
  <si>
    <t xml:space="preserve">الصبخة الكبيرة </t>
  </si>
  <si>
    <t xml:space="preserve">Al-Sabkha Al-Sagera</t>
  </si>
  <si>
    <t xml:space="preserve">الصبخة الصغيرة </t>
  </si>
  <si>
    <t xml:space="preserve">Al-tahseeniya al-qadeema</t>
  </si>
  <si>
    <t xml:space="preserve">التحسينية القديمة</t>
  </si>
  <si>
    <t xml:space="preserve">Al-Wiless</t>
  </si>
  <si>
    <t xml:space="preserve">المعقل الوايلس</t>
  </si>
  <si>
    <t xml:space="preserve">Ar-rafedain</t>
  </si>
  <si>
    <t xml:space="preserve">حي الرافدين</t>
  </si>
  <si>
    <t xml:space="preserve">As-sa_ii</t>
  </si>
  <si>
    <t xml:space="preserve">الساعي</t>
  </si>
  <si>
    <t xml:space="preserve">As-safat-Al Qadima</t>
  </si>
  <si>
    <r>
      <rPr>
        <sz val="10"/>
        <color rgb="FF000000"/>
        <rFont val="Lohit Devanagari"/>
        <family val="2"/>
      </rPr>
      <t xml:space="preserve">البصرة القديمة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الصفاة</t>
    </r>
  </si>
  <si>
    <t xml:space="preserve">As-saimar</t>
  </si>
  <si>
    <t xml:space="preserve">السيمر</t>
  </si>
  <si>
    <t xml:space="preserve">At-tahseeniya al-jadeda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</si>
  <si>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التحسينية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التحسينية الجديده</t>
    </r>
  </si>
  <si>
    <t xml:space="preserve">Basra al qadima-Al Sadoniyah</t>
  </si>
  <si>
    <r>
      <rPr>
        <sz val="10"/>
        <color rgb="FF000000"/>
        <rFont val="Lohit Devanagari"/>
        <family val="2"/>
      </rPr>
      <t xml:space="preserve">البصرة القديمة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السعدونية</t>
    </r>
  </si>
  <si>
    <t xml:space="preserve">Braiha</t>
  </si>
  <si>
    <t xml:space="preserve">بريهة </t>
  </si>
  <si>
    <t xml:space="preserve">Casino Lebnan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</si>
  <si>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كازينو لبنان</t>
    </r>
  </si>
  <si>
    <t xml:space="preserve">collective Al Assry(5 Miles Markets)</t>
  </si>
  <si>
    <r>
      <rPr>
        <sz val="10"/>
        <color rgb="FF000000"/>
        <rFont val="Lohit Devanagari"/>
        <family val="2"/>
      </rPr>
      <t xml:space="preserve">مجمع العصري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سوق </t>
    </r>
    <r>
      <rPr>
        <sz val="10"/>
        <color rgb="FF000000"/>
        <rFont val="Arial Narrow"/>
        <family val="2"/>
        <charset val="1"/>
      </rPr>
      <t xml:space="preserve">5</t>
    </r>
    <r>
      <rPr>
        <sz val="10"/>
        <color rgb="FF000000"/>
        <rFont val="Lohit Devanagari"/>
        <family val="2"/>
      </rPr>
      <t xml:space="preserve">ميل</t>
    </r>
    <r>
      <rPr>
        <sz val="10"/>
        <color rgb="FF000000"/>
        <rFont val="Arial Narrow"/>
        <family val="2"/>
        <charset val="1"/>
      </rPr>
      <t xml:space="preserve">)</t>
    </r>
  </si>
  <si>
    <t xml:space="preserve">Door al-hendiya</t>
  </si>
  <si>
    <t xml:space="preserve">دور الهندية </t>
  </si>
  <si>
    <t xml:space="preserve">Door Al-Sakak</t>
  </si>
  <si>
    <t xml:space="preserve">معقل دور السكك</t>
  </si>
  <si>
    <t xml:space="preserve">Door Al-Shooen</t>
  </si>
  <si>
    <t xml:space="preserve">دور الشؤون</t>
  </si>
  <si>
    <t xml:space="preserve">Door Al-Shorta</t>
  </si>
  <si>
    <t xml:space="preserve">دور الشرطة</t>
  </si>
  <si>
    <t xml:space="preserve">Door as-sailo_</t>
  </si>
  <si>
    <t xml:space="preserve">دور السايلو</t>
  </si>
  <si>
    <t xml:space="preserve">Durr Al Naaft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</si>
  <si>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النفط</t>
    </r>
  </si>
  <si>
    <t xml:space="preserve">Dwaed </t>
  </si>
  <si>
    <t xml:space="preserve">دويد </t>
  </si>
  <si>
    <t xml:space="preserve">Eskan al-mawanie</t>
  </si>
  <si>
    <t xml:space="preserve">اسكان المواني</t>
  </si>
  <si>
    <t xml:space="preserve">Hai al-antesar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</si>
  <si>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الجنينة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الانتصار</t>
    </r>
  </si>
  <si>
    <t xml:space="preserve">Hai al-bato_l</t>
  </si>
  <si>
    <t xml:space="preserve">حي البتول</t>
  </si>
  <si>
    <t xml:space="preserve">Hai al-hussain-1</t>
  </si>
  <si>
    <r>
      <rPr>
        <sz val="10"/>
        <color rgb="FF000000"/>
        <rFont val="Lohit Devanagari"/>
        <family val="2"/>
      </rPr>
      <t xml:space="preserve">الحيانية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</si>
  <si>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Hai al-hussain-2</t>
  </si>
  <si>
    <r>
      <rPr>
        <sz val="10"/>
        <color rgb="FF000000"/>
        <rFont val="Lohit Devanagari"/>
        <family val="2"/>
      </rPr>
      <t xml:space="preserve">الحيانية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</si>
  <si>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Hai al-kafa_at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</si>
  <si>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الكفاءات</t>
    </r>
  </si>
  <si>
    <t xml:space="preserve">Hai Al-Khadhraa</t>
  </si>
  <si>
    <t xml:space="preserve">حي الخضراء</t>
  </si>
  <si>
    <t xml:space="preserve">Hai al-khaleej-3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</si>
  <si>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الجمعيات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الخليج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</si>
  <si>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Hai al-mohandesin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</si>
  <si>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المهندسين</t>
    </r>
  </si>
  <si>
    <t xml:space="preserve">Hai al-mu_alemin</t>
  </si>
  <si>
    <r>
      <rPr>
        <sz val="10"/>
        <color rgb="FF000000"/>
        <rFont val="Lohit Devanagari"/>
        <family val="2"/>
      </rPr>
      <t xml:space="preserve">البصرة القديمة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المعلمين</t>
    </r>
  </si>
  <si>
    <t xml:space="preserve">Hai amman</t>
  </si>
  <si>
    <t xml:space="preserve">حي عمان</t>
  </si>
  <si>
    <t xml:space="preserve">Hai az-zahra_a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</si>
  <si>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</si>
  <si>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Hay Al Hussain 4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</si>
  <si>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الحيانية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</si>
  <si>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Hay AL Hussainyia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</si>
  <si>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الحسينية</t>
    </r>
  </si>
  <si>
    <t xml:space="preserve">Hay Al Jamiah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</si>
  <si>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الجامعة</t>
    </r>
  </si>
  <si>
    <t xml:space="preserve">Hay Al Qaim 2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</si>
  <si>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القائم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</si>
  <si>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 Rasheed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</si>
  <si>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الرشيد</t>
    </r>
  </si>
  <si>
    <t xml:space="preserve">Hay Al Risalah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</si>
  <si>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الرسالة</t>
    </r>
  </si>
  <si>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الشهداء</t>
    </r>
  </si>
  <si>
    <t xml:space="preserve">Hay Al Tamim</t>
  </si>
  <si>
    <r>
      <rPr>
        <sz val="10"/>
        <color rgb="FF000000"/>
        <rFont val="Lohit Devanagari"/>
        <family val="2"/>
      </rPr>
      <t xml:space="preserve">الحيانية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التاميم</t>
    </r>
  </si>
  <si>
    <t xml:space="preserve">Hay Al Zaiton</t>
  </si>
  <si>
    <t xml:space="preserve">Hay Al-Asdiqaa</t>
  </si>
  <si>
    <t xml:space="preserve">حي الاصدقاء</t>
  </si>
  <si>
    <t xml:space="preserve">Hay Al-Asmae Al-Qadeem</t>
  </si>
  <si>
    <t xml:space="preserve">حي الاصمعي القديم </t>
  </si>
  <si>
    <t xml:space="preserve">Hay Al-Husain 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</si>
  <si>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الحيانية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</si>
  <si>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Al-Morabaa</t>
  </si>
  <si>
    <t xml:space="preserve">الحيانية حي المربع</t>
  </si>
  <si>
    <t xml:space="preserve">Hay Al-Zohoor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</si>
  <si>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العشار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الزهور</t>
    </r>
  </si>
  <si>
    <t xml:space="preserve">Hay Tariq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</si>
  <si>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المعقل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طارق</t>
    </r>
  </si>
  <si>
    <t xml:space="preserve">Hmrenan</t>
  </si>
  <si>
    <r>
      <rPr>
        <sz val="10"/>
        <color rgb="FF000000"/>
        <rFont val="Lohit Devanagari"/>
        <family val="2"/>
      </rPr>
      <t xml:space="preserve">الهارثة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حمرينان</t>
    </r>
  </si>
  <si>
    <t xml:space="preserve">Ibn Ghazwan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</si>
  <si>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منطقة ابن غزوان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العالية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</si>
  <si>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Karma Ali-Twela</t>
  </si>
  <si>
    <t xml:space="preserve">الطويله</t>
  </si>
  <si>
    <t xml:space="preserve">Karmat Ali</t>
  </si>
  <si>
    <r>
      <rPr>
        <sz val="10"/>
        <color rgb="FF000000"/>
        <rFont val="Lohit Devanagari"/>
        <family val="2"/>
      </rPr>
      <t xml:space="preserve">كرمة علي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الكرمة مركز</t>
    </r>
    <r>
      <rPr>
        <sz val="10"/>
        <color rgb="FF000000"/>
        <rFont val="Arial Narrow"/>
        <family val="2"/>
        <charset val="1"/>
      </rPr>
      <t xml:space="preserve">)</t>
    </r>
  </si>
  <si>
    <t xml:space="preserve">Karmat Ali Hay Al Sadrain</t>
  </si>
  <si>
    <r>
      <rPr>
        <sz val="10"/>
        <color rgb="FF000000"/>
        <rFont val="Lohit Devanagari"/>
        <family val="2"/>
      </rPr>
      <t xml:space="preserve">كرمة علي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الصدرين</t>
    </r>
  </si>
  <si>
    <t xml:space="preserve">Kut al-hejaj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</si>
  <si>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كوت الحجاج</t>
    </r>
  </si>
  <si>
    <t xml:space="preserve">Kut al-hejaj-al-jadeed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</si>
  <si>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كوت الحجاج الجديد</t>
    </r>
  </si>
  <si>
    <t xml:space="preserve">Manawi Lajim Quarter</t>
  </si>
  <si>
    <t xml:space="preserve">مناوي لجم </t>
  </si>
  <si>
    <t xml:space="preserve">Manawi pasha</t>
  </si>
  <si>
    <t xml:space="preserve">مناوي باشا</t>
  </si>
  <si>
    <t xml:space="preserve">Markaz Al Harthah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</si>
  <si>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مركز الهارثة</t>
    </r>
  </si>
  <si>
    <t xml:space="preserve">Mojamaa Al Hussain Al Sakni</t>
  </si>
  <si>
    <t xml:space="preserve">مجمع الحسين السكني </t>
  </si>
  <si>
    <t xml:space="preserve">Mosa Kadhim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</si>
  <si>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القبلة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موسى الكاظم</t>
    </r>
  </si>
  <si>
    <t xml:space="preserve">Nadhran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</si>
  <si>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نظران</t>
    </r>
  </si>
  <si>
    <t xml:space="preserve">Najibiah</t>
  </si>
  <si>
    <t xml:space="preserve">نجيبية </t>
  </si>
  <si>
    <t xml:space="preserve">Sabkhat al-arab</t>
  </si>
  <si>
    <t xml:space="preserve">صبخة العرب</t>
  </si>
  <si>
    <t xml:space="preserve">Sayed Al Shuhadaa</t>
  </si>
  <si>
    <t xml:space="preserve">سيد الشهداء</t>
  </si>
  <si>
    <t xml:space="preserve">Shatt Al-Tuark</t>
  </si>
  <si>
    <t xml:space="preserve">شط الترك</t>
  </si>
  <si>
    <t xml:space="preserve">Shuqaq al-faw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</si>
  <si>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شقق الفاو</t>
    </r>
  </si>
  <si>
    <t xml:space="preserve">Um Al Neajj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</si>
  <si>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منطقة ام النعاج</t>
    </r>
  </si>
  <si>
    <t xml:space="preserve">Yaseen Khurebtt</t>
  </si>
  <si>
    <t xml:space="preserve">ياسين خريبط</t>
  </si>
  <si>
    <t xml:space="preserve">Fao</t>
  </si>
  <si>
    <t xml:space="preserve">AlBahhar</t>
  </si>
  <si>
    <t xml:space="preserve">البحار</t>
  </si>
  <si>
    <t xml:space="preserve">FAO Al Shamaliya-Hay Al Salam</t>
  </si>
  <si>
    <t xml:space="preserve">FAO Al-Shamaliya-Hay Al-Madaina</t>
  </si>
  <si>
    <t xml:space="preserve">حي المدينة</t>
  </si>
  <si>
    <t xml:space="preserve">FAO Aljanubia-Hay Al Hussain</t>
  </si>
  <si>
    <t xml:space="preserve">FAO Aljanubia-Hay Al Karar</t>
  </si>
  <si>
    <t xml:space="preserve">حي الكرار</t>
  </si>
  <si>
    <t xml:space="preserve">FAO Aljanubia-Hay Al Zahra</t>
  </si>
  <si>
    <t xml:space="preserve">Shatt Al-Arab</t>
  </si>
  <si>
    <t xml:space="preserve">Al Hota</t>
  </si>
  <si>
    <t xml:space="preserve">الحوطة </t>
  </si>
  <si>
    <t xml:space="preserve">AL Jazira 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</si>
  <si>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الجزيرة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</si>
  <si>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 Jazira-2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</si>
  <si>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الجزيرة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</si>
  <si>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Nashwa-Center</t>
  </si>
  <si>
    <r>
      <rPr>
        <sz val="10"/>
        <color rgb="FF000000"/>
        <rFont val="Lohit Devanagari"/>
        <family val="2"/>
      </rPr>
      <t xml:space="preserve">النشوة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مركز النشوة</t>
    </r>
  </si>
  <si>
    <t xml:space="preserve">Al Nashwa-Mayah Aldhawaen</t>
  </si>
  <si>
    <r>
      <rPr>
        <sz val="10"/>
        <color rgb="FF000000"/>
        <rFont val="Lohit Devanagari"/>
        <family val="2"/>
      </rPr>
      <t xml:space="preserve">النشوة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مياح الضواعن</t>
    </r>
  </si>
  <si>
    <t xml:space="preserve">Al Sahel village</t>
  </si>
  <si>
    <r>
      <rPr>
        <sz val="10"/>
        <color rgb="FF000000"/>
        <rFont val="Lohit Devanagari"/>
        <family val="2"/>
      </rPr>
      <t xml:space="preserve">شط العرب التنومه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الساحل</t>
    </r>
  </si>
  <si>
    <t xml:space="preserve">Al-Kibasi Kabeer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</si>
  <si>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الكباسي الكبير</t>
    </r>
  </si>
  <si>
    <t xml:space="preserve">Al-Kibasi Saghir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</si>
  <si>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الكباسي الصغير</t>
    </r>
  </si>
  <si>
    <t xml:space="preserve">As salehiyah</t>
  </si>
  <si>
    <t xml:space="preserve">الصالحية </t>
  </si>
  <si>
    <t xml:space="preserve">Bait zair</t>
  </si>
  <si>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بيت زعير</t>
    </r>
  </si>
  <si>
    <t xml:space="preserve">Hay al-jami_a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</si>
  <si>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الجامعة</t>
    </r>
  </si>
  <si>
    <t xml:space="preserve">Markaz Shat Al-Arab-Al Jazira 4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</si>
  <si>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الجزيرة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</si>
  <si>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Shat Al Arab St 13</t>
  </si>
  <si>
    <r>
      <rPr>
        <sz val="10"/>
        <color rgb="FF000000"/>
        <rFont val="Lohit Devanagari"/>
        <family val="2"/>
      </rPr>
      <t xml:space="preserve">البصرة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شط العرب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13</t>
    </r>
  </si>
  <si>
    <t xml:space="preserve">Shatt Al-Arab-Tanoma-17 St</t>
  </si>
  <si>
    <r>
      <rPr>
        <sz val="10"/>
        <color rgb="FF000000"/>
        <rFont val="Lohit Devanagari"/>
        <family val="2"/>
      </rPr>
      <t xml:space="preserve">التنومه شارع </t>
    </r>
    <r>
      <rPr>
        <sz val="10"/>
        <color rgb="FF000000"/>
        <rFont val="Arial Narrow"/>
        <family val="2"/>
        <charset val="1"/>
      </rPr>
      <t xml:space="preserve">17</t>
    </r>
  </si>
  <si>
    <t xml:space="preserve">Shatt Al-Arab-Tanoma-36 St</t>
  </si>
  <si>
    <r>
      <rPr>
        <sz val="10"/>
        <color rgb="FF000000"/>
        <rFont val="Lohit Devanagari"/>
        <family val="2"/>
      </rPr>
      <t xml:space="preserve">شط العرب التنومه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36</t>
    </r>
  </si>
  <si>
    <t xml:space="preserve">Street 29</t>
  </si>
  <si>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29 </t>
    </r>
  </si>
  <si>
    <t xml:space="preserve">Street 40</t>
  </si>
  <si>
    <r>
      <rPr>
        <sz val="10"/>
        <color rgb="FF000000"/>
        <rFont val="Lohit Devanagari"/>
        <family val="2"/>
      </rPr>
      <t xml:space="preserve">شط العرب التنومه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40</t>
    </r>
  </si>
  <si>
    <t xml:space="preserve">Tanuma-Street 32</t>
  </si>
  <si>
    <r>
      <rPr>
        <sz val="10"/>
        <color rgb="FF000000"/>
        <rFont val="Lohit Devanagari"/>
        <family val="2"/>
      </rPr>
      <t xml:space="preserve">شط العرب التنومه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شارع </t>
    </r>
    <r>
      <rPr>
        <sz val="10"/>
        <color rgb="FF000000"/>
        <rFont val="Arial Narrow"/>
        <family val="2"/>
        <charset val="1"/>
      </rPr>
      <t xml:space="preserve">32</t>
    </r>
  </si>
  <si>
    <t xml:space="preserve">Amedi</t>
  </si>
  <si>
    <t xml:space="preserve">عمادية</t>
  </si>
  <si>
    <t xml:space="preserve">Aradin</t>
  </si>
  <si>
    <t xml:space="preserve">ارادن</t>
  </si>
  <si>
    <t xml:space="preserve">Ashawa</t>
  </si>
  <si>
    <t xml:space="preserve">اشاوا</t>
  </si>
  <si>
    <t xml:space="preserve">Azadi</t>
  </si>
  <si>
    <t xml:space="preserve">آزادي</t>
  </si>
  <si>
    <t xml:space="preserve">Bamarne</t>
  </si>
  <si>
    <t xml:space="preserve">بامرني</t>
  </si>
  <si>
    <t xml:space="preserve">Chamanke</t>
  </si>
  <si>
    <t xml:space="preserve">جمانكي</t>
  </si>
  <si>
    <t xml:space="preserve">Dawodia Camp</t>
  </si>
  <si>
    <t xml:space="preserve">مخيم داودية</t>
  </si>
  <si>
    <t xml:space="preserve">Deraluk</t>
  </si>
  <si>
    <t xml:space="preserve">ديرلوك</t>
  </si>
  <si>
    <t xml:space="preserve">Inishke</t>
  </si>
  <si>
    <t xml:space="preserve">اينشكي</t>
  </si>
  <si>
    <t xml:space="preserve">Kani</t>
  </si>
  <si>
    <t xml:space="preserve">كاني</t>
  </si>
  <si>
    <t xml:space="preserve">Kani Mase</t>
  </si>
  <si>
    <t xml:space="preserve">كاني ماسي</t>
  </si>
  <si>
    <t xml:space="preserve">Kaniya Mala</t>
  </si>
  <si>
    <t xml:space="preserve">كانيا مالا</t>
  </si>
  <si>
    <t xml:space="preserve">Mizi Village</t>
  </si>
  <si>
    <t xml:space="preserve">قرية ميزي</t>
  </si>
  <si>
    <t xml:space="preserve">Nahla Village</t>
  </si>
  <si>
    <t xml:space="preserve">قرية نهلة</t>
  </si>
  <si>
    <t xml:space="preserve">Qadish Collective</t>
  </si>
  <si>
    <t xml:space="preserve">قدش</t>
  </si>
  <si>
    <t xml:space="preserve">Sarsink</t>
  </si>
  <si>
    <t xml:space="preserve">سرسنك</t>
  </si>
  <si>
    <t xml:space="preserve">Sheladize Collective</t>
  </si>
  <si>
    <t xml:space="preserve">شيلادزي</t>
  </si>
  <si>
    <t xml:space="preserve">Sikreen</t>
  </si>
  <si>
    <t xml:space="preserve">سكرين</t>
  </si>
  <si>
    <t xml:space="preserve">Sowaratoka</t>
  </si>
  <si>
    <t xml:space="preserve">سوارتوكا</t>
  </si>
  <si>
    <t xml:space="preserve">Al Jamyah</t>
  </si>
  <si>
    <t xml:space="preserve">الجمعية</t>
  </si>
  <si>
    <t xml:space="preserve">Al Sinaah</t>
  </si>
  <si>
    <t xml:space="preserve">الصناعة</t>
  </si>
  <si>
    <t xml:space="preserve">Ashti</t>
  </si>
  <si>
    <t xml:space="preserve">آشتي</t>
  </si>
  <si>
    <t xml:space="preserve">Avrike</t>
  </si>
  <si>
    <t xml:space="preserve">افريكي</t>
  </si>
  <si>
    <t xml:space="preserve">Bablu</t>
  </si>
  <si>
    <t xml:space="preserve">بابلو</t>
  </si>
  <si>
    <t xml:space="preserve">Bagera</t>
  </si>
  <si>
    <t xml:space="preserve">باكيرا</t>
  </si>
  <si>
    <t xml:space="preserve">Bahdinan</t>
  </si>
  <si>
    <t xml:space="preserve">بهدينان</t>
  </si>
  <si>
    <t xml:space="preserve">Banasora</t>
  </si>
  <si>
    <t xml:space="preserve">بانصورا</t>
  </si>
  <si>
    <t xml:space="preserve">Banye</t>
  </si>
  <si>
    <t xml:space="preserve">باني</t>
  </si>
  <si>
    <t xml:space="preserve">Baroshka Saadin Village</t>
  </si>
  <si>
    <t xml:space="preserve">قرية بروشكا سعدين</t>
  </si>
  <si>
    <t xml:space="preserve">Baroshke</t>
  </si>
  <si>
    <t xml:space="preserve">بروشكي</t>
  </si>
  <si>
    <t xml:space="preserve">Baroshke Complex</t>
  </si>
  <si>
    <t xml:space="preserve">مجمع بروشكي</t>
  </si>
  <si>
    <t xml:space="preserve">Bazaar</t>
  </si>
  <si>
    <r>
      <rPr>
        <sz val="10"/>
        <color rgb="FF000000"/>
        <rFont val="Lohit Devanagari"/>
        <family val="2"/>
      </rPr>
      <t xml:space="preserve">بازار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سوق رئيسي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</si>
  <si>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Betase</t>
  </si>
  <si>
    <t xml:space="preserve">بيتاسي</t>
  </si>
  <si>
    <t xml:space="preserve">Bintika</t>
  </si>
  <si>
    <t xml:space="preserve">بنتيكا</t>
  </si>
  <si>
    <t xml:space="preserve">Botan</t>
  </si>
  <si>
    <t xml:space="preserve">بوتان</t>
  </si>
  <si>
    <t xml:space="preserve">Dabin</t>
  </si>
  <si>
    <t xml:space="preserve">دابين</t>
  </si>
  <si>
    <t xml:space="preserve">Dabin 2</t>
  </si>
  <si>
    <r>
      <rPr>
        <sz val="10"/>
        <color rgb="FF000000"/>
        <rFont val="Lohit Devanagari"/>
        <family val="2"/>
      </rPr>
      <t xml:space="preserve">دابين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</si>
  <si>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Diyari</t>
  </si>
  <si>
    <t xml:space="preserve">دياري</t>
  </si>
  <si>
    <t xml:space="preserve">Eminke</t>
  </si>
  <si>
    <t xml:space="preserve">امنيكي</t>
  </si>
  <si>
    <t xml:space="preserve">Etit</t>
  </si>
  <si>
    <t xml:space="preserve">ايتيت</t>
  </si>
  <si>
    <t xml:space="preserve">Gali Dohuk</t>
  </si>
  <si>
    <t xml:space="preserve">كلي دهوك</t>
  </si>
  <si>
    <t xml:space="preserve">Gavarrke</t>
  </si>
  <si>
    <t xml:space="preserve">كفركي</t>
  </si>
  <si>
    <t xml:space="preserve">Kari Basi</t>
  </si>
  <si>
    <t xml:space="preserve">كري باصي</t>
  </si>
  <si>
    <t xml:space="preserve">Kevila</t>
  </si>
  <si>
    <t xml:space="preserve">كيفيلا</t>
  </si>
  <si>
    <t xml:space="preserve">Khabat Kojar</t>
  </si>
  <si>
    <r>
      <rPr>
        <sz val="10"/>
        <color rgb="FF000000"/>
        <rFont val="Lohit Devanagari"/>
        <family val="2"/>
      </rPr>
      <t xml:space="preserve">خبات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كوجر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</si>
  <si>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Kora</t>
  </si>
  <si>
    <t xml:space="preserve">كورا</t>
  </si>
  <si>
    <t xml:space="preserve">Kovle</t>
  </si>
  <si>
    <t xml:space="preserve">كوفلي</t>
  </si>
  <si>
    <t xml:space="preserve">Lower Malta</t>
  </si>
  <si>
    <t xml:space="preserve">مالتا سفلى</t>
  </si>
  <si>
    <t xml:space="preserve">Mangesh</t>
  </si>
  <si>
    <t xml:space="preserve">مانكيش</t>
  </si>
  <si>
    <t xml:space="preserve">Masik-1</t>
  </si>
  <si>
    <r>
      <rPr>
        <sz val="10"/>
        <color rgb="FF000000"/>
        <rFont val="Lohit Devanagari"/>
        <family val="2"/>
      </rPr>
      <t xml:space="preserve">ماسيك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</si>
  <si>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Masik-2</t>
  </si>
  <si>
    <r>
      <rPr>
        <sz val="10"/>
        <color rgb="FF000000"/>
        <rFont val="Lohit Devanagari"/>
        <family val="2"/>
      </rPr>
      <t xml:space="preserve">ماسيك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</si>
  <si>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Mazi</t>
  </si>
  <si>
    <t xml:space="preserve">مازي</t>
  </si>
  <si>
    <t xml:space="preserve">Midiya</t>
  </si>
  <si>
    <t xml:space="preserve">ميديا</t>
  </si>
  <si>
    <t xml:space="preserve">Mjlmakht</t>
  </si>
  <si>
    <t xml:space="preserve">مجلمخت</t>
  </si>
  <si>
    <t xml:space="preserve">Muhabad</t>
  </si>
  <si>
    <t xml:space="preserve">مهاباد</t>
  </si>
  <si>
    <t xml:space="preserve">Naor</t>
  </si>
  <si>
    <t xml:space="preserve">ناعور</t>
  </si>
  <si>
    <t xml:space="preserve">Nawroz</t>
  </si>
  <si>
    <t xml:space="preserve">نوروز</t>
  </si>
  <si>
    <t xml:space="preserve">Nazarke</t>
  </si>
  <si>
    <t xml:space="preserve">نزاركي</t>
  </si>
  <si>
    <t xml:space="preserve">Qassara</t>
  </si>
  <si>
    <t xml:space="preserve">قسارا</t>
  </si>
  <si>
    <t xml:space="preserve">Rashanke</t>
  </si>
  <si>
    <t xml:space="preserve">رشانكي</t>
  </si>
  <si>
    <t xml:space="preserve">Raza</t>
  </si>
  <si>
    <t xml:space="preserve">رزا</t>
  </si>
  <si>
    <t xml:space="preserve">Sarbasti</t>
  </si>
  <si>
    <t xml:space="preserve">سربستي</t>
  </si>
  <si>
    <t xml:space="preserve">Sarheldan</t>
  </si>
  <si>
    <t xml:space="preserve">سرهلدان</t>
  </si>
  <si>
    <t xml:space="preserve">Shahidan</t>
  </si>
  <si>
    <t xml:space="preserve">شهيدان</t>
  </si>
  <si>
    <t xml:space="preserve">Shakhke</t>
  </si>
  <si>
    <t xml:space="preserve">شاخكي</t>
  </si>
  <si>
    <t xml:space="preserve">Shele</t>
  </si>
  <si>
    <t xml:space="preserve">شيلي</t>
  </si>
  <si>
    <t xml:space="preserve">Shindukha</t>
  </si>
  <si>
    <t xml:space="preserve">شندوخا</t>
  </si>
  <si>
    <t xml:space="preserve">Upper Malta</t>
  </si>
  <si>
    <t xml:space="preserve">مالتا العليا</t>
  </si>
  <si>
    <t xml:space="preserve">Zawita</t>
  </si>
  <si>
    <t xml:space="preserve">زاويتة</t>
  </si>
  <si>
    <t xml:space="preserve">Zeri Land</t>
  </si>
  <si>
    <t xml:space="preserve">زري لاند</t>
  </si>
  <si>
    <t xml:space="preserve">Zirka</t>
  </si>
  <si>
    <t xml:space="preserve">زركا</t>
  </si>
  <si>
    <t xml:space="preserve">Zozan</t>
  </si>
  <si>
    <t xml:space="preserve">زوزان</t>
  </si>
  <si>
    <t xml:space="preserve">Sumel</t>
  </si>
  <si>
    <t xml:space="preserve">Adrana</t>
  </si>
  <si>
    <t xml:space="preserve">عدرانا</t>
  </si>
  <si>
    <t xml:space="preserve">Asiro</t>
  </si>
  <si>
    <t xml:space="preserve">اسيرو</t>
  </si>
  <si>
    <t xml:space="preserve">Avro City</t>
  </si>
  <si>
    <t xml:space="preserve">افرو سيتي</t>
  </si>
  <si>
    <t xml:space="preserve">Bajet Kandala Camp</t>
  </si>
  <si>
    <t xml:space="preserve">مخيم باجت كندالا</t>
  </si>
  <si>
    <t xml:space="preserve">Bajit Kandal Village</t>
  </si>
  <si>
    <t xml:space="preserve">قرية باجت كندال</t>
  </si>
  <si>
    <t xml:space="preserve">Bakhitme</t>
  </si>
  <si>
    <t xml:space="preserve">باختيمي</t>
  </si>
  <si>
    <t xml:space="preserve">Basetki</t>
  </si>
  <si>
    <t xml:space="preserve">باستكي</t>
  </si>
  <si>
    <t xml:space="preserve">Batel</t>
  </si>
  <si>
    <t xml:space="preserve">باتيل</t>
  </si>
  <si>
    <t xml:space="preserve">Bazalan</t>
  </si>
  <si>
    <t xml:space="preserve">بازلان</t>
  </si>
  <si>
    <t xml:space="preserve">Dolib</t>
  </si>
  <si>
    <t xml:space="preserve">دلب</t>
  </si>
  <si>
    <t xml:space="preserve">Domiz-Halat</t>
  </si>
  <si>
    <t xml:space="preserve">دوميز هلات</t>
  </si>
  <si>
    <t xml:space="preserve">Domiz-Rozh</t>
  </si>
  <si>
    <t xml:space="preserve">دوميز روز</t>
  </si>
  <si>
    <t xml:space="preserve">Fayda</t>
  </si>
  <si>
    <t xml:space="preserve">فايدة</t>
  </si>
  <si>
    <t xml:space="preserve">Girsheen</t>
  </si>
  <si>
    <t xml:space="preserve">كرشين</t>
  </si>
  <si>
    <t xml:space="preserve">Haweri</t>
  </si>
  <si>
    <t xml:space="preserve">هويري</t>
  </si>
  <si>
    <t xml:space="preserve">Hawshke</t>
  </si>
  <si>
    <t xml:space="preserve">حوشكي</t>
  </si>
  <si>
    <t xml:space="preserve">Kabarto</t>
  </si>
  <si>
    <t xml:space="preserve">كبرتو</t>
  </si>
  <si>
    <t xml:space="preserve">Kabarto 1 Camp</t>
  </si>
  <si>
    <r>
      <rPr>
        <sz val="10"/>
        <color rgb="FF000000"/>
        <rFont val="Lohit Devanagari"/>
        <family val="2"/>
      </rPr>
      <t xml:space="preserve">مخيم كبرتو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</si>
  <si>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Kabarto 2 Camp</t>
  </si>
  <si>
    <r>
      <rPr>
        <sz val="10"/>
        <color rgb="FF000000"/>
        <rFont val="Lohit Devanagari"/>
        <family val="2"/>
      </rPr>
      <t xml:space="preserve">مخيم كبرتو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</si>
  <si>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Kamona</t>
  </si>
  <si>
    <t xml:space="preserve">كمونا</t>
  </si>
  <si>
    <t xml:space="preserve">Kar City</t>
  </si>
  <si>
    <t xml:space="preserve">كار ستي</t>
  </si>
  <si>
    <t xml:space="preserve">Khanke Camp</t>
  </si>
  <si>
    <t xml:space="preserve">مخيم خانكي</t>
  </si>
  <si>
    <t xml:space="preserve">Khanke Qadima</t>
  </si>
  <si>
    <t xml:space="preserve">خانكي قديمة</t>
  </si>
  <si>
    <t xml:space="preserve">Kherava</t>
  </si>
  <si>
    <t xml:space="preserve">خيرافا</t>
  </si>
  <si>
    <t xml:space="preserve">Marina</t>
  </si>
  <si>
    <t xml:space="preserve">مرينا</t>
  </si>
  <si>
    <t xml:space="preserve">Misereek</t>
  </si>
  <si>
    <t xml:space="preserve">مسيريك</t>
  </si>
  <si>
    <t xml:space="preserve">Moaskar Domiz</t>
  </si>
  <si>
    <t xml:space="preserve">معسكر دوميز</t>
  </si>
  <si>
    <t xml:space="preserve">Namrike</t>
  </si>
  <si>
    <t xml:space="preserve">نمريكي</t>
  </si>
  <si>
    <t xml:space="preserve">Nawro City</t>
  </si>
  <si>
    <t xml:space="preserve">نورو ستي</t>
  </si>
  <si>
    <t xml:space="preserve">New Zinya</t>
  </si>
  <si>
    <t xml:space="preserve">زينيا جديدة</t>
  </si>
  <si>
    <t xml:space="preserve">Old Mam Shvana</t>
  </si>
  <si>
    <t xml:space="preserve">مام شفانا قديمة</t>
  </si>
  <si>
    <t xml:space="preserve">Old Qasr Yazddin</t>
  </si>
  <si>
    <t xml:space="preserve">قسريزدين قديمة</t>
  </si>
  <si>
    <t xml:space="preserve">Old Sorka</t>
  </si>
  <si>
    <t xml:space="preserve">صوركا قديمة</t>
  </si>
  <si>
    <t xml:space="preserve">Old Zinya</t>
  </si>
  <si>
    <t xml:space="preserve">زينيا قديمة</t>
  </si>
  <si>
    <t xml:space="preserve">Qasr Yazddin</t>
  </si>
  <si>
    <t xml:space="preserve">قسر يزدين</t>
  </si>
  <si>
    <t xml:space="preserve">Ramilan City</t>
  </si>
  <si>
    <t xml:space="preserve">راميلان ستي</t>
  </si>
  <si>
    <t xml:space="preserve">Ribeybi</t>
  </si>
  <si>
    <t xml:space="preserve">ربيبي</t>
  </si>
  <si>
    <t xml:space="preserve">Rwanga Community Camp</t>
  </si>
  <si>
    <t xml:space="preserve">مخيم روانكه</t>
  </si>
  <si>
    <t xml:space="preserve">Seje</t>
  </si>
  <si>
    <t xml:space="preserve">سيجي</t>
  </si>
  <si>
    <t xml:space="preserve">Semel</t>
  </si>
  <si>
    <t xml:space="preserve">سيميل</t>
  </si>
  <si>
    <t xml:space="preserve">Shariya</t>
  </si>
  <si>
    <t xml:space="preserve">شاريا</t>
  </si>
  <si>
    <t xml:space="preserve">Shariya Camp</t>
  </si>
  <si>
    <t xml:space="preserve">مخيم شاريا</t>
  </si>
  <si>
    <t xml:space="preserve">Shorash</t>
  </si>
  <si>
    <t xml:space="preserve">شورش</t>
  </si>
  <si>
    <t xml:space="preserve">Small Mam Shvana</t>
  </si>
  <si>
    <t xml:space="preserve">مام شفانا صغيرة</t>
  </si>
  <si>
    <t xml:space="preserve">Soriya</t>
  </si>
  <si>
    <t xml:space="preserve">صوريا</t>
  </si>
  <si>
    <t xml:space="preserve">Tanahi</t>
  </si>
  <si>
    <t xml:space="preserve">تناهي</t>
  </si>
  <si>
    <t xml:space="preserve">Waarvin City</t>
  </si>
  <si>
    <t xml:space="preserve">وارفين ستي</t>
  </si>
  <si>
    <t xml:space="preserve">War City</t>
  </si>
  <si>
    <t xml:space="preserve">وار ستي</t>
  </si>
  <si>
    <t xml:space="preserve">Zakho</t>
  </si>
  <si>
    <t xml:space="preserve">Afirma</t>
  </si>
  <si>
    <t xml:space="preserve">افرما</t>
  </si>
  <si>
    <t xml:space="preserve">Batifa</t>
  </si>
  <si>
    <t xml:space="preserve">باتيفا</t>
  </si>
  <si>
    <t xml:space="preserve">Bersive 1 Camp</t>
  </si>
  <si>
    <r>
      <rPr>
        <sz val="10"/>
        <color rgb="FF000000"/>
        <rFont val="Lohit Devanagari"/>
        <family val="2"/>
      </rPr>
      <t xml:space="preserve">مخيم بيرسفي</t>
    </r>
    <r>
      <rPr>
        <sz val="10"/>
        <color rgb="FF000000"/>
        <rFont val="Arial Narrow"/>
        <family val="2"/>
        <charset val="1"/>
      </rPr>
      <t xml:space="preserve">1</t>
    </r>
  </si>
  <si>
    <t xml:space="preserve">Bersive 2 Camp</t>
  </si>
  <si>
    <r>
      <rPr>
        <sz val="10"/>
        <color rgb="FF000000"/>
        <rFont val="Lohit Devanagari"/>
        <family val="2"/>
      </rPr>
      <t xml:space="preserve">مخيم بيرسفي</t>
    </r>
    <r>
      <rPr>
        <sz val="10"/>
        <color rgb="FF000000"/>
        <rFont val="Arial Narrow"/>
        <family val="2"/>
        <charset val="1"/>
      </rPr>
      <t xml:space="preserve">2</t>
    </r>
  </si>
  <si>
    <t xml:space="preserve">Chamishku Camp</t>
  </si>
  <si>
    <t xml:space="preserve">مخيم جمشكو</t>
  </si>
  <si>
    <t xml:space="preserve">Chamkork</t>
  </si>
  <si>
    <t xml:space="preserve">جم كورك</t>
  </si>
  <si>
    <t xml:space="preserve">Darkar</t>
  </si>
  <si>
    <t xml:space="preserve">دركار</t>
  </si>
  <si>
    <t xml:space="preserve">Darkar Camp</t>
  </si>
  <si>
    <t xml:space="preserve">مخيم دركار</t>
  </si>
  <si>
    <t xml:space="preserve">Diraboon</t>
  </si>
  <si>
    <t xml:space="preserve">ديربون</t>
  </si>
  <si>
    <t xml:space="preserve">Fishkhaboor</t>
  </si>
  <si>
    <t xml:space="preserve">فيشخابور</t>
  </si>
  <si>
    <t xml:space="preserve">Levo</t>
  </si>
  <si>
    <t xml:space="preserve">ليفو</t>
  </si>
  <si>
    <t xml:space="preserve">Mergasor</t>
  </si>
  <si>
    <t xml:space="preserve">ميركاسور</t>
  </si>
  <si>
    <t xml:space="preserve">Nafkandala</t>
  </si>
  <si>
    <t xml:space="preserve">نافكندالا</t>
  </si>
  <si>
    <t xml:space="preserve">Qarawla</t>
  </si>
  <si>
    <t xml:space="preserve">قرولا</t>
  </si>
  <si>
    <t xml:space="preserve">Rizgari</t>
  </si>
  <si>
    <t xml:space="preserve">رزكاري</t>
  </si>
  <si>
    <t xml:space="preserve">Sector 1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</si>
  <si>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</si>
  <si>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Sector 2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</si>
  <si>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</si>
  <si>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Sector 3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</si>
  <si>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</si>
  <si>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Sector 4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</si>
  <si>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</si>
  <si>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Sector 5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</si>
  <si>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</si>
  <si>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Sector 6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</si>
  <si>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6</t>
    </r>
  </si>
  <si>
    <t xml:space="preserve">Sector 7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</si>
  <si>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7</t>
    </r>
  </si>
  <si>
    <t xml:space="preserve">Sector 8</t>
  </si>
  <si>
    <r>
      <rPr>
        <sz val="10"/>
        <color rgb="FF000000"/>
        <rFont val="Lohit Devanagari"/>
        <family val="2"/>
      </rPr>
      <t xml:space="preserve">قطاع </t>
    </r>
    <r>
      <rPr>
        <sz val="10"/>
        <color rgb="FF000000"/>
        <rFont val="Arial Narrow"/>
        <family val="2"/>
        <charset val="1"/>
      </rPr>
      <t xml:space="preserve">8</t>
    </r>
  </si>
  <si>
    <t xml:space="preserve">Tiyano Shinava</t>
  </si>
  <si>
    <t xml:space="preserve">تيان و شينافا</t>
  </si>
  <si>
    <t xml:space="preserve">Al-Khalis</t>
  </si>
  <si>
    <t xml:space="preserve">Al Askary Qtr</t>
  </si>
  <si>
    <t xml:space="preserve">Al Dojama</t>
  </si>
  <si>
    <t xml:space="preserve">الدوجمة</t>
  </si>
  <si>
    <t xml:space="preserve">Al Ghalbiya</t>
  </si>
  <si>
    <t xml:space="preserve">الغالبية</t>
  </si>
  <si>
    <t xml:space="preserve">Al Gserin Village</t>
  </si>
  <si>
    <t xml:space="preserve">قرية كصيرين</t>
  </si>
  <si>
    <t xml:space="preserve">Al Hadid</t>
  </si>
  <si>
    <t xml:space="preserve">الحديد</t>
  </si>
  <si>
    <t xml:space="preserve">Al Hadid Old</t>
  </si>
  <si>
    <t xml:space="preserve">الحديد القديمة</t>
  </si>
  <si>
    <t xml:space="preserve">Al Hadid-Al Benook Qtr</t>
  </si>
  <si>
    <r>
      <rPr>
        <sz val="10"/>
        <color rgb="FF000000"/>
        <rFont val="Lohit Devanagari"/>
        <family val="2"/>
      </rPr>
      <t xml:space="preserve">الحديد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البنوك</t>
    </r>
  </si>
  <si>
    <t xml:space="preserve">Al Makareen Village</t>
  </si>
  <si>
    <t xml:space="preserve">قرية المكاريين</t>
  </si>
  <si>
    <t xml:space="preserve">Al Mashroo Village</t>
  </si>
  <si>
    <t xml:space="preserve">قرية المشروع</t>
  </si>
  <si>
    <t xml:space="preserve">Al Mohandseen Alzraeen Village</t>
  </si>
  <si>
    <t xml:space="preserve">قرية المهندسين الزراعيين</t>
  </si>
  <si>
    <t xml:space="preserve">Al Qadissiya Qtr</t>
  </si>
  <si>
    <t xml:space="preserve">Al Romelat Village</t>
  </si>
  <si>
    <t xml:space="preserve">قرية الرميلات</t>
  </si>
  <si>
    <t xml:space="preserve">Al Sadah Al Neeam Village</t>
  </si>
  <si>
    <t xml:space="preserve">قرية السادة النعيم</t>
  </si>
  <si>
    <t xml:space="preserve">Al Sadah Village</t>
  </si>
  <si>
    <t xml:space="preserve">قرية السادة</t>
  </si>
  <si>
    <r>
      <rPr>
        <sz val="10"/>
        <color rgb="FF000000"/>
        <rFont val="Lohit Devanagari"/>
        <family val="2"/>
      </rPr>
      <t xml:space="preserve">ناحية السلام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مركز الناحية</t>
    </r>
  </si>
  <si>
    <t xml:space="preserve">Al Shuhadaa Qtr</t>
  </si>
  <si>
    <t xml:space="preserve">Al Sindiyah village</t>
  </si>
  <si>
    <t xml:space="preserve">قرية السندية</t>
  </si>
  <si>
    <t xml:space="preserve">Albu Bali</t>
  </si>
  <si>
    <t xml:space="preserve">البوبالي</t>
  </si>
  <si>
    <t xml:space="preserve">Ali Al Abdulla Village</t>
  </si>
  <si>
    <t xml:space="preserve">قرية علي العبد الله</t>
  </si>
  <si>
    <t xml:space="preserve">Arab Hafedh Village</t>
  </si>
  <si>
    <t xml:space="preserve">قرية عرب حافظ</t>
  </si>
  <si>
    <t xml:space="preserve">Arab Hamdan Village</t>
  </si>
  <si>
    <t xml:space="preserve">قرية عرب حمدان</t>
  </si>
  <si>
    <t xml:space="preserve">Arab Shanon</t>
  </si>
  <si>
    <t xml:space="preserve">عرب شعنون</t>
  </si>
  <si>
    <t xml:space="preserve">Arab Tetn village</t>
  </si>
  <si>
    <t xml:space="preserve">قرية عرب تتن</t>
  </si>
  <si>
    <t xml:space="preserve">Dalli Abass-Al Dhobat Qtr</t>
  </si>
  <si>
    <r>
      <rPr>
        <sz val="10"/>
        <color rgb="FF000000"/>
        <rFont val="Lohit Devanagari"/>
        <family val="2"/>
      </rPr>
      <t xml:space="preserve">دلي عباس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الضباط</t>
    </r>
  </si>
  <si>
    <t xml:space="preserve">Dalli Abass-Kurd Ali Qtr</t>
  </si>
  <si>
    <r>
      <rPr>
        <sz val="10"/>
        <color rgb="FF000000"/>
        <rFont val="Lohit Devanagari"/>
        <family val="2"/>
      </rPr>
      <t xml:space="preserve">دلي عباس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كرد علي</t>
    </r>
  </si>
  <si>
    <t xml:space="preserve">Dawod Al Salom Village</t>
  </si>
  <si>
    <t xml:space="preserve">قرية داوود السلوم</t>
  </si>
  <si>
    <t xml:space="preserve">Hawaish Village</t>
  </si>
  <si>
    <t xml:space="preserve">قرية الحويش</t>
  </si>
  <si>
    <t xml:space="preserve">Hibhib-Abo Khurda Village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</si>
  <si>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ابو خردة</t>
    </r>
  </si>
  <si>
    <t xml:space="preserve">Hibhib-Al Asry Qtr</t>
  </si>
  <si>
    <t xml:space="preserve">الحي العصري</t>
  </si>
  <si>
    <t xml:space="preserve">Hibhib-Al Hashmya Village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</si>
  <si>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الهاشمية</t>
    </r>
  </si>
  <si>
    <t xml:space="preserve">Hibhib-Al Lokmanya Village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</si>
  <si>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اللقمانية</t>
    </r>
  </si>
  <si>
    <t xml:space="preserve">Hibhib-Al Raga Village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</si>
  <si>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الركة</t>
    </r>
  </si>
  <si>
    <t xml:space="preserve">Hibhib-Al Shohadaa Qtr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</si>
  <si>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الشهداء</t>
    </r>
  </si>
  <si>
    <t xml:space="preserve">Hibhib-Al Yarmook Village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</si>
  <si>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اليرموك</t>
    </r>
  </si>
  <si>
    <t xml:space="preserve">Hibhib-Hay Al Resala</t>
  </si>
  <si>
    <r>
      <rPr>
        <sz val="10"/>
        <color rgb="FF000000"/>
        <rFont val="Lohit Devanagari"/>
        <family val="2"/>
      </rPr>
      <t xml:space="preserve">هبهب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الرسالة</t>
    </r>
  </si>
  <si>
    <t xml:space="preserve">Jadidat Al Shat village</t>
  </si>
  <si>
    <t xml:space="preserve">قرية جديدة الشط</t>
  </si>
  <si>
    <t xml:space="preserve">Mansouryat Alshat Village</t>
  </si>
  <si>
    <t xml:space="preserve">قرية منصورية الشط</t>
  </si>
  <si>
    <t xml:space="preserve">Markaz Al Khalis</t>
  </si>
  <si>
    <t xml:space="preserve">مركز الخالص</t>
  </si>
  <si>
    <t xml:space="preserve">Markaz Hibhib</t>
  </si>
  <si>
    <t xml:space="preserve">مركز هبهب</t>
  </si>
  <si>
    <t xml:space="preserve">Mujadad village</t>
  </si>
  <si>
    <t xml:space="preserve">قرية المجدد</t>
  </si>
  <si>
    <t xml:space="preserve">Saif Saad Qtr</t>
  </si>
  <si>
    <t xml:space="preserve">حي سيف سعد</t>
  </si>
  <si>
    <t xml:space="preserve">Al-Muqdadiya</t>
  </si>
  <si>
    <t xml:space="preserve">Al Abaraa Village</t>
  </si>
  <si>
    <t xml:space="preserve">قرية العبارة</t>
  </si>
  <si>
    <t xml:space="preserve">Ba'quba</t>
  </si>
  <si>
    <t xml:space="preserve">Al Asri Qtr</t>
  </si>
  <si>
    <t xml:space="preserve">حي العصري</t>
  </si>
  <si>
    <t xml:space="preserve">Al Badaa Village</t>
  </si>
  <si>
    <t xml:space="preserve">Al Dawasir Qtr</t>
  </si>
  <si>
    <t xml:space="preserve">حي الدواسر</t>
  </si>
  <si>
    <t xml:space="preserve">Al Doryeen Village</t>
  </si>
  <si>
    <t xml:space="preserve">قرية الدوريين</t>
  </si>
  <si>
    <t xml:space="preserve">Al Gatoon-Al Mujama Qtr</t>
  </si>
  <si>
    <r>
      <rPr>
        <sz val="10"/>
        <color rgb="FF000000"/>
        <rFont val="Lohit Devanagari"/>
        <family val="2"/>
      </rPr>
      <t xml:space="preserve">الكاطون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المجمع</t>
    </r>
  </si>
  <si>
    <t xml:space="preserve">Al Gatoon-Al rahma</t>
  </si>
  <si>
    <r>
      <rPr>
        <sz val="10"/>
        <color rgb="FF000000"/>
        <rFont val="Lohit Devanagari"/>
        <family val="2"/>
      </rPr>
      <t xml:space="preserve">الكاطون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الرحمة</t>
    </r>
  </si>
  <si>
    <t xml:space="preserve">Al Gatoon-Al Yarmook Qtr</t>
  </si>
  <si>
    <r>
      <rPr>
        <sz val="10"/>
        <color rgb="FF000000"/>
        <rFont val="Lohit Devanagari"/>
        <family val="2"/>
      </rPr>
      <t xml:space="preserve">الكاطون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اليرموك</t>
    </r>
  </si>
  <si>
    <t xml:space="preserve">Al Hawidar</t>
  </si>
  <si>
    <t xml:space="preserve">الهويدر</t>
  </si>
  <si>
    <t xml:space="preserve">Al Intesar-1 Qtr</t>
  </si>
  <si>
    <r>
      <rPr>
        <sz val="10"/>
        <color rgb="FF000000"/>
        <rFont val="Lohit Devanagari"/>
        <family val="2"/>
      </rPr>
      <t xml:space="preserve">حي الانتصار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</si>
  <si>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Karama village</t>
  </si>
  <si>
    <t xml:space="preserve">قرية الكرامة </t>
  </si>
  <si>
    <t xml:space="preserve">Al Khadra Qtr</t>
  </si>
  <si>
    <t xml:space="preserve">Al Mafraq</t>
  </si>
  <si>
    <t xml:space="preserve">المفرق</t>
  </si>
  <si>
    <t xml:space="preserve">Al Mashtl Qtr</t>
  </si>
  <si>
    <t xml:space="preserve">Al Nasr Qtr</t>
  </si>
  <si>
    <t xml:space="preserve">Al Oroba Qtr</t>
  </si>
  <si>
    <t xml:space="preserve">Al Qadisiya Qtr</t>
  </si>
  <si>
    <t xml:space="preserve">Al Rasool Qtr</t>
  </si>
  <si>
    <t xml:space="preserve">Al Resala Qtr</t>
  </si>
  <si>
    <t xml:space="preserve">Al Sabtiyah village</t>
  </si>
  <si>
    <t xml:space="preserve">قرية السبتية</t>
  </si>
  <si>
    <t xml:space="preserve">Al Sadah village</t>
  </si>
  <si>
    <t xml:space="preserve">قرية السادة </t>
  </si>
  <si>
    <t xml:space="preserve">قرية السعادة</t>
  </si>
  <si>
    <t xml:space="preserve">Al Sadiq Qtr</t>
  </si>
  <si>
    <t xml:space="preserve">Al Salam Qtr</t>
  </si>
  <si>
    <t xml:space="preserve">Al Shikh village</t>
  </si>
  <si>
    <t xml:space="preserve">قرية الشيخ </t>
  </si>
  <si>
    <t xml:space="preserve">Al Shrika Qtr</t>
  </si>
  <si>
    <t xml:space="preserve">حي الشركة</t>
  </si>
  <si>
    <t xml:space="preserve">Al Tahreer</t>
  </si>
  <si>
    <t xml:space="preserve">التحرير</t>
  </si>
  <si>
    <t xml:space="preserve">Al Takiya</t>
  </si>
  <si>
    <t xml:space="preserve">التكية </t>
  </si>
  <si>
    <t xml:space="preserve">Al-Manjara Village</t>
  </si>
  <si>
    <t xml:space="preserve">قرية المنجرة</t>
  </si>
  <si>
    <t xml:space="preserve">Al-Mualimeen-Shahid wadah Qtr</t>
  </si>
  <si>
    <r>
      <rPr>
        <sz val="10"/>
        <color rgb="FF000000"/>
        <rFont val="Lohit Devanagari"/>
        <family val="2"/>
      </rPr>
      <t xml:space="preserve">حي المعلمين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الشهيد وضاح</t>
    </r>
  </si>
  <si>
    <t xml:space="preserve">Al-Mualmeen Qtr</t>
  </si>
  <si>
    <t xml:space="preserve">Al-Mustafa Qtr</t>
  </si>
  <si>
    <t xml:space="preserve">Al-Qatoon-Al Raazi Qtr</t>
  </si>
  <si>
    <r>
      <rPr>
        <sz val="10"/>
        <color rgb="FF000000"/>
        <rFont val="Lohit Devanagari"/>
        <family val="2"/>
      </rPr>
      <t xml:space="preserve">الكاطون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الرازي</t>
    </r>
  </si>
  <si>
    <t xml:space="preserve">Al-Shuhada Qtr</t>
  </si>
  <si>
    <t xml:space="preserve">Al-Sumud Qtr</t>
  </si>
  <si>
    <t xml:space="preserve">Al-Swamra village</t>
  </si>
  <si>
    <t xml:space="preserve">قرية السوامرة</t>
  </si>
  <si>
    <t xml:space="preserve">Bane Saad-Al-Askari Qtr</t>
  </si>
  <si>
    <t xml:space="preserve">Bani Saad-Al Salam Qtr</t>
  </si>
  <si>
    <r>
      <rPr>
        <sz val="10"/>
        <color rgb="FF000000"/>
        <rFont val="Lohit Devanagari"/>
        <family val="2"/>
      </rPr>
      <t xml:space="preserve">بني سعد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السلام</t>
    </r>
  </si>
  <si>
    <t xml:space="preserve">Bani Saad-Ali Al Hady Qtr</t>
  </si>
  <si>
    <r>
      <rPr>
        <sz val="10"/>
        <color rgb="FF000000"/>
        <rFont val="Lohit Devanagari"/>
        <family val="2"/>
      </rPr>
      <t xml:space="preserve">بني سعد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علي الهادي</t>
    </r>
  </si>
  <si>
    <t xml:space="preserve">Bani Saad-Zahraa Qtr</t>
  </si>
  <si>
    <r>
      <rPr>
        <sz val="10"/>
        <color rgb="FF000000"/>
        <rFont val="Lohit Devanagari"/>
        <family val="2"/>
      </rPr>
      <t xml:space="preserve">بني سعد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زهراء</t>
    </r>
  </si>
  <si>
    <t xml:space="preserve">Buhriz-Abdulah Jasim village</t>
  </si>
  <si>
    <t xml:space="preserve">قرية عبد الله جاسم</t>
  </si>
  <si>
    <t xml:space="preserve">Buhriz-Al Bwadish village</t>
  </si>
  <si>
    <t xml:space="preserve">قرية البواديش</t>
  </si>
  <si>
    <t xml:space="preserve">Buhriz-Al-Asri Qtr</t>
  </si>
  <si>
    <r>
      <rPr>
        <sz val="10"/>
        <color rgb="FF000000"/>
        <rFont val="Lohit Devanagari"/>
        <family val="2"/>
      </rPr>
      <t xml:space="preserve">بهرز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الحي العصري</t>
    </r>
  </si>
  <si>
    <t xml:space="preserve">Buhriz-Al-Mustafa Qtr</t>
  </si>
  <si>
    <r>
      <rPr>
        <sz val="10"/>
        <color rgb="FF000000"/>
        <rFont val="Lohit Devanagari"/>
        <family val="2"/>
      </rPr>
      <t xml:space="preserve">بهرز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المصطفى</t>
    </r>
  </si>
  <si>
    <t xml:space="preserve">Buhriz-Borgha Qtr</t>
  </si>
  <si>
    <r>
      <rPr>
        <sz val="10"/>
        <color rgb="FF000000"/>
        <rFont val="Lohit Devanagari"/>
        <family val="2"/>
      </rPr>
      <t xml:space="preserve">بهرز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برغة</t>
    </r>
  </si>
  <si>
    <t xml:space="preserve">Buhriz-Shatib village</t>
  </si>
  <si>
    <t xml:space="preserve">قرية شطب</t>
  </si>
  <si>
    <t xml:space="preserve">Dor Mindli Qtr</t>
  </si>
  <si>
    <t xml:space="preserve">حي دور مندلي</t>
  </si>
  <si>
    <t xml:space="preserve">Ejbainat village</t>
  </si>
  <si>
    <t xml:space="preserve">قرية جبينات</t>
  </si>
  <si>
    <t xml:space="preserve">Fars Tarish Village</t>
  </si>
  <si>
    <t xml:space="preserve">قرية فارس طارش</t>
  </si>
  <si>
    <t xml:space="preserve">Had Al-Akhdhar village</t>
  </si>
  <si>
    <t xml:space="preserve">قرية الحد الاخضر </t>
  </si>
  <si>
    <t xml:space="preserve">Had Mekser</t>
  </si>
  <si>
    <t xml:space="preserve">حد مكسر</t>
  </si>
  <si>
    <t xml:space="preserve">Jorf Al Milih Qtr</t>
  </si>
  <si>
    <t xml:space="preserve">حي جرف الملح</t>
  </si>
  <si>
    <t xml:space="preserve">Kanbar Village</t>
  </si>
  <si>
    <t xml:space="preserve">قرية قنبر</t>
  </si>
  <si>
    <t xml:space="preserve">Khamis Village</t>
  </si>
  <si>
    <t xml:space="preserve">قرية خميس</t>
  </si>
  <si>
    <t xml:space="preserve">Khirnabat village</t>
  </si>
  <si>
    <t xml:space="preserve">قرية خرنابات </t>
  </si>
  <si>
    <t xml:space="preserve">Markaz Al Abara</t>
  </si>
  <si>
    <t xml:space="preserve">مركز ناحية العبارة</t>
  </si>
  <si>
    <t xml:space="preserve">Markaz Kanaan</t>
  </si>
  <si>
    <t xml:space="preserve">مركز ناحية كنعان </t>
  </si>
  <si>
    <t xml:space="preserve">Mohamed sakran</t>
  </si>
  <si>
    <t xml:space="preserve">محمد سكران</t>
  </si>
  <si>
    <t xml:space="preserve">Muskar Saad Camp</t>
  </si>
  <si>
    <t xml:space="preserve">مخيم معسكر سعد</t>
  </si>
  <si>
    <t xml:space="preserve">Muskar Saad Qtr</t>
  </si>
  <si>
    <t xml:space="preserve">حي معسكر سعد </t>
  </si>
  <si>
    <t xml:space="preserve">Nahr Al-Hajiyah Qtr</t>
  </si>
  <si>
    <t xml:space="preserve">حي نهر الحجية</t>
  </si>
  <si>
    <t xml:space="preserve">Nahr Alshikh Village</t>
  </si>
  <si>
    <t xml:space="preserve">قرية نهر الشيخ</t>
  </si>
  <si>
    <t xml:space="preserve">Nahr Ibraheem Village</t>
  </si>
  <si>
    <t xml:space="preserve">قرية نهر ابراهيم</t>
  </si>
  <si>
    <t xml:space="preserve">Nahr Shekh Tamem Village</t>
  </si>
  <si>
    <t xml:space="preserve">قرية نهر شيخ تميم</t>
  </si>
  <si>
    <t xml:space="preserve">New Baquba Qtr</t>
  </si>
  <si>
    <t xml:space="preserve">حي بعقوبة الجديدة</t>
  </si>
  <si>
    <t xml:space="preserve">Sesbana Village</t>
  </si>
  <si>
    <t xml:space="preserve">قرية سيسبانه</t>
  </si>
  <si>
    <t xml:space="preserve">Shiftah Village</t>
  </si>
  <si>
    <t xml:space="preserve">قرية شفته </t>
  </si>
  <si>
    <t xml:space="preserve">Um Al Edam Village</t>
  </si>
  <si>
    <t xml:space="preserve">قرية ام العظام</t>
  </si>
  <si>
    <t xml:space="preserve">Zahrah Village</t>
  </si>
  <si>
    <t xml:space="preserve">قرية زهرة </t>
  </si>
  <si>
    <t xml:space="preserve">Baladrooz</t>
  </si>
  <si>
    <t xml:space="preserve">Al Bazaniya village</t>
  </si>
  <si>
    <t xml:space="preserve">قرية البزانية</t>
  </si>
  <si>
    <t xml:space="preserve">Al-Asri Qtr</t>
  </si>
  <si>
    <t xml:space="preserve">Al-Fath Qtr</t>
  </si>
  <si>
    <t xml:space="preserve">حي الفتح</t>
  </si>
  <si>
    <t xml:space="preserve">Al-Ramaila Village</t>
  </si>
  <si>
    <t xml:space="preserve">Al-Sadrania village</t>
  </si>
  <si>
    <t xml:space="preserve">قرية الصدرانية</t>
  </si>
  <si>
    <t xml:space="preserve">Dur Mandiliy Qtr</t>
  </si>
  <si>
    <t xml:space="preserve">Eksairat village</t>
  </si>
  <si>
    <t xml:space="preserve">قرية كسيرات</t>
  </si>
  <si>
    <t xml:space="preserve">Hay Al Bakir</t>
  </si>
  <si>
    <t xml:space="preserve">حي البكر</t>
  </si>
  <si>
    <t xml:space="preserve">Jame Al-Rhman Village</t>
  </si>
  <si>
    <t xml:space="preserve">قرية جامع الرحمان</t>
  </si>
  <si>
    <t xml:space="preserve">Markaz Mandali</t>
  </si>
  <si>
    <t xml:space="preserve">مركز مندلي</t>
  </si>
  <si>
    <t xml:space="preserve">Shah Ali Village</t>
  </si>
  <si>
    <t xml:space="preserve">قرية شاه علي</t>
  </si>
  <si>
    <t xml:space="preserve">Khanaqin</t>
  </si>
  <si>
    <t xml:space="preserve">Agha and Khalifa</t>
  </si>
  <si>
    <t xml:space="preserve">أغا وخليفة</t>
  </si>
  <si>
    <t xml:space="preserve">Ahmed Hilal village</t>
  </si>
  <si>
    <t xml:space="preserve">قرية احمد هلال</t>
  </si>
  <si>
    <t xml:space="preserve">Ahmed Taher Village</t>
  </si>
  <si>
    <t xml:space="preserve">قرية احمد طاهر</t>
  </si>
  <si>
    <t xml:space="preserve">Al Askari Qtr</t>
  </si>
  <si>
    <t xml:space="preserve">حي عسكري</t>
  </si>
  <si>
    <t xml:space="preserve">Al Ukhwah village</t>
  </si>
  <si>
    <t xml:space="preserve">قرية الاخوة</t>
  </si>
  <si>
    <t xml:space="preserve">Al Wand 2 Camp</t>
  </si>
  <si>
    <r>
      <rPr>
        <sz val="10"/>
        <color rgb="FF000000"/>
        <rFont val="Lohit Devanagari"/>
        <family val="2"/>
      </rPr>
      <t xml:space="preserve">مخيم الوند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</si>
  <si>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aldarawsha village</t>
  </si>
  <si>
    <t xml:space="preserve">قرية الدراوشة</t>
  </si>
  <si>
    <t xml:space="preserve">Ali Beck village</t>
  </si>
  <si>
    <t xml:space="preserve">قرية علي بيك</t>
  </si>
  <si>
    <t xml:space="preserve">Ali Murad village</t>
  </si>
  <si>
    <t xml:space="preserve">قرية علي مراد</t>
  </si>
  <si>
    <t xml:space="preserve">Ali Saadoun village</t>
  </si>
  <si>
    <t xml:space="preserve">قرية علي سعدون</t>
  </si>
  <si>
    <t xml:space="preserve">alkalah village</t>
  </si>
  <si>
    <t xml:space="preserve">قرية القلعة</t>
  </si>
  <si>
    <t xml:space="preserve">alkubeah small village</t>
  </si>
  <si>
    <t xml:space="preserve">قرية الكبية الصغيرة</t>
  </si>
  <si>
    <t xml:space="preserve">Alshortah Qtr</t>
  </si>
  <si>
    <t xml:space="preserve">Arkawazi Qtr</t>
  </si>
  <si>
    <t xml:space="preserve">حي اركوازي</t>
  </si>
  <si>
    <t xml:space="preserve">Bahari Taza Area</t>
  </si>
  <si>
    <t xml:space="preserve">منطقة بهار تازة</t>
  </si>
  <si>
    <t xml:space="preserve">Bakhtiari Qtr</t>
  </si>
  <si>
    <t xml:space="preserve">حي بختياري</t>
  </si>
  <si>
    <t xml:space="preserve">bani arkab village</t>
  </si>
  <si>
    <t xml:space="preserve">قرية بني اركاب</t>
  </si>
  <si>
    <t xml:space="preserve">Banmil-1 Qtr</t>
  </si>
  <si>
    <r>
      <rPr>
        <sz val="10"/>
        <color rgb="FF000000"/>
        <rFont val="Lohit Devanagari"/>
        <family val="2"/>
      </rPr>
      <t xml:space="preserve">حي بانميل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</si>
  <si>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Banmil-2 Qtr</t>
  </si>
  <si>
    <r>
      <rPr>
        <sz val="10"/>
        <color rgb="FF000000"/>
        <rFont val="Lohit Devanagari"/>
        <family val="2"/>
      </rPr>
      <t xml:space="preserve">حي بانميل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</si>
  <si>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Banmil-3 Qtr</t>
  </si>
  <si>
    <r>
      <rPr>
        <sz val="10"/>
        <color rgb="FF000000"/>
        <rFont val="Lohit Devanagari"/>
        <family val="2"/>
      </rPr>
      <t xml:space="preserve">حي بانميل</t>
    </r>
    <r>
      <rPr>
        <sz val="10"/>
        <color rgb="FF000000"/>
        <rFont val="Arial Narrow"/>
        <family val="2"/>
        <charset val="1"/>
      </rPr>
      <t xml:space="preserve">-3</t>
    </r>
  </si>
  <si>
    <t xml:space="preserve">Basha Kobry Qtr</t>
  </si>
  <si>
    <t xml:space="preserve">حي باشا كوبري</t>
  </si>
  <si>
    <t xml:space="preserve">Clay Hussein village</t>
  </si>
  <si>
    <t xml:space="preserve">قرية كلاي حسين</t>
  </si>
  <si>
    <t xml:space="preserve">Dara Konarh Qtr</t>
  </si>
  <si>
    <t xml:space="preserve">حي دارة كونارة</t>
  </si>
  <si>
    <t xml:space="preserve">darwish village</t>
  </si>
  <si>
    <t xml:space="preserve">قرية درويش</t>
  </si>
  <si>
    <t xml:space="preserve">Elean village</t>
  </si>
  <si>
    <t xml:space="preserve">قرية عليان</t>
  </si>
  <si>
    <t xml:space="preserve">habib Abdullah village</t>
  </si>
  <si>
    <t xml:space="preserve">قرية حبيب عبد الله</t>
  </si>
  <si>
    <t xml:space="preserve">Hassan Garad Village</t>
  </si>
  <si>
    <t xml:space="preserve">قرية حسن جراد</t>
  </si>
  <si>
    <t xml:space="preserve">Ibrahim bek village</t>
  </si>
  <si>
    <t xml:space="preserve">قرية ابراهيم بيك</t>
  </si>
  <si>
    <t xml:space="preserve">Imam Abass Qtr</t>
  </si>
  <si>
    <t xml:space="preserve">حي إمام عباس</t>
  </si>
  <si>
    <t xml:space="preserve">Jibraoh village</t>
  </si>
  <si>
    <t xml:space="preserve">قرية جبراوة</t>
  </si>
  <si>
    <t xml:space="preserve">kader bek village</t>
  </si>
  <si>
    <t xml:space="preserve">قرية قادر بيك</t>
  </si>
  <si>
    <t xml:space="preserve">Kahriaz Sofla Area</t>
  </si>
  <si>
    <t xml:space="preserve">منطقة كهريز السفلى</t>
  </si>
  <si>
    <t xml:space="preserve">Kallat(Al Wand 1 Camp)</t>
  </si>
  <si>
    <r>
      <rPr>
        <sz val="10"/>
        <color rgb="FF000000"/>
        <rFont val="Lohit Devanagari"/>
        <family val="2"/>
      </rPr>
      <t xml:space="preserve">كلات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مخيم الوند </t>
    </r>
    <r>
      <rPr>
        <sz val="10"/>
        <color rgb="FF000000"/>
        <rFont val="Arial Narrow"/>
        <family val="2"/>
        <charset val="1"/>
      </rPr>
      <t xml:space="preserve">1)</t>
    </r>
  </si>
  <si>
    <t xml:space="preserve">Karim alDaoud village</t>
  </si>
  <si>
    <t xml:space="preserve">قرية كريم الداود</t>
  </si>
  <si>
    <t xml:space="preserve">Malik Shah Qtr</t>
  </si>
  <si>
    <t xml:space="preserve">حي ملك شاه</t>
  </si>
  <si>
    <t xml:space="preserve">Mazrah Qtr</t>
  </si>
  <si>
    <t xml:space="preserve">حي مزرعة</t>
  </si>
  <si>
    <t xml:space="preserve">Mekhas Village</t>
  </si>
  <si>
    <r>
      <rPr>
        <sz val="10"/>
        <color rgb="FF000000"/>
        <rFont val="Lohit Devanagari"/>
        <family val="2"/>
      </rPr>
      <t xml:space="preserve">قرية ميخاس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ملا رحمن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</si>
  <si>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Mohammed Abbas village</t>
  </si>
  <si>
    <t xml:space="preserve">قرية محمد عباس</t>
  </si>
  <si>
    <t xml:space="preserve">mohammed humeli village</t>
  </si>
  <si>
    <t xml:space="preserve">قرية محمد هميلي</t>
  </si>
  <si>
    <t xml:space="preserve">Mullah Aziz village</t>
  </si>
  <si>
    <t xml:space="preserve">قرية ملا عزيز</t>
  </si>
  <si>
    <t xml:space="preserve">Obara-1 Qtr</t>
  </si>
  <si>
    <r>
      <rPr>
        <sz val="10"/>
        <color rgb="FF000000"/>
        <rFont val="Lohit Devanagari"/>
        <family val="2"/>
      </rPr>
      <t xml:space="preserve">حي اوبارا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</si>
  <si>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Obara-2 Qtr</t>
  </si>
  <si>
    <r>
      <rPr>
        <sz val="10"/>
        <color rgb="FF000000"/>
        <rFont val="Lohit Devanagari"/>
        <family val="2"/>
      </rPr>
      <t xml:space="preserve">حي اوبارا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</si>
  <si>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Qoratu Camp</t>
  </si>
  <si>
    <t xml:space="preserve">قوارتو كامب</t>
  </si>
  <si>
    <t xml:space="preserve">Quramin village</t>
  </si>
  <si>
    <t xml:space="preserve">قرية قرامين</t>
  </si>
  <si>
    <t xml:space="preserve">Rahamalla Village</t>
  </si>
  <si>
    <t xml:space="preserve">قرية الرحاملة</t>
  </si>
  <si>
    <t xml:space="preserve">Rapren-1 Qtr</t>
  </si>
  <si>
    <r>
      <rPr>
        <sz val="10"/>
        <color rgb="FF000000"/>
        <rFont val="Lohit Devanagari"/>
        <family val="2"/>
      </rPr>
      <t xml:space="preserve">حي رابرين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</si>
  <si>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Rapren-2 Qtr</t>
  </si>
  <si>
    <r>
      <rPr>
        <sz val="10"/>
        <color rgb="FF000000"/>
        <rFont val="Lohit Devanagari"/>
        <family val="2"/>
      </rPr>
      <t xml:space="preserve">حي رابرين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</si>
  <si>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Salih Agha village</t>
  </si>
  <si>
    <t xml:space="preserve">قرية صالح اغا</t>
  </si>
  <si>
    <t xml:space="preserve">Shafiq village</t>
  </si>
  <si>
    <t xml:space="preserve">قرية شفيق</t>
  </si>
  <si>
    <t xml:space="preserve">Shaikh Mahdi village</t>
  </si>
  <si>
    <t xml:space="preserve">قرية شيخ مهدي</t>
  </si>
  <si>
    <t xml:space="preserve">Shakir village</t>
  </si>
  <si>
    <t xml:space="preserve">قرية شاكر</t>
  </si>
  <si>
    <t xml:space="preserve">sheark village</t>
  </si>
  <si>
    <t xml:space="preserve">قرية شيرك</t>
  </si>
  <si>
    <t xml:space="preserve">Sirwan Qtr</t>
  </si>
  <si>
    <t xml:space="preserve">حي سيروان</t>
  </si>
  <si>
    <t xml:space="preserve">Sparta Qtr</t>
  </si>
  <si>
    <t xml:space="preserve">حي سبارتا</t>
  </si>
  <si>
    <t xml:space="preserve">tal abbas village</t>
  </si>
  <si>
    <r>
      <rPr>
        <sz val="10"/>
        <color rgb="FF000000"/>
        <rFont val="Lohit Devanagari"/>
        <family val="2"/>
      </rPr>
      <t xml:space="preserve">قرية تل عباس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القاية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</si>
  <si>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Tal Manjal village</t>
  </si>
  <si>
    <t xml:space="preserve">قرية تل منجل</t>
  </si>
  <si>
    <t xml:space="preserve">Totk Village</t>
  </si>
  <si>
    <t xml:space="preserve">قرية توتك</t>
  </si>
  <si>
    <t xml:space="preserve">Tula Frosh Qtr</t>
  </si>
  <si>
    <t xml:space="preserve">حي تولا فروش</t>
  </si>
  <si>
    <t xml:space="preserve">Yosif Algaeed Village</t>
  </si>
  <si>
    <t xml:space="preserve">قرية يوسف الجايد</t>
  </si>
  <si>
    <t xml:space="preserve">Zurab village</t>
  </si>
  <si>
    <t xml:space="preserve">قرية زوراب</t>
  </si>
  <si>
    <t xml:space="preserve">Kifri</t>
  </si>
  <si>
    <t xml:space="preserve">12 Imam</t>
  </si>
  <si>
    <r>
      <rPr>
        <sz val="10"/>
        <color rgb="FF000000"/>
        <rFont val="Arial Narrow"/>
        <family val="2"/>
        <charset val="1"/>
      </rPr>
      <t xml:space="preserve">12 </t>
    </r>
    <r>
      <rPr>
        <sz val="10"/>
        <color rgb="FF000000"/>
        <rFont val="Lohit Devanagari"/>
        <family val="2"/>
      </rPr>
      <t xml:space="preserve">امام</t>
    </r>
  </si>
  <si>
    <t xml:space="preserve">Albishir village</t>
  </si>
  <si>
    <t xml:space="preserve">قرية البشر</t>
  </si>
  <si>
    <t xml:space="preserve">anfalakan</t>
  </si>
  <si>
    <t xml:space="preserve">انفالكان</t>
  </si>
  <si>
    <t xml:space="preserve">awbrey</t>
  </si>
  <si>
    <t xml:space="preserve">اوبري</t>
  </si>
  <si>
    <t xml:space="preserve">azadi</t>
  </si>
  <si>
    <t xml:space="preserve">ازدي</t>
  </si>
  <si>
    <t xml:space="preserve">Bakaly village</t>
  </si>
  <si>
    <r>
      <rPr>
        <sz val="10"/>
        <color rgb="FF000000"/>
        <rFont val="Lohit Devanagari"/>
        <family val="2"/>
      </rPr>
      <t xml:space="preserve">قرية بكالي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البجاجيل</t>
    </r>
    <r>
      <rPr>
        <sz val="10"/>
        <color rgb="FF000000"/>
        <rFont val="Arial Narrow"/>
        <family val="2"/>
        <charset val="1"/>
      </rPr>
      <t xml:space="preserve">)</t>
    </r>
  </si>
  <si>
    <t xml:space="preserve">bawa shaswar</t>
  </si>
  <si>
    <t xml:space="preserve">باوة شاسوار</t>
  </si>
  <si>
    <t xml:space="preserve">Dora village</t>
  </si>
  <si>
    <t xml:space="preserve">قرية دورة</t>
  </si>
  <si>
    <t xml:space="preserve">emam mohammed</t>
  </si>
  <si>
    <t xml:space="preserve">امام محمد</t>
  </si>
  <si>
    <t xml:space="preserve">Hawari new </t>
  </si>
  <si>
    <t xml:space="preserve">هواري نوي</t>
  </si>
  <si>
    <t xml:space="preserve">Khdran village</t>
  </si>
  <si>
    <t xml:space="preserve">قرية خضران</t>
  </si>
  <si>
    <t xml:space="preserve">Khozifah village</t>
  </si>
  <si>
    <t xml:space="preserve">قرية خزيفة</t>
  </si>
  <si>
    <t xml:space="preserve">mamostayan</t>
  </si>
  <si>
    <t xml:space="preserve">ماموستايان</t>
  </si>
  <si>
    <t xml:space="preserve">Markaz Jabara</t>
  </si>
  <si>
    <t xml:space="preserve">جبارة</t>
  </si>
  <si>
    <t xml:space="preserve">Nargis village</t>
  </si>
  <si>
    <t xml:space="preserve">قرية نرجس</t>
  </si>
  <si>
    <t xml:space="preserve">nawrooz</t>
  </si>
  <si>
    <t xml:space="preserve">Qaratappa</t>
  </si>
  <si>
    <t xml:space="preserve">قره تبه</t>
  </si>
  <si>
    <t xml:space="preserve">raparin</t>
  </si>
  <si>
    <t xml:space="preserve">رابرين</t>
  </si>
  <si>
    <t xml:space="preserve">rezgari</t>
  </si>
  <si>
    <t xml:space="preserve">sar qala</t>
  </si>
  <si>
    <t xml:space="preserve">سةرقةلا</t>
  </si>
  <si>
    <t xml:space="preserve">shoresh</t>
  </si>
  <si>
    <t xml:space="preserve">Choman</t>
  </si>
  <si>
    <t xml:space="preserve">Markez Qasre</t>
  </si>
  <si>
    <t xml:space="preserve">مركز قصري</t>
  </si>
  <si>
    <t xml:space="preserve">11 Athar</t>
  </si>
  <si>
    <r>
      <rPr>
        <sz val="10"/>
        <color rgb="FF000000"/>
        <rFont val="Arial Narrow"/>
        <family val="2"/>
        <charset val="1"/>
      </rPr>
      <t xml:space="preserve">11 </t>
    </r>
    <r>
      <rPr>
        <sz val="10"/>
        <color rgb="FF000000"/>
        <rFont val="Lohit Devanagari"/>
        <family val="2"/>
      </rPr>
      <t xml:space="preserve">اذار</t>
    </r>
  </si>
  <si>
    <t xml:space="preserve">Ainkawa(108)</t>
  </si>
  <si>
    <r>
      <rPr>
        <sz val="10"/>
        <color rgb="FF000000"/>
        <rFont val="Arial Narrow"/>
        <family val="2"/>
        <charset val="1"/>
      </rPr>
      <t xml:space="preserve">108 </t>
    </r>
    <r>
      <rPr>
        <sz val="10"/>
        <color rgb="FF000000"/>
        <rFont val="Lohit Devanagari"/>
        <family val="2"/>
      </rPr>
      <t xml:space="preserve">عنكاوة</t>
    </r>
  </si>
  <si>
    <t xml:space="preserve">Akad</t>
  </si>
  <si>
    <t xml:space="preserve">اكاد</t>
  </si>
  <si>
    <t xml:space="preserve">Al Eskan</t>
  </si>
  <si>
    <t xml:space="preserve">Al Qala(Hay khanaqa)</t>
  </si>
  <si>
    <r>
      <rPr>
        <sz val="10"/>
        <color rgb="FF000000"/>
        <rFont val="Lohit Devanagari"/>
        <family val="2"/>
      </rPr>
      <t xml:space="preserve">القلعه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خانقا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</si>
  <si>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Qalaa(Hay al arab)</t>
  </si>
  <si>
    <r>
      <rPr>
        <sz val="10"/>
        <color rgb="FF000000"/>
        <rFont val="Lohit Devanagari"/>
        <family val="2"/>
      </rPr>
      <t xml:space="preserve">القلعه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العرب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</si>
  <si>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Qalaa(Tajeel Qr)</t>
  </si>
  <si>
    <r>
      <rPr>
        <sz val="10"/>
        <color rgb="FF000000"/>
        <rFont val="Lohit Devanagari"/>
        <family val="2"/>
      </rPr>
      <t xml:space="preserve">القلعه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تعجيل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</si>
  <si>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Rihab</t>
  </si>
  <si>
    <t xml:space="preserve">الرحاب</t>
  </si>
  <si>
    <t xml:space="preserve">Al Saxra Complex </t>
  </si>
  <si>
    <t xml:space="preserve">مجمع الصخرة</t>
  </si>
  <si>
    <t xml:space="preserve">Al-Shurtta Qr</t>
  </si>
  <si>
    <t xml:space="preserve">Al-Ziraa Qr</t>
  </si>
  <si>
    <t xml:space="preserve">حي الزراعة</t>
  </si>
  <si>
    <t xml:space="preserve">Andazyaran</t>
  </si>
  <si>
    <t xml:space="preserve">ئه ندازياران</t>
  </si>
  <si>
    <t xml:space="preserve">Andazyaran Complex</t>
  </si>
  <si>
    <t xml:space="preserve">مجمع اندزياران السكني</t>
  </si>
  <si>
    <t xml:space="preserve">Ashti Camp</t>
  </si>
  <si>
    <t xml:space="preserve">اشتي كمب</t>
  </si>
  <si>
    <t xml:space="preserve">Ashty</t>
  </si>
  <si>
    <t xml:space="preserve">اشتي</t>
  </si>
  <si>
    <t xml:space="preserve">Ashty 2</t>
  </si>
  <si>
    <r>
      <rPr>
        <sz val="10"/>
        <color rgb="FF000000"/>
        <rFont val="Lohit Devanagari"/>
        <family val="2"/>
      </rPr>
      <t xml:space="preserve">اشتي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</si>
  <si>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Atlantic</t>
  </si>
  <si>
    <t xml:space="preserve">اتلانتك</t>
  </si>
  <si>
    <t xml:space="preserve">Aynda</t>
  </si>
  <si>
    <t xml:space="preserve">آينده</t>
  </si>
  <si>
    <t xml:space="preserve">Aynda 2</t>
  </si>
  <si>
    <r>
      <rPr>
        <sz val="10"/>
        <color rgb="FF000000"/>
        <rFont val="Lohit Devanagari"/>
        <family val="2"/>
      </rPr>
      <t xml:space="preserve">اينده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</si>
  <si>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Bahar</t>
  </si>
  <si>
    <t xml:space="preserve">بهار</t>
  </si>
  <si>
    <t xml:space="preserve">Baharka Camp</t>
  </si>
  <si>
    <t xml:space="preserve">كمب بحركه</t>
  </si>
  <si>
    <t xml:space="preserve">bahrka al jadeda</t>
  </si>
  <si>
    <t xml:space="preserve">بحركه الجديده</t>
  </si>
  <si>
    <t xml:space="preserve">Bahrka center</t>
  </si>
  <si>
    <t xml:space="preserve">مركز بحركة</t>
  </si>
  <si>
    <t xml:space="preserve">Bahrka gulan</t>
  </si>
  <si>
    <t xml:space="preserve">بحركه كولان</t>
  </si>
  <si>
    <t xml:space="preserve">Byaban</t>
  </si>
  <si>
    <t xml:space="preserve">بيابان</t>
  </si>
  <si>
    <t xml:space="preserve">Byaban Village</t>
  </si>
  <si>
    <t xml:space="preserve">قريه بيابان </t>
  </si>
  <si>
    <t xml:space="preserve">Chwarchra-Banslawa</t>
  </si>
  <si>
    <r>
      <rPr>
        <sz val="10"/>
        <color rgb="FF000000"/>
        <rFont val="Lohit Devanagari"/>
        <family val="2"/>
      </rPr>
      <t xml:space="preserve">جوارجرا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بنصلاوة</t>
    </r>
  </si>
  <si>
    <t xml:space="preserve">Daratu-Brayati</t>
  </si>
  <si>
    <r>
      <rPr>
        <sz val="10"/>
        <color rgb="FF000000"/>
        <rFont val="Lohit Devanagari"/>
        <family val="2"/>
      </rPr>
      <t xml:space="preserve">داره تو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برايتي</t>
    </r>
  </si>
  <si>
    <t xml:space="preserve">Daratu-Nishtiman</t>
  </si>
  <si>
    <r>
      <rPr>
        <sz val="10"/>
        <color rgb="FF000000"/>
        <rFont val="Lohit Devanagari"/>
        <family val="2"/>
      </rPr>
      <t xml:space="preserve">داره تو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نيشتمان</t>
    </r>
  </si>
  <si>
    <t xml:space="preserve">Dartu Nwee</t>
  </si>
  <si>
    <t xml:space="preserve">داره تو نوي</t>
  </si>
  <si>
    <t xml:space="preserve">Du sara fatah</t>
  </si>
  <si>
    <t xml:space="preserve">دوسرة فتاح</t>
  </si>
  <si>
    <t xml:space="preserve">Erbil Gate</t>
  </si>
  <si>
    <t xml:space="preserve">بوابة اربيل</t>
  </si>
  <si>
    <t xml:space="preserve">Erbil-Qushtappa</t>
  </si>
  <si>
    <t xml:space="preserve">قوشتبة</t>
  </si>
  <si>
    <t xml:space="preserve">Ganjan</t>
  </si>
  <si>
    <t xml:space="preserve">كنجان</t>
  </si>
  <si>
    <t xml:space="preserve">Gazna</t>
  </si>
  <si>
    <t xml:space="preserve">كزنه</t>
  </si>
  <si>
    <t xml:space="preserve">Hadiab</t>
  </si>
  <si>
    <t xml:space="preserve">حدياب</t>
  </si>
  <si>
    <t xml:space="preserve">Harem</t>
  </si>
  <si>
    <t xml:space="preserve">هريم</t>
  </si>
  <si>
    <t xml:space="preserve">Harhsam 1</t>
  </si>
  <si>
    <r>
      <rPr>
        <sz val="10"/>
        <color rgb="FF000000"/>
        <rFont val="Lohit Devanagari"/>
        <family val="2"/>
      </rPr>
      <t xml:space="preserve">هرشم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</si>
  <si>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Harhsam 2</t>
  </si>
  <si>
    <r>
      <rPr>
        <sz val="10"/>
        <color rgb="FF000000"/>
        <rFont val="Lohit Devanagari"/>
        <family val="2"/>
      </rPr>
      <t xml:space="preserve">هرشم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</si>
  <si>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Harhsam 3</t>
  </si>
  <si>
    <r>
      <rPr>
        <sz val="10"/>
        <color rgb="FF000000"/>
        <rFont val="Lohit Devanagari"/>
        <family val="2"/>
      </rPr>
      <t xml:space="preserve">هرشم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</si>
  <si>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Harsham(Al Bohoth Al Zirayah)Camp</t>
  </si>
  <si>
    <r>
      <rPr>
        <sz val="10"/>
        <color rgb="FF000000"/>
        <rFont val="Lohit Devanagari"/>
        <family val="2"/>
      </rPr>
      <t xml:space="preserve">هرشم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كمب البحوث الزراعية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</si>
  <si>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Havalan</t>
  </si>
  <si>
    <t xml:space="preserve">هفالان</t>
  </si>
  <si>
    <t xml:space="preserve">Hawler city</t>
  </si>
  <si>
    <t xml:space="preserve">هولير ستي</t>
  </si>
  <si>
    <t xml:space="preserve">Hawler nwee</t>
  </si>
  <si>
    <t xml:space="preserve">هوليرنوي</t>
  </si>
  <si>
    <t xml:space="preserve">Hay Askary</t>
  </si>
  <si>
    <t xml:space="preserve">Heran City</t>
  </si>
  <si>
    <t xml:space="preserve">هيران ستي</t>
  </si>
  <si>
    <t xml:space="preserve">Ishtar</t>
  </si>
  <si>
    <t xml:space="preserve">عشتار</t>
  </si>
  <si>
    <t xml:space="preserve">Ishtar School</t>
  </si>
  <si>
    <t xml:space="preserve">مدرسه عشتار</t>
  </si>
  <si>
    <t xml:space="preserve">Kani Qarzhala</t>
  </si>
  <si>
    <t xml:space="preserve">كاني قرشالة</t>
  </si>
  <si>
    <t xml:space="preserve">Kany Gulan</t>
  </si>
  <si>
    <t xml:space="preserve">كاني كولان</t>
  </si>
  <si>
    <t xml:space="preserve">Karez</t>
  </si>
  <si>
    <t xml:space="preserve">كاريز</t>
  </si>
  <si>
    <t xml:space="preserve">Karizan</t>
  </si>
  <si>
    <t xml:space="preserve">كاريزان</t>
  </si>
  <si>
    <t xml:space="preserve">Kasnazan-1 Shubat</t>
  </si>
  <si>
    <r>
      <rPr>
        <sz val="10"/>
        <color rgb="FF000000"/>
        <rFont val="Lohit Devanagari"/>
        <family val="2"/>
      </rPr>
      <t xml:space="preserve">كسنزان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 شباط</t>
    </r>
  </si>
  <si>
    <t xml:space="preserve">Kawa Collective</t>
  </si>
  <si>
    <t xml:space="preserve">مجمع كاوه</t>
  </si>
  <si>
    <t xml:space="preserve">Kawergosk collective</t>
  </si>
  <si>
    <t xml:space="preserve">مجمع كوركوسك</t>
  </si>
  <si>
    <t xml:space="preserve">Kawergosk-Darashakran</t>
  </si>
  <si>
    <r>
      <rPr>
        <sz val="10"/>
        <color rgb="FF000000"/>
        <rFont val="Lohit Devanagari"/>
        <family val="2"/>
      </rPr>
      <t xml:space="preserve">كوركوسك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داره شكران</t>
    </r>
  </si>
  <si>
    <t xml:space="preserve">Khabat</t>
  </si>
  <si>
    <t xml:space="preserve">خبات</t>
  </si>
  <si>
    <t xml:space="preserve">Khoragr</t>
  </si>
  <si>
    <t xml:space="preserve">خوراكر</t>
  </si>
  <si>
    <t xml:space="preserve">Kurd Stan</t>
  </si>
  <si>
    <t xml:space="preserve">كوردستان</t>
  </si>
  <si>
    <t xml:space="preserve">Lawan city</t>
  </si>
  <si>
    <t xml:space="preserve">لاوان ستي</t>
  </si>
  <si>
    <t xml:space="preserve">Lebanon Village</t>
  </si>
  <si>
    <t xml:space="preserve">قريه لبنانيه </t>
  </si>
  <si>
    <t xml:space="preserve">Mala Omar</t>
  </si>
  <si>
    <t xml:space="preserve">ملا عمر</t>
  </si>
  <si>
    <t xml:space="preserve">Mamostayan</t>
  </si>
  <si>
    <t xml:space="preserve">Mamzawa</t>
  </si>
  <si>
    <t xml:space="preserve">مامزاوه</t>
  </si>
  <si>
    <t xml:space="preserve">Manara</t>
  </si>
  <si>
    <t xml:space="preserve">مناره</t>
  </si>
  <si>
    <t xml:space="preserve">Manara City</t>
  </si>
  <si>
    <t xml:space="preserve">منارة ستي</t>
  </si>
  <si>
    <t xml:space="preserve">Martshmony</t>
  </si>
  <si>
    <t xml:space="preserve">مارت شموني</t>
  </si>
  <si>
    <t xml:space="preserve">Mustawfi</t>
  </si>
  <si>
    <t xml:space="preserve">مستوفي</t>
  </si>
  <si>
    <t xml:space="preserve">Nawroz-Banslawa</t>
  </si>
  <si>
    <r>
      <rPr>
        <sz val="10"/>
        <color rgb="FF000000"/>
        <rFont val="Lohit Devanagari"/>
        <family val="2"/>
      </rPr>
      <t xml:space="preserve">نوروز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بنصلاوة</t>
    </r>
  </si>
  <si>
    <t xml:space="preserve">Nisthtiman Comercial Complex</t>
  </si>
  <si>
    <t xml:space="preserve">مجمع نشتيمان التجاري</t>
  </si>
  <si>
    <t xml:space="preserve">Nobel</t>
  </si>
  <si>
    <t xml:space="preserve">نوبل</t>
  </si>
  <si>
    <t xml:space="preserve">Ozal city</t>
  </si>
  <si>
    <t xml:space="preserve">مجمع اوزال</t>
  </si>
  <si>
    <t xml:space="preserve">Pank Village</t>
  </si>
  <si>
    <t xml:space="preserve">قريه بانك </t>
  </si>
  <si>
    <t xml:space="preserve">Perash</t>
  </si>
  <si>
    <t xml:space="preserve">بيرش</t>
  </si>
  <si>
    <t xml:space="preserve">perdawood</t>
  </si>
  <si>
    <t xml:space="preserve">بيرداود</t>
  </si>
  <si>
    <t xml:space="preserve">Pirzeen</t>
  </si>
  <si>
    <t xml:space="preserve">بيرزين</t>
  </si>
  <si>
    <t xml:space="preserve">Qarabu</t>
  </si>
  <si>
    <t xml:space="preserve">قربو</t>
  </si>
  <si>
    <t xml:space="preserve">Quretan</t>
  </si>
  <si>
    <t xml:space="preserve">قوريتان</t>
  </si>
  <si>
    <t xml:space="preserve">Qushtapa centre</t>
  </si>
  <si>
    <t xml:space="preserve">مركز قوشتبة</t>
  </si>
  <si>
    <t xml:space="preserve">Rasti Qr</t>
  </si>
  <si>
    <t xml:space="preserve">حي راستي</t>
  </si>
  <si>
    <t xml:space="preserve">Runaki</t>
  </si>
  <si>
    <t xml:space="preserve">روناكي</t>
  </si>
  <si>
    <t xml:space="preserve">Runaki(Andazyaran)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</si>
  <si>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اندازياران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</si>
  <si>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Runaki(Komari 1)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</si>
  <si>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كوماري </t>
    </r>
    <r>
      <rPr>
        <sz val="10"/>
        <color rgb="FF000000"/>
        <rFont val="Arial Narrow"/>
        <family val="2"/>
        <charset val="1"/>
      </rPr>
      <t xml:space="preserve">1)</t>
    </r>
  </si>
  <si>
    <t xml:space="preserve">Runaki(Mamostayan 1)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</si>
  <si>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ماموستايان </t>
    </r>
    <r>
      <rPr>
        <sz val="10"/>
        <color rgb="FF000000"/>
        <rFont val="Arial Narrow"/>
        <family val="2"/>
        <charset val="1"/>
      </rPr>
      <t xml:space="preserve">1)</t>
    </r>
  </si>
  <si>
    <t xml:space="preserve">Runaki(Mamostayan 2)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</si>
  <si>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ماموستايان </t>
    </r>
    <r>
      <rPr>
        <sz val="10"/>
        <color rgb="FF000000"/>
        <rFont val="Arial Narrow"/>
        <family val="2"/>
        <charset val="1"/>
      </rPr>
      <t xml:space="preserve">2)</t>
    </r>
  </si>
  <si>
    <t xml:space="preserve">Runaki(Mantikawa)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</si>
  <si>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منتيكاوه</t>
    </r>
    <r>
      <rPr>
        <sz val="10"/>
        <color rgb="FF000000"/>
        <rFont val="Arial Narrow"/>
        <family val="2"/>
        <charset val="1"/>
      </rPr>
      <t xml:space="preserve">)</t>
    </r>
  </si>
  <si>
    <t xml:space="preserve">Runaki(Mufti)</t>
  </si>
  <si>
    <r>
      <rPr>
        <sz val="10"/>
        <color rgb="FF000000"/>
        <rFont val="Lohit Devanagari"/>
        <family val="2"/>
      </rPr>
      <t xml:space="preserve">روناكي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موفتي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</si>
  <si>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Rustm palace center</t>
  </si>
  <si>
    <t xml:space="preserve">مركز قصر رستم </t>
  </si>
  <si>
    <t xml:space="preserve">Rustm palace center-Karma complex</t>
  </si>
  <si>
    <r>
      <rPr>
        <sz val="10"/>
        <color rgb="FF000000"/>
        <rFont val="Lohit Devanagari"/>
        <family val="2"/>
      </rPr>
      <t xml:space="preserve">قصر رستم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مجمع كرمه</t>
    </r>
  </si>
  <si>
    <t xml:space="preserve">Rzgari</t>
  </si>
  <si>
    <t xml:space="preserve">Saidawa(Ashti)</t>
  </si>
  <si>
    <r>
      <rPr>
        <sz val="10"/>
        <color rgb="FF000000"/>
        <rFont val="Lohit Devanagari"/>
        <family val="2"/>
      </rPr>
      <t xml:space="preserve">سيداوه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اشتي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</si>
  <si>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Saidawa(Khabat)</t>
  </si>
  <si>
    <r>
      <rPr>
        <sz val="10"/>
        <color rgb="FF000000"/>
        <rFont val="Lohit Devanagari"/>
        <family val="2"/>
      </rPr>
      <t xml:space="preserve">سيداوه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خبات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</si>
  <si>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Sana City </t>
  </si>
  <si>
    <t xml:space="preserve">سانا ستي</t>
  </si>
  <si>
    <t xml:space="preserve">Saydawa</t>
  </si>
  <si>
    <t xml:space="preserve">سيداوه</t>
  </si>
  <si>
    <t xml:space="preserve">Sebardan</t>
  </si>
  <si>
    <t xml:space="preserve">سيبردان</t>
  </si>
  <si>
    <t xml:space="preserve">Setaqan</t>
  </si>
  <si>
    <t xml:space="preserve">سيطاقان</t>
  </si>
  <si>
    <t xml:space="preserve">Shahan city</t>
  </si>
  <si>
    <t xml:space="preserve">شاهان ستي</t>
  </si>
  <si>
    <t xml:space="preserve">Shakholan</t>
  </si>
  <si>
    <t xml:space="preserve">شاخولان</t>
  </si>
  <si>
    <t xml:space="preserve">Sharawany</t>
  </si>
  <si>
    <t xml:space="preserve">شارواني</t>
  </si>
  <si>
    <t xml:space="preserve">Shawes</t>
  </si>
  <si>
    <t xml:space="preserve">شاويس</t>
  </si>
  <si>
    <t xml:space="preserve">Shiraton</t>
  </si>
  <si>
    <t xml:space="preserve">شيراتون</t>
  </si>
  <si>
    <t xml:space="preserve">Shorsh</t>
  </si>
  <si>
    <t xml:space="preserve">Shorsh(Hakim awa)</t>
  </si>
  <si>
    <r>
      <rPr>
        <sz val="10"/>
        <color rgb="FF000000"/>
        <rFont val="Lohit Devanagari"/>
        <family val="2"/>
      </rPr>
      <t xml:space="preserve">شورش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حاكم اوا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</si>
  <si>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Shorsh(Hay arey)</t>
  </si>
  <si>
    <r>
      <rPr>
        <sz val="10"/>
        <color rgb="FF000000"/>
        <rFont val="Lohit Devanagari"/>
        <family val="2"/>
      </rPr>
      <t xml:space="preserve">شورش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اري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</si>
  <si>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Shorsh(Malayan)</t>
  </si>
  <si>
    <r>
      <rPr>
        <sz val="10"/>
        <color rgb="FF000000"/>
        <rFont val="Lohit Devanagari"/>
        <family val="2"/>
      </rPr>
      <t xml:space="preserve">شورش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ملايان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</si>
  <si>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Shorsh(Salahaldin)</t>
  </si>
  <si>
    <r>
      <rPr>
        <sz val="10"/>
        <color rgb="FF000000"/>
        <rFont val="Lohit Devanagari"/>
        <family val="2"/>
      </rPr>
      <t xml:space="preserve">شورش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صلاح الدين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</si>
  <si>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Somar</t>
  </si>
  <si>
    <t xml:space="preserve">سومر</t>
  </si>
  <si>
    <t xml:space="preserve">Sufaya</t>
  </si>
  <si>
    <t xml:space="preserve">صفية</t>
  </si>
  <si>
    <t xml:space="preserve">Tayrawa</t>
  </si>
  <si>
    <t xml:space="preserve">تيرواه</t>
  </si>
  <si>
    <t xml:space="preserve">Turaq</t>
  </si>
  <si>
    <t xml:space="preserve">طورق</t>
  </si>
  <si>
    <t xml:space="preserve">Zaiton Collective</t>
  </si>
  <si>
    <t xml:space="preserve">مجمع زيتون</t>
  </si>
  <si>
    <t xml:space="preserve">Zanko</t>
  </si>
  <si>
    <t xml:space="preserve">زانكو</t>
  </si>
  <si>
    <t xml:space="preserve">Zen city</t>
  </si>
  <si>
    <t xml:space="preserve">زين ستي</t>
  </si>
  <si>
    <t xml:space="preserve">Zereen</t>
  </si>
  <si>
    <t xml:space="preserve">زيرين</t>
  </si>
  <si>
    <t xml:space="preserve">Zheen</t>
  </si>
  <si>
    <t xml:space="preserve">زين</t>
  </si>
  <si>
    <t xml:space="preserve">Zhyan</t>
  </si>
  <si>
    <t xml:space="preserve">زيان</t>
  </si>
  <si>
    <t xml:space="preserve">Koisnjaq</t>
  </si>
  <si>
    <t xml:space="preserve">Armota</t>
  </si>
  <si>
    <t xml:space="preserve">أرموته</t>
  </si>
  <si>
    <t xml:space="preserve">Azady</t>
  </si>
  <si>
    <t xml:space="preserve">ازادي</t>
  </si>
  <si>
    <t xml:space="preserve">Bayizagha</t>
  </si>
  <si>
    <t xml:space="preserve">بايزاغا</t>
  </si>
  <si>
    <t xml:space="preserve">Bazar koya(Bafri qndeel)</t>
  </si>
  <si>
    <r>
      <rPr>
        <sz val="10"/>
        <color rgb="FF000000"/>
        <rFont val="Lohit Devanagari"/>
        <family val="2"/>
      </rPr>
      <t xml:space="preserve">بازار كويه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بفري قنديل</t>
    </r>
    <r>
      <rPr>
        <sz val="10"/>
        <color rgb="FF000000"/>
        <rFont val="Arial Narrow"/>
        <family val="2"/>
        <charset val="1"/>
      </rPr>
      <t xml:space="preserve">)</t>
    </r>
  </si>
  <si>
    <t xml:space="preserve">Camp Sarazan</t>
  </si>
  <si>
    <t xml:space="preserve">كمب سه ره زان</t>
  </si>
  <si>
    <t xml:space="preserve">Gashteyari</t>
  </si>
  <si>
    <t xml:space="preserve">كشتياري</t>
  </si>
  <si>
    <t xml:space="preserve">Hamamok</t>
  </si>
  <si>
    <t xml:space="preserve">حماموك</t>
  </si>
  <si>
    <t xml:space="preserve">Hamoon</t>
  </si>
  <si>
    <t xml:space="preserve">هامون </t>
  </si>
  <si>
    <t xml:space="preserve">Jamiyah</t>
  </si>
  <si>
    <t xml:space="preserve">جمعية</t>
  </si>
  <si>
    <t xml:space="preserve">Nawdaran</t>
  </si>
  <si>
    <t xml:space="preserve">ناوداران</t>
  </si>
  <si>
    <t xml:space="preserve">Qalat</t>
  </si>
  <si>
    <t xml:space="preserve">قلات</t>
  </si>
  <si>
    <t xml:space="preserve">Se Grdakan</t>
  </si>
  <si>
    <t xml:space="preserve">سيكردكان</t>
  </si>
  <si>
    <t xml:space="preserve">Taqtaq</t>
  </si>
  <si>
    <t xml:space="preserve">طقطق</t>
  </si>
  <si>
    <t xml:space="preserve">Makhmur</t>
  </si>
  <si>
    <t xml:space="preserve">Abu Jarda</t>
  </si>
  <si>
    <t xml:space="preserve">ابو جردة</t>
  </si>
  <si>
    <t xml:space="preserve">Abu Jarda Al jadida</t>
  </si>
  <si>
    <t xml:space="preserve">ابو جرده الجديده</t>
  </si>
  <si>
    <t xml:space="preserve">Ali Mala Dawood</t>
  </si>
  <si>
    <t xml:space="preserve">علي ملا داود</t>
  </si>
  <si>
    <t xml:space="preserve">Dibaga Camp 2</t>
  </si>
  <si>
    <r>
      <rPr>
        <sz val="10"/>
        <color rgb="FF000000"/>
        <rFont val="Lohit Devanagari"/>
        <family val="2"/>
      </rPr>
      <t xml:space="preserve">كمب ديبكه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</si>
  <si>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Dibaga Stadium Camp</t>
  </si>
  <si>
    <t xml:space="preserve">كمب ملعب ديبكه</t>
  </si>
  <si>
    <t xml:space="preserve">Dibaga(Shuhadaa Al Emarat)Camp</t>
  </si>
  <si>
    <r>
      <rPr>
        <sz val="10"/>
        <color rgb="FF000000"/>
        <rFont val="Lohit Devanagari"/>
        <family val="2"/>
      </rPr>
      <t xml:space="preserve">ديبكه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كمب شهداء الامارات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</si>
  <si>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Hawejka</t>
  </si>
  <si>
    <t xml:space="preserve">حويجكة</t>
  </si>
  <si>
    <t xml:space="preserve">Hawera</t>
  </si>
  <si>
    <t xml:space="preserve">هويرة</t>
  </si>
  <si>
    <t xml:space="preserve">Majluba</t>
  </si>
  <si>
    <t xml:space="preserve">مجلوبه</t>
  </si>
  <si>
    <t xml:space="preserve">Om Rakeba</t>
  </si>
  <si>
    <t xml:space="preserve">ام ركيبة</t>
  </si>
  <si>
    <t xml:space="preserve">Shamaml</t>
  </si>
  <si>
    <t xml:space="preserve">شمامل</t>
  </si>
  <si>
    <t xml:space="preserve">Sharaie</t>
  </si>
  <si>
    <t xml:space="preserve">شرايع</t>
  </si>
  <si>
    <t xml:space="preserve">Tarash</t>
  </si>
  <si>
    <t xml:space="preserve">طراش</t>
  </si>
  <si>
    <t xml:space="preserve">Trjam</t>
  </si>
  <si>
    <t xml:space="preserve">ترجام</t>
  </si>
  <si>
    <t xml:space="preserve">Mergasur</t>
  </si>
  <si>
    <t xml:space="preserve">Markaz Mergasur</t>
  </si>
  <si>
    <t xml:space="preserve">مركز ميركسور</t>
  </si>
  <si>
    <t xml:space="preserve">Shaqlawa</t>
  </si>
  <si>
    <t xml:space="preserve">Aquban</t>
  </si>
  <si>
    <t xml:space="preserve">عقوبان </t>
  </si>
  <si>
    <t xml:space="preserve">Bazar Khanzad</t>
  </si>
  <si>
    <t xml:space="preserve">بازار خانزاد</t>
  </si>
  <si>
    <t xml:space="preserve">Betrma</t>
  </si>
  <si>
    <t xml:space="preserve">بيترما</t>
  </si>
  <si>
    <t xml:space="preserve">Gulan</t>
  </si>
  <si>
    <t xml:space="preserve">كولان </t>
  </si>
  <si>
    <t xml:space="preserve">Harir</t>
  </si>
  <si>
    <t xml:space="preserve">حرير</t>
  </si>
  <si>
    <t xml:space="preserve">Harir-Batas</t>
  </si>
  <si>
    <r>
      <rPr>
        <sz val="10"/>
        <color rgb="FF000000"/>
        <rFont val="Lohit Devanagari"/>
        <family val="2"/>
      </rPr>
      <t xml:space="preserve">حرير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باتاس</t>
    </r>
  </si>
  <si>
    <t xml:space="preserve">Hiran</t>
  </si>
  <si>
    <t xml:space="preserve">هيران </t>
  </si>
  <si>
    <t xml:space="preserve">Kawergosk-Bastora</t>
  </si>
  <si>
    <r>
      <rPr>
        <sz val="10"/>
        <color rgb="FF000000"/>
        <rFont val="Lohit Devanagari"/>
        <family val="2"/>
      </rPr>
      <t xml:space="preserve">كوركوسك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بستورة</t>
    </r>
  </si>
  <si>
    <t xml:space="preserve">Kawrtan</t>
  </si>
  <si>
    <t xml:space="preserve">كورتان</t>
  </si>
  <si>
    <t xml:space="preserve">خبات </t>
  </si>
  <si>
    <t xml:space="preserve">Kurdistan</t>
  </si>
  <si>
    <t xml:space="preserve">Lass</t>
  </si>
  <si>
    <t xml:space="preserve">لاس</t>
  </si>
  <si>
    <t xml:space="preserve">Sabirawa</t>
  </si>
  <si>
    <t xml:space="preserve">سابيراوه</t>
  </si>
  <si>
    <t xml:space="preserve">Safeen</t>
  </si>
  <si>
    <t xml:space="preserve">سفين</t>
  </si>
  <si>
    <t xml:space="preserve">Sarmidan-1(Ashti)</t>
  </si>
  <si>
    <r>
      <rPr>
        <sz val="10"/>
        <color rgb="FF000000"/>
        <rFont val="Lohit Devanagari"/>
        <family val="2"/>
      </rPr>
      <t xml:space="preserve">سرميدان </t>
    </r>
    <r>
      <rPr>
        <sz val="10"/>
        <color rgb="FF000000"/>
        <rFont val="Arial Narrow"/>
        <family val="2"/>
        <charset val="1"/>
      </rPr>
      <t xml:space="preserve">1(</t>
    </r>
    <r>
      <rPr>
        <sz val="10"/>
        <color rgb="FF000000"/>
        <rFont val="Lohit Devanagari"/>
        <family val="2"/>
      </rPr>
      <t xml:space="preserve">اشتي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</si>
  <si>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Sarmidan-2(Azadi)</t>
  </si>
  <si>
    <r>
      <rPr>
        <sz val="10"/>
        <color rgb="FF000000"/>
        <rFont val="Lohit Devanagari"/>
        <family val="2"/>
      </rPr>
      <t xml:space="preserve">سرميدان </t>
    </r>
    <r>
      <rPr>
        <sz val="10"/>
        <color rgb="FF000000"/>
        <rFont val="Arial Narrow"/>
        <family val="2"/>
        <charset val="1"/>
      </rPr>
      <t xml:space="preserve">2(</t>
    </r>
    <r>
      <rPr>
        <sz val="10"/>
        <color rgb="FF000000"/>
        <rFont val="Lohit Devanagari"/>
        <family val="2"/>
      </rPr>
      <t xml:space="preserve">ازادي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</si>
  <si>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Sarmidan-3(Ashti)</t>
  </si>
  <si>
    <r>
      <rPr>
        <sz val="10"/>
        <color rgb="FF000000"/>
        <rFont val="Lohit Devanagari"/>
        <family val="2"/>
      </rPr>
      <t xml:space="preserve">سر ميدان </t>
    </r>
    <r>
      <rPr>
        <sz val="10"/>
        <color rgb="FF000000"/>
        <rFont val="Arial Narrow"/>
        <family val="2"/>
        <charset val="1"/>
      </rPr>
      <t xml:space="preserve">3(</t>
    </r>
    <r>
      <rPr>
        <sz val="10"/>
        <color rgb="FF000000"/>
        <rFont val="Lohit Devanagari"/>
        <family val="2"/>
      </rPr>
      <t xml:space="preserve">اشتي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</si>
  <si>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Shahedan</t>
  </si>
  <si>
    <t xml:space="preserve">Spigra</t>
  </si>
  <si>
    <t xml:space="preserve">سبيكارا</t>
  </si>
  <si>
    <t xml:space="preserve">Soran</t>
  </si>
  <si>
    <t xml:space="preserve">Ako Camp</t>
  </si>
  <si>
    <t xml:space="preserve">مخيم اكو </t>
  </si>
  <si>
    <t xml:space="preserve">Bana ziwak Camp</t>
  </si>
  <si>
    <t xml:space="preserve">مخيم بانه زيوك</t>
  </si>
  <si>
    <t xml:space="preserve">Bekhal</t>
  </si>
  <si>
    <t xml:space="preserve">بيخال</t>
  </si>
  <si>
    <t xml:space="preserve">Diana</t>
  </si>
  <si>
    <t xml:space="preserve">ديانا</t>
  </si>
  <si>
    <t xml:space="preserve">Diana(Shahedan azady)</t>
  </si>
  <si>
    <r>
      <rPr>
        <sz val="10"/>
        <color rgb="FF000000"/>
        <rFont val="Lohit Devanagari"/>
        <family val="2"/>
      </rPr>
      <t xml:space="preserve">ديانا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شهيدان ازادي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</si>
  <si>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Hamya Camp</t>
  </si>
  <si>
    <t xml:space="preserve">مخيم حاميه </t>
  </si>
  <si>
    <t xml:space="preserve">Hay mameel al qeer</t>
  </si>
  <si>
    <t xml:space="preserve">حي معمل القير</t>
  </si>
  <si>
    <t xml:space="preserve">kawrarash</t>
  </si>
  <si>
    <t xml:space="preserve">كوررش</t>
  </si>
  <si>
    <t xml:space="preserve">Khalifan(center)</t>
  </si>
  <si>
    <r>
      <rPr>
        <sz val="10"/>
        <color rgb="FF000000"/>
        <rFont val="Lohit Devanagari"/>
        <family val="2"/>
      </rPr>
      <t xml:space="preserve">مركز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خليفان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</si>
  <si>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Rawanduz District</t>
  </si>
  <si>
    <t xml:space="preserve">مركز راوندوز</t>
  </si>
  <si>
    <t xml:space="preserve">Soran District</t>
  </si>
  <si>
    <t xml:space="preserve">مركز قضاء سوران</t>
  </si>
  <si>
    <t xml:space="preserve">Soran(26 Gulan)</t>
  </si>
  <si>
    <r>
      <rPr>
        <sz val="10"/>
        <color rgb="FF000000"/>
        <rFont val="Lohit Devanagari"/>
        <family val="2"/>
      </rPr>
      <t xml:space="preserve">سوران</t>
    </r>
    <r>
      <rPr>
        <sz val="10"/>
        <color rgb="FF000000"/>
        <rFont val="Arial Narrow"/>
        <family val="2"/>
        <charset val="1"/>
      </rPr>
      <t xml:space="preserve">(26 </t>
    </r>
    <r>
      <rPr>
        <sz val="10"/>
        <color rgb="FF000000"/>
        <rFont val="Lohit Devanagari"/>
        <family val="2"/>
      </rPr>
      <t xml:space="preserve">كولان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</si>
  <si>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Soran(hay al etfaa)</t>
  </si>
  <si>
    <r>
      <rPr>
        <sz val="10"/>
        <color rgb="FF000000"/>
        <rFont val="Lohit Devanagari"/>
        <family val="2"/>
      </rPr>
      <t xml:space="preserve">سوران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الاطفاء</t>
    </r>
    <r>
      <rPr>
        <sz val="10"/>
        <color rgb="FF000000"/>
        <rFont val="Arial Narrow"/>
        <family val="2"/>
        <charset val="1"/>
      </rPr>
      <t xml:space="preserve">)</t>
    </r>
  </si>
  <si>
    <t xml:space="preserve">Soran(Hay al matar)</t>
  </si>
  <si>
    <r>
      <rPr>
        <sz val="10"/>
        <color rgb="FF000000"/>
        <rFont val="Lohit Devanagari"/>
        <family val="2"/>
      </rPr>
      <t xml:space="preserve">سوران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المطار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</si>
  <si>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Ain Al-Tamur</t>
  </si>
  <si>
    <t xml:space="preserve">Ain Al-Tamur-Hay Al Hussein</t>
  </si>
  <si>
    <r>
      <rPr>
        <sz val="10"/>
        <color rgb="FF000000"/>
        <rFont val="Lohit Devanagari"/>
        <family val="2"/>
      </rPr>
      <t xml:space="preserve">حي الحسين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عين التمر</t>
    </r>
  </si>
  <si>
    <t xml:space="preserve">Albo Hardan</t>
  </si>
  <si>
    <t xml:space="preserve">البو حردان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</si>
  <si>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عين التمر</t>
    </r>
  </si>
  <si>
    <t xml:space="preserve">Al-Hindiya</t>
  </si>
  <si>
    <t xml:space="preserve">Abo Hussien</t>
  </si>
  <si>
    <r>
      <rPr>
        <sz val="10"/>
        <color rgb="FF000000"/>
        <rFont val="Lohit Devanagari"/>
        <family val="2"/>
      </rPr>
      <t xml:space="preserve">ابو حسين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هور حسين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</si>
  <si>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Abo Hussien Al Sharkea</t>
  </si>
  <si>
    <t xml:space="preserve">ابو حسين الشرقية</t>
  </si>
  <si>
    <t xml:space="preserve">Al Abd Awenat</t>
  </si>
  <si>
    <t xml:space="preserve">العبد عوينات</t>
  </si>
  <si>
    <t xml:space="preserve">Al abodea</t>
  </si>
  <si>
    <t xml:space="preserve">العبودية</t>
  </si>
  <si>
    <t xml:space="preserve">Al Asra</t>
  </si>
  <si>
    <t xml:space="preserve">العسرة</t>
  </si>
  <si>
    <t xml:space="preserve">Al beash</t>
  </si>
  <si>
    <t xml:space="preserve">البياش</t>
  </si>
  <si>
    <t xml:space="preserve">الدواجن</t>
  </si>
  <si>
    <t xml:space="preserve">Al Dokanea Al Gharbya</t>
  </si>
  <si>
    <t xml:space="preserve">الدخانية الغربية</t>
  </si>
  <si>
    <t xml:space="preserve">Al Hakem</t>
  </si>
  <si>
    <t xml:space="preserve">الحكيم</t>
  </si>
  <si>
    <t xml:space="preserve">الجمعية </t>
  </si>
  <si>
    <t xml:space="preserve">Al Jazra walwasab</t>
  </si>
  <si>
    <t xml:space="preserve">الجزرة والوساب</t>
  </si>
  <si>
    <t xml:space="preserve">Al Jedar Al Gharbi</t>
  </si>
  <si>
    <t xml:space="preserve">الجدار الغربي</t>
  </si>
  <si>
    <t xml:space="preserve">Al Kreat</t>
  </si>
  <si>
    <t xml:space="preserve">الكريط</t>
  </si>
  <si>
    <t xml:space="preserve">Al Matar</t>
  </si>
  <si>
    <t xml:space="preserve">المطار</t>
  </si>
  <si>
    <t xml:space="preserve">Al Rejeba</t>
  </si>
  <si>
    <r>
      <rPr>
        <sz val="10"/>
        <color rgb="FF000000"/>
        <rFont val="Lohit Devanagari"/>
        <family val="2"/>
      </rPr>
      <t xml:space="preserve">الرجيبة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الديران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</si>
  <si>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Riyadh</t>
  </si>
  <si>
    <t xml:space="preserve">Al-Dikhaniyah Al-Sharqiyah</t>
  </si>
  <si>
    <t xml:space="preserve">الدخانية الشرقية</t>
  </si>
  <si>
    <t xml:space="preserve">Al-Dikhaniyah Al-Wista</t>
  </si>
  <si>
    <t xml:space="preserve">الدخانية الوسطى</t>
  </si>
  <si>
    <t xml:space="preserve">Al-Hindiya-Door Al Hajar</t>
  </si>
  <si>
    <r>
      <rPr>
        <sz val="10"/>
        <color rgb="FF000000"/>
        <rFont val="Lohit Devanagari"/>
        <family val="2"/>
      </rPr>
      <t xml:space="preserve">الهندية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دور الحجر</t>
    </r>
  </si>
  <si>
    <t xml:space="preserve">Al-Hindiya-Hay Al-Amel</t>
  </si>
  <si>
    <r>
      <rPr>
        <sz val="10"/>
        <color rgb="FF000000"/>
        <rFont val="Lohit Devanagari"/>
        <family val="2"/>
      </rPr>
      <t xml:space="preserve">الهندية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العامل</t>
    </r>
  </si>
  <si>
    <t xml:space="preserve">Al-Jadwal Al-Ghrabi-Al Askary</t>
  </si>
  <si>
    <t xml:space="preserve">العسكري</t>
  </si>
  <si>
    <t xml:space="preserve">Al-Kas Al Jonoby</t>
  </si>
  <si>
    <t xml:space="preserve">الكص الجنوبي</t>
  </si>
  <si>
    <t xml:space="preserve">Al-Kas Al-Shimaly</t>
  </si>
  <si>
    <t xml:space="preserve">الكص الشمالي</t>
  </si>
  <si>
    <t xml:space="preserve">Al-Khayrat</t>
  </si>
  <si>
    <t xml:space="preserve">الخيرات</t>
  </si>
  <si>
    <t xml:space="preserve">Al-Sakbaniyah</t>
  </si>
  <si>
    <t xml:space="preserve">الصكبانية</t>
  </si>
  <si>
    <t xml:space="preserve">Al-Tanbi</t>
  </si>
  <si>
    <t xml:space="preserve">الطنبي</t>
  </si>
  <si>
    <t xml:space="preserve">Albo Safn</t>
  </si>
  <si>
    <t xml:space="preserve">البو سفن</t>
  </si>
  <si>
    <t xml:space="preserve">Albo Saho</t>
  </si>
  <si>
    <t xml:space="preserve">البو صحو</t>
  </si>
  <si>
    <t xml:space="preserve">Albo Soof</t>
  </si>
  <si>
    <t xml:space="preserve">البو سوف</t>
  </si>
  <si>
    <t xml:space="preserve">Albo Soof Al Gharbi</t>
  </si>
  <si>
    <t xml:space="preserve">ابو سوف الغربي</t>
  </si>
  <si>
    <t xml:space="preserve">Albu Aziz</t>
  </si>
  <si>
    <t xml:space="preserve">البو عزيز</t>
  </si>
  <si>
    <t xml:space="preserve">Albu Kredah</t>
  </si>
  <si>
    <t xml:space="preserve">البو كريده </t>
  </si>
  <si>
    <t xml:space="preserve">Albu Zagam</t>
  </si>
  <si>
    <t xml:space="preserve">البوزكم</t>
  </si>
  <si>
    <t xml:space="preserve">emlbege(hay al salam)</t>
  </si>
  <si>
    <r>
      <rPr>
        <sz val="10"/>
        <color rgb="FF000000"/>
        <rFont val="Lohit Devanagari"/>
        <family val="2"/>
      </rPr>
      <t xml:space="preserve">املبيج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حي السلام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</si>
  <si>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Hay Al Zeraa</t>
  </si>
  <si>
    <t xml:space="preserve">Kareat al jubur</t>
  </si>
  <si>
    <t xml:space="preserve">قرية الجبور</t>
  </si>
  <si>
    <t xml:space="preserve">Mahoor Karbala-Hindiya</t>
  </si>
  <si>
    <t xml:space="preserve">محور كربلاء هندية</t>
  </si>
  <si>
    <t xml:space="preserve">Mantakat Al hnedea</t>
  </si>
  <si>
    <t xml:space="preserve">منطقة الهندية</t>
  </si>
  <si>
    <t xml:space="preserve">MODM Camp</t>
  </si>
  <si>
    <t xml:space="preserve">مخيم وزارة الهجرة والمهجرين</t>
  </si>
  <si>
    <t xml:space="preserve">Shat Alaa</t>
  </si>
  <si>
    <t xml:space="preserve">شط الله</t>
  </si>
  <si>
    <t xml:space="preserve">Shatt Mula</t>
  </si>
  <si>
    <t xml:space="preserve">شط مله</t>
  </si>
  <si>
    <t xml:space="preserve">Shaykh hamza</t>
  </si>
  <si>
    <t xml:space="preserve">شيخ حمزه</t>
  </si>
  <si>
    <t xml:space="preserve">Abo Akab</t>
  </si>
  <si>
    <t xml:space="preserve">ابو عكب</t>
  </si>
  <si>
    <t xml:space="preserve">Abo Zarnt Al Shamaly</t>
  </si>
  <si>
    <t xml:space="preserve">ابو زرنت الشمالية</t>
  </si>
  <si>
    <t xml:space="preserve">Abu Theen</t>
  </si>
  <si>
    <t xml:space="preserve">ابو طحين</t>
  </si>
  <si>
    <t xml:space="preserve">Abu Theen 2</t>
  </si>
  <si>
    <r>
      <rPr>
        <sz val="10"/>
        <color rgb="FF000000"/>
        <rFont val="Lohit Devanagari"/>
        <family val="2"/>
      </rPr>
      <t xml:space="preserve">ابو طحين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</si>
  <si>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Ahmad Al Waely St</t>
  </si>
  <si>
    <t xml:space="preserve">شارع احمد الوائلي</t>
  </si>
  <si>
    <t xml:space="preserve">Al Abeater Al Westa</t>
  </si>
  <si>
    <t xml:space="preserve">الابيتر الوسطى</t>
  </si>
  <si>
    <t xml:space="preserve">Al Ahrar(Elegal)</t>
  </si>
  <si>
    <t xml:space="preserve">تجاوز الاحرار</t>
  </si>
  <si>
    <t xml:space="preserve">Al Amam Al Montadar</t>
  </si>
  <si>
    <t xml:space="preserve">الامام المنتظر</t>
  </si>
  <si>
    <t xml:space="preserve">Al Amam Ali</t>
  </si>
  <si>
    <t xml:space="preserve">الامام علي</t>
  </si>
  <si>
    <t xml:space="preserve">Al Amam Aon</t>
  </si>
  <si>
    <t xml:space="preserve">الامام عون</t>
  </si>
  <si>
    <t xml:space="preserve">Al Amen 1</t>
  </si>
  <si>
    <r>
      <rPr>
        <sz val="10"/>
        <color rgb="FF000000"/>
        <rFont val="Lohit Devanagari"/>
        <family val="2"/>
      </rPr>
      <t xml:space="preserve">الامين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</si>
  <si>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Ameshea 1</t>
  </si>
  <si>
    <r>
      <rPr>
        <sz val="10"/>
        <color rgb="FF000000"/>
        <rFont val="Lohit Devanagari"/>
        <family val="2"/>
      </rPr>
      <t xml:space="preserve">العميشية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</si>
  <si>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Ameshea 2</t>
  </si>
  <si>
    <r>
      <rPr>
        <sz val="10"/>
        <color rgb="FF000000"/>
        <rFont val="Lohit Devanagari"/>
        <family val="2"/>
      </rPr>
      <t xml:space="preserve">العميشية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</si>
  <si>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Amin</t>
  </si>
  <si>
    <t xml:space="preserve">الامين</t>
  </si>
  <si>
    <t xml:space="preserve">Al Anwar</t>
  </si>
  <si>
    <t xml:space="preserve">الانوار</t>
  </si>
  <si>
    <t xml:space="preserve">Al Askary 1</t>
  </si>
  <si>
    <r>
      <rPr>
        <sz val="10"/>
        <color rgb="FF000000"/>
        <rFont val="Lohit Devanagari"/>
        <family val="2"/>
      </rPr>
      <t xml:space="preserve">العسكري </t>
    </r>
    <r>
      <rPr>
        <sz val="10"/>
        <color rgb="FF000000"/>
        <rFont val="Arial Narrow"/>
        <family val="2"/>
        <charset val="1"/>
      </rPr>
      <t xml:space="preserve">1(</t>
    </r>
    <r>
      <rPr>
        <sz val="10"/>
        <color rgb="FF000000"/>
        <rFont val="Lohit Devanagari"/>
        <family val="2"/>
      </rPr>
      <t xml:space="preserve">الحر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</si>
  <si>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11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</si>
  <si>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11(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</si>
  <si>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12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</si>
  <si>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12(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</si>
  <si>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14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</si>
  <si>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14(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</si>
  <si>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17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</si>
  <si>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17(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</si>
  <si>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19</t>
  </si>
  <si>
    <r>
      <rPr>
        <sz val="10"/>
        <color rgb="FF000000"/>
        <rFont val="Lohit Devanagari"/>
        <family val="2"/>
      </rPr>
      <t xml:space="preserve">العسكري </t>
    </r>
    <r>
      <rPr>
        <sz val="10"/>
        <color rgb="FF000000"/>
        <rFont val="Arial Narrow"/>
        <family val="2"/>
        <charset val="1"/>
      </rPr>
      <t xml:space="preserve">19(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</si>
  <si>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2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</si>
  <si>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2(</t>
    </r>
    <r>
      <rPr>
        <sz val="10"/>
        <color rgb="FF000000"/>
        <rFont val="Lohit Devanagari"/>
        <family val="2"/>
      </rPr>
      <t xml:space="preserve">الحر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</si>
  <si>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 4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</si>
  <si>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4(</t>
    </r>
    <r>
      <rPr>
        <sz val="10"/>
        <color rgb="FF000000"/>
        <rFont val="Lohit Devanagari"/>
        <family val="2"/>
      </rPr>
      <t xml:space="preserve">الحر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</si>
  <si>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Askary-15</t>
  </si>
  <si>
    <r>
      <rPr>
        <sz val="10"/>
        <color rgb="FF000000"/>
        <rFont val="Lohit Devanagari"/>
        <family val="2"/>
      </rPr>
      <t xml:space="preserve">العسكري </t>
    </r>
    <r>
      <rPr>
        <sz val="10"/>
        <color rgb="FF000000"/>
        <rFont val="Arial Narrow"/>
        <family val="2"/>
        <charset val="1"/>
      </rPr>
      <t xml:space="preserve">15</t>
    </r>
  </si>
  <si>
    <t xml:space="preserve">Al Askary-Al haidery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</si>
  <si>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مجمع الحيدري</t>
    </r>
  </si>
  <si>
    <t xml:space="preserve">Al Ateshy</t>
  </si>
  <si>
    <t xml:space="preserve">العطيشي</t>
  </si>
  <si>
    <t xml:space="preserve">Al Dafteer Dar</t>
  </si>
  <si>
    <t xml:space="preserve">الدفتر دار</t>
  </si>
  <si>
    <t xml:space="preserve">Al Dalya 2</t>
  </si>
  <si>
    <r>
      <rPr>
        <sz val="10"/>
        <color rgb="FF000000"/>
        <rFont val="Lohit Devanagari"/>
        <family val="2"/>
      </rPr>
      <t xml:space="preserve">الدالية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</si>
  <si>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Dalya1</t>
  </si>
  <si>
    <r>
      <rPr>
        <sz val="10"/>
        <color rgb="FF000000"/>
        <rFont val="Lohit Devanagari"/>
        <family val="2"/>
      </rPr>
      <t xml:space="preserve">الدالية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</si>
  <si>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Eman2</t>
  </si>
  <si>
    <r>
      <rPr>
        <sz val="10"/>
        <color rgb="FF000000"/>
        <rFont val="Lohit Devanagari"/>
        <family val="2"/>
      </rPr>
      <t xml:space="preserve">الايمان</t>
    </r>
    <r>
      <rPr>
        <sz val="10"/>
        <color rgb="FF000000"/>
        <rFont val="Arial Narrow"/>
        <family val="2"/>
        <charset val="1"/>
      </rPr>
      <t xml:space="preserve">2(</t>
    </r>
    <r>
      <rPr>
        <sz val="10"/>
        <color rgb="FF000000"/>
        <rFont val="Lohit Devanagari"/>
        <family val="2"/>
      </rPr>
      <t xml:space="preserve">دور البيض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</si>
  <si>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Fadaein</t>
  </si>
  <si>
    <t xml:space="preserve">الفدين</t>
  </si>
  <si>
    <t xml:space="preserve">Al Fadha</t>
  </si>
  <si>
    <t xml:space="preserve">الفيضة</t>
  </si>
  <si>
    <t xml:space="preserve">Al Farashea</t>
  </si>
  <si>
    <t xml:space="preserve">الفراشية</t>
  </si>
  <si>
    <t xml:space="preserve">Al Forat 1</t>
  </si>
  <si>
    <r>
      <rPr>
        <sz val="10"/>
        <color rgb="FF000000"/>
        <rFont val="Lohit Devanagari"/>
        <family val="2"/>
      </rPr>
      <t xml:space="preserve">الفرات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</si>
  <si>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forat 2</t>
  </si>
  <si>
    <r>
      <rPr>
        <sz val="10"/>
        <color rgb="FF000000"/>
        <rFont val="Lohit Devanagari"/>
        <family val="2"/>
      </rPr>
      <t xml:space="preserve">الفرات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</si>
  <si>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Furat 4(door al halal)</t>
  </si>
  <si>
    <r>
      <rPr>
        <sz val="10"/>
        <color rgb="FF000000"/>
        <rFont val="Lohit Devanagari"/>
        <family val="2"/>
      </rPr>
      <t xml:space="preserve">الفرات </t>
    </r>
    <r>
      <rPr>
        <sz val="10"/>
        <color rgb="FF000000"/>
        <rFont val="Arial Narrow"/>
        <family val="2"/>
        <charset val="1"/>
      </rPr>
      <t xml:space="preserve">4(</t>
    </r>
    <r>
      <rPr>
        <sz val="10"/>
        <color rgb="FF000000"/>
        <rFont val="Lohit Devanagari"/>
        <family val="2"/>
      </rPr>
      <t xml:space="preserve">دور الهلال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</si>
  <si>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Furat(Elegal)</t>
  </si>
  <si>
    <r>
      <rPr>
        <sz val="10"/>
        <color rgb="FF000000"/>
        <rFont val="Lohit Devanagari"/>
        <family val="2"/>
      </rPr>
      <t xml:space="preserve">الفرات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تجاوز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</si>
  <si>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 Ghaltawiyah Al Gharbiyah</t>
  </si>
  <si>
    <t xml:space="preserve">الغلطاوية الغربية</t>
  </si>
  <si>
    <t xml:space="preserve">Al Hawra</t>
  </si>
  <si>
    <t xml:space="preserve">حي الحوراء </t>
  </si>
  <si>
    <t xml:space="preserve">Al Hurr Al Sager</t>
  </si>
  <si>
    <t xml:space="preserve">الحر الصغير</t>
  </si>
  <si>
    <t xml:space="preserve">Al Iman</t>
  </si>
  <si>
    <t xml:space="preserve">الايمان</t>
  </si>
  <si>
    <t xml:space="preserve">Al Intefadha Al Shabaniya</t>
  </si>
  <si>
    <t xml:space="preserve">الانتفاضه الشعبانية</t>
  </si>
  <si>
    <t xml:space="preserve">Al Jarya</t>
  </si>
  <si>
    <t xml:space="preserve">الجرية</t>
  </si>
  <si>
    <t xml:space="preserve">Al Kaim</t>
  </si>
  <si>
    <t xml:space="preserve">القائم</t>
  </si>
  <si>
    <t xml:space="preserve">Al Makalaa</t>
  </si>
  <si>
    <t xml:space="preserve">المقالع</t>
  </si>
  <si>
    <t xml:space="preserve">Al Makrama</t>
  </si>
  <si>
    <t xml:space="preserve">المكرمه</t>
  </si>
  <si>
    <t xml:space="preserve">Al Motlak Al Gharby</t>
  </si>
  <si>
    <t xml:space="preserve">المطلق الغربي</t>
  </si>
  <si>
    <t xml:space="preserve">Al Motlak Al Sharky</t>
  </si>
  <si>
    <t xml:space="preserve">المطلق الشرقي</t>
  </si>
  <si>
    <t xml:space="preserve">Al Muamnen(Elegal)</t>
  </si>
  <si>
    <t xml:space="preserve">تجاوز المؤمنين</t>
  </si>
  <si>
    <t xml:space="preserve">Al Mustjadat</t>
  </si>
  <si>
    <t xml:space="preserve">المستجدات</t>
  </si>
  <si>
    <t xml:space="preserve">Al Nasser(Elegal)</t>
  </si>
  <si>
    <t xml:space="preserve">تجاوز النصر</t>
  </si>
  <si>
    <t xml:space="preserve">Al Qadissiya 1</t>
  </si>
  <si>
    <r>
      <rPr>
        <sz val="10"/>
        <color rgb="FF000000"/>
        <rFont val="Lohit Devanagari"/>
        <family val="2"/>
      </rPr>
      <t xml:space="preserve">القادسية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</si>
  <si>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Qadissiya 2</t>
  </si>
  <si>
    <r>
      <rPr>
        <sz val="10"/>
        <color rgb="FF000000"/>
        <rFont val="Lohit Devanagari"/>
        <family val="2"/>
      </rPr>
      <t xml:space="preserve">القادسية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</si>
  <si>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Qazwiniyah</t>
  </si>
  <si>
    <t xml:space="preserve">القزوينيه</t>
  </si>
  <si>
    <t xml:space="preserve">Al Rawdhatain</t>
  </si>
  <si>
    <t xml:space="preserve">الروضتين </t>
  </si>
  <si>
    <t xml:space="preserve">Al Sahrawy Al Mazarea</t>
  </si>
  <si>
    <t xml:space="preserve">الصحراوية المزارع</t>
  </si>
  <si>
    <t xml:space="preserve">Al Salam-1</t>
  </si>
  <si>
    <r>
      <rPr>
        <sz val="10"/>
        <color rgb="FF000000"/>
        <rFont val="Lohit Devanagari"/>
        <family val="2"/>
      </rPr>
      <t xml:space="preserve">السلام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</si>
  <si>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Salam-2</t>
  </si>
  <si>
    <r>
      <rPr>
        <sz val="10"/>
        <color rgb="FF000000"/>
        <rFont val="Lohit Devanagari"/>
        <family val="2"/>
      </rPr>
      <t xml:space="preserve">السلام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</si>
  <si>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Salamea</t>
  </si>
  <si>
    <t xml:space="preserve">الصلامية</t>
  </si>
  <si>
    <t xml:space="preserve">Al Shrawea Al Wady</t>
  </si>
  <si>
    <t xml:space="preserve">الصحراوية الوادي</t>
  </si>
  <si>
    <t xml:space="preserve">Al Somod-Al Uwlaa</t>
  </si>
  <si>
    <t xml:space="preserve">الصمود الاولى</t>
  </si>
  <si>
    <t xml:space="preserve">Al thawra 2</t>
  </si>
  <si>
    <r>
      <rPr>
        <sz val="10"/>
        <color rgb="FF000000"/>
        <rFont val="Lohit Devanagari"/>
        <family val="2"/>
      </rPr>
      <t xml:space="preserve">الثورة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</si>
  <si>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thawra-1</t>
  </si>
  <si>
    <r>
      <rPr>
        <sz val="10"/>
        <color rgb="FF000000"/>
        <rFont val="Lohit Devanagari"/>
        <family val="2"/>
      </rPr>
      <t xml:space="preserve">الثورة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</si>
  <si>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Walaa1</t>
  </si>
  <si>
    <r>
      <rPr>
        <sz val="10"/>
        <color rgb="FF000000"/>
        <rFont val="Lohit Devanagari"/>
        <family val="2"/>
      </rPr>
      <t xml:space="preserve">الولاء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</si>
  <si>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Wand Al Hmodea 1</t>
  </si>
  <si>
    <r>
      <rPr>
        <sz val="10"/>
        <color rgb="FF000000"/>
        <rFont val="Lohit Devanagari"/>
        <family val="2"/>
      </rPr>
      <t xml:space="preserve">الوند الحمودية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</si>
  <si>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Wand Al Hmodea 2</t>
  </si>
  <si>
    <r>
      <rPr>
        <sz val="10"/>
        <color rgb="FF000000"/>
        <rFont val="Lohit Devanagari"/>
        <family val="2"/>
      </rPr>
      <t xml:space="preserve">الوند الحمودية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</si>
  <si>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Wand Al Hmodea Al Sharqea</t>
  </si>
  <si>
    <t xml:space="preserve">الوند الحمودية الشرقية</t>
  </si>
  <si>
    <t xml:space="preserve">Al Wand Al Mustajad</t>
  </si>
  <si>
    <t xml:space="preserve">الوند المستجد</t>
  </si>
  <si>
    <t xml:space="preserve">Al Wand Al Zehafat</t>
  </si>
  <si>
    <t xml:space="preserve">الوند الزحيفات</t>
  </si>
  <si>
    <t xml:space="preserve">Al Yarmook 4</t>
  </si>
  <si>
    <r>
      <rPr>
        <sz val="10"/>
        <color rgb="FF000000"/>
        <rFont val="Lohit Devanagari"/>
        <family val="2"/>
      </rPr>
      <t xml:space="preserve">اليرموك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</si>
  <si>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Zareen city</t>
  </si>
  <si>
    <t xml:space="preserve">مدينه الزائرين الزهراء</t>
  </si>
  <si>
    <t xml:space="preserve">Al Zohor</t>
  </si>
  <si>
    <t xml:space="preserve">الزهور</t>
  </si>
  <si>
    <t xml:space="preserve">Al-Abasiah Al-Sharkeiah</t>
  </si>
  <si>
    <t xml:space="preserve">العباسيه الشرقيه</t>
  </si>
  <si>
    <t xml:space="preserve">Al-Abbasya al-gharbya</t>
  </si>
  <si>
    <t xml:space="preserve">العباسية الغربية</t>
  </si>
  <si>
    <t xml:space="preserve">Al-abrahmeiah</t>
  </si>
  <si>
    <t xml:space="preserve">Al-Askari 13</t>
  </si>
  <si>
    <r>
      <rPr>
        <sz val="10"/>
        <color rgb="FF000000"/>
        <rFont val="Lohit Devanagari"/>
        <family val="2"/>
      </rPr>
      <t xml:space="preserve">العسكري</t>
    </r>
    <r>
      <rPr>
        <sz val="10"/>
        <color rgb="FF000000"/>
        <rFont val="Arial Narrow"/>
        <family val="2"/>
        <charset val="1"/>
      </rPr>
      <t xml:space="preserve">13(</t>
    </r>
    <r>
      <rPr>
        <sz val="10"/>
        <color rgb="FF000000"/>
        <rFont val="Lohit Devanagari"/>
        <family val="2"/>
      </rPr>
      <t xml:space="preserve">العابد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</si>
  <si>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AL-Askeriy 16</t>
  </si>
  <si>
    <r>
      <rPr>
        <sz val="10"/>
        <color rgb="FF000000"/>
        <rFont val="Lohit Devanagari"/>
        <family val="2"/>
      </rPr>
      <t xml:space="preserve">العسكري </t>
    </r>
    <r>
      <rPr>
        <sz val="10"/>
        <color rgb="FF000000"/>
        <rFont val="Arial Narrow"/>
        <family val="2"/>
        <charset val="1"/>
      </rPr>
      <t xml:space="preserve">16   </t>
    </r>
  </si>
  <si>
    <t xml:space="preserve">Al-Bobyat-Al Wadde</t>
  </si>
  <si>
    <r>
      <rPr>
        <sz val="10"/>
        <color rgb="FF000000"/>
        <rFont val="Lohit Devanagari"/>
        <family val="2"/>
      </rPr>
      <t xml:space="preserve">البوبيات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الودي</t>
    </r>
  </si>
  <si>
    <t xml:space="preserve">Al-Faris</t>
  </si>
  <si>
    <t xml:space="preserve">الفارس</t>
  </si>
  <si>
    <t xml:space="preserve">Al-hadi</t>
  </si>
  <si>
    <t xml:space="preserve">الهادي</t>
  </si>
  <si>
    <t xml:space="preserve">Al-hurr-Al Amen 2</t>
  </si>
  <si>
    <r>
      <rPr>
        <sz val="10"/>
        <color rgb="FF000000"/>
        <rFont val="Lohit Devanagari"/>
        <family val="2"/>
      </rPr>
      <t xml:space="preserve">الامين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</si>
  <si>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Al-hussainya-Hay Al Rasool</t>
  </si>
  <si>
    <r>
      <rPr>
        <sz val="10"/>
        <color rgb="FF000000"/>
        <rFont val="Lohit Devanagari"/>
        <family val="2"/>
      </rPr>
      <t xml:space="preserve">الحسينيه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الرسول</t>
    </r>
  </si>
  <si>
    <t xml:space="preserve">Al-hussainya-Hay Al Zahraa</t>
  </si>
  <si>
    <r>
      <rPr>
        <sz val="10"/>
        <color rgb="FF000000"/>
        <rFont val="Lohit Devanagari"/>
        <family val="2"/>
      </rPr>
      <t xml:space="preserve">الحسينيه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</si>
  <si>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Al-hussainya-hay al-hussain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</si>
  <si>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</t>
    </r>
  </si>
  <si>
    <t xml:space="preserve">Al-hussainyh-Hay Al-Abas</t>
  </si>
  <si>
    <r>
      <rPr>
        <sz val="10"/>
        <color rgb="FF000000"/>
        <rFont val="Lohit Devanagari"/>
        <family val="2"/>
      </rPr>
      <t xml:space="preserve">الحسينية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العباس</t>
    </r>
  </si>
  <si>
    <t xml:space="preserve">Al-kakaeiah Al-karbea</t>
  </si>
  <si>
    <t xml:space="preserve">الكعكاعية الغربية</t>
  </si>
  <si>
    <t xml:space="preserve">Al-kakaeiah Al-Sharkeiah</t>
  </si>
  <si>
    <t xml:space="preserve">كعكاعية الشرقيه</t>
  </si>
  <si>
    <t xml:space="preserve">Al-muhandesein</t>
  </si>
  <si>
    <t xml:space="preserve">المهندسين</t>
  </si>
  <si>
    <t xml:space="preserve">Al-Mulhak</t>
  </si>
  <si>
    <t xml:space="preserve">Al-Rafedeen</t>
  </si>
  <si>
    <t xml:space="preserve">الرافدين</t>
  </si>
  <si>
    <t xml:space="preserve">Al-Safiya 2</t>
  </si>
  <si>
    <r>
      <rPr>
        <sz val="10"/>
        <color rgb="FF000000"/>
        <rFont val="Lohit Devanagari"/>
        <family val="2"/>
      </rPr>
      <t xml:space="preserve">الصافية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</si>
  <si>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Al-Shebanat</t>
  </si>
  <si>
    <t xml:space="preserve">ألشبانات </t>
  </si>
  <si>
    <t xml:space="preserve">Al-Shebanat 2</t>
  </si>
  <si>
    <r>
      <rPr>
        <sz val="10"/>
        <color rgb="FF000000"/>
        <rFont val="Lohit Devanagari"/>
        <family val="2"/>
      </rPr>
      <t xml:space="preserve">الشبانات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</si>
  <si>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Al-Swadah 1</t>
  </si>
  <si>
    <r>
      <rPr>
        <sz val="10"/>
        <color rgb="FF000000"/>
        <rFont val="Lohit Devanagari"/>
        <family val="2"/>
      </rPr>
      <t xml:space="preserve">السواده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</si>
  <si>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Al-Taaleb</t>
  </si>
  <si>
    <t xml:space="preserve">التعليب</t>
  </si>
  <si>
    <t xml:space="preserve">Al-Taqa 18</t>
  </si>
  <si>
    <r>
      <rPr>
        <sz val="10"/>
        <color rgb="FF000000"/>
        <rFont val="Lohit Devanagari"/>
        <family val="2"/>
      </rPr>
      <t xml:space="preserve">الطاقه </t>
    </r>
    <r>
      <rPr>
        <sz val="10"/>
        <color rgb="FF000000"/>
        <rFont val="Arial Narrow"/>
        <family val="2"/>
        <charset val="1"/>
      </rPr>
      <t xml:space="preserve">18</t>
    </r>
  </si>
  <si>
    <t xml:space="preserve">Al-zabaylah</t>
  </si>
  <si>
    <t xml:space="preserve">الزبيليه </t>
  </si>
  <si>
    <t xml:space="preserve">Al-Zahraa</t>
  </si>
  <si>
    <t xml:space="preserve">AL_Saadiya</t>
  </si>
  <si>
    <t xml:space="preserve">السعدية </t>
  </si>
  <si>
    <t xml:space="preserve">Albo Hamed 1</t>
  </si>
  <si>
    <r>
      <rPr>
        <sz val="10"/>
        <color rgb="FF000000"/>
        <rFont val="Lohit Devanagari"/>
        <family val="2"/>
      </rPr>
      <t xml:space="preserve">البو حميد</t>
    </r>
    <r>
      <rPr>
        <sz val="10"/>
        <color rgb="FF000000"/>
        <rFont val="Arial Narrow"/>
        <family val="2"/>
        <charset val="1"/>
      </rPr>
      <t xml:space="preserve">1</t>
    </r>
  </si>
  <si>
    <t xml:space="preserve">Badat Aesha</t>
  </si>
  <si>
    <t xml:space="preserve">بدعة عيشه</t>
  </si>
  <si>
    <t xml:space="preserve">Badat Aswad</t>
  </si>
  <si>
    <t xml:space="preserve">بدعة اسود</t>
  </si>
  <si>
    <t xml:space="preserve">Badat Shareef</t>
  </si>
  <si>
    <t xml:space="preserve">بدعة شريف</t>
  </si>
  <si>
    <t xml:space="preserve">Badat Shareef Al Gharbiyah</t>
  </si>
  <si>
    <t xml:space="preserve">بدعة شريف الغربية</t>
  </si>
  <si>
    <t xml:space="preserve">Basatein Bab Al-Slalmah</t>
  </si>
  <si>
    <t xml:space="preserve">بساتين باب السلامة</t>
  </si>
  <si>
    <t xml:space="preserve">Basaten Al Naqeeb</t>
  </si>
  <si>
    <t xml:space="preserve">بساتين النقيب</t>
  </si>
  <si>
    <t xml:space="preserve">Darawish</t>
  </si>
  <si>
    <t xml:space="preserve">دراويش</t>
  </si>
  <si>
    <t xml:space="preserve">Door al hajar</t>
  </si>
  <si>
    <t xml:space="preserve">دور الحجر</t>
  </si>
  <si>
    <t xml:space="preserve">Freaha Al Maamell</t>
  </si>
  <si>
    <t xml:space="preserve">فريحة المعامل</t>
  </si>
  <si>
    <t xml:space="preserve">Haswat Al Sood</t>
  </si>
  <si>
    <t xml:space="preserve">حصوة السعود</t>
  </si>
  <si>
    <r>
      <rPr>
        <sz val="10"/>
        <color rgb="FF000000"/>
        <rFont val="Lohit Devanagari"/>
        <family val="2"/>
      </rPr>
      <t xml:space="preserve">حي الامير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</si>
  <si>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Amel-4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</si>
  <si>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</si>
  <si>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Hay Al Amel-6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</si>
  <si>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6</t>
    </r>
  </si>
  <si>
    <t xml:space="preserve">Hay Al Amel-7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</si>
  <si>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7</t>
    </r>
  </si>
  <si>
    <t xml:space="preserve">Hay Al Amel-8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</si>
  <si>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8</t>
    </r>
  </si>
  <si>
    <t xml:space="preserve">Hay Al Amel-9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</si>
  <si>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9</t>
    </r>
  </si>
  <si>
    <t xml:space="preserve">Hay Al Amil-5</t>
  </si>
  <si>
    <r>
      <rPr>
        <sz val="10"/>
        <color rgb="FF000000"/>
        <rFont val="Lohit Devanagari"/>
        <family val="2"/>
      </rPr>
      <t xml:space="preserve">حي العامل</t>
    </r>
    <r>
      <rPr>
        <sz val="10"/>
        <color rgb="FF000000"/>
        <rFont val="Arial Narrow"/>
        <family val="2"/>
        <charset val="1"/>
      </rPr>
      <t xml:space="preserve">5</t>
    </r>
  </si>
  <si>
    <t xml:space="preserve">Hay Al Atebba-354</t>
  </si>
  <si>
    <r>
      <rPr>
        <sz val="10"/>
        <color rgb="FF000000"/>
        <rFont val="Lohit Devanagari"/>
        <family val="2"/>
      </rPr>
      <t xml:space="preserve">حي الاطباء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354</t>
    </r>
  </si>
  <si>
    <t xml:space="preserve">Hay Al Husain</t>
  </si>
  <si>
    <t xml:space="preserve">Hay Al Karrar</t>
  </si>
  <si>
    <t xml:space="preserve">Hay al mostafa</t>
  </si>
  <si>
    <t xml:space="preserve">Hay Al Nidhal 1</t>
  </si>
  <si>
    <r>
      <rPr>
        <sz val="10"/>
        <color rgb="FF000000"/>
        <rFont val="Lohit Devanagari"/>
        <family val="2"/>
      </rPr>
      <t xml:space="preserve">حي النضال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</si>
  <si>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Noor</t>
  </si>
  <si>
    <t xml:space="preserve">Hay Al Rada</t>
  </si>
  <si>
    <t xml:space="preserve">Hay Al Rafdean 2</t>
  </si>
  <si>
    <r>
      <rPr>
        <sz val="10"/>
        <color rgb="FF000000"/>
        <rFont val="Lohit Devanagari"/>
        <family val="2"/>
      </rPr>
      <t xml:space="preserve">الرافدين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</si>
  <si>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 Shorta</t>
  </si>
  <si>
    <t xml:space="preserve">Hay Al-Abbas</t>
  </si>
  <si>
    <t xml:space="preserve">Hay al-amein al-dakheily</t>
  </si>
  <si>
    <t xml:space="preserve">الامن الداخلي</t>
  </si>
  <si>
    <t xml:space="preserve">Hay al-Amel-1</t>
  </si>
  <si>
    <r>
      <rPr>
        <sz val="10"/>
        <color rgb="FF000000"/>
        <rFont val="Lohit Devanagari"/>
        <family val="2"/>
      </rPr>
      <t xml:space="preserve">حي العامل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</si>
  <si>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al-askan</t>
  </si>
  <si>
    <t xml:space="preserve">حي الاسكان</t>
  </si>
  <si>
    <t xml:space="preserve">Hay al-baldya</t>
  </si>
  <si>
    <t xml:space="preserve">البلديه</t>
  </si>
  <si>
    <t xml:space="preserve">Hay Al-Ghadeer</t>
  </si>
  <si>
    <t xml:space="preserve">Hay Al-Ghadeer 4</t>
  </si>
  <si>
    <r>
      <rPr>
        <sz val="10"/>
        <color rgb="FF000000"/>
        <rFont val="Lohit Devanagari"/>
        <family val="2"/>
      </rPr>
      <t xml:space="preserve">حي الغدير</t>
    </r>
    <r>
      <rPr>
        <sz val="10"/>
        <color rgb="FF000000"/>
        <rFont val="Arial Narrow"/>
        <family val="2"/>
        <charset val="1"/>
      </rPr>
      <t xml:space="preserve">4</t>
    </r>
  </si>
  <si>
    <t xml:space="preserve">Hay Al-Ghadeer 5</t>
  </si>
  <si>
    <r>
      <rPr>
        <sz val="10"/>
        <color rgb="FF000000"/>
        <rFont val="Lohit Devanagari"/>
        <family val="2"/>
      </rPr>
      <t xml:space="preserve">حي الغدير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</si>
  <si>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Hay Al-Ghadeer 7</t>
  </si>
  <si>
    <r>
      <rPr>
        <sz val="10"/>
        <color rgb="FF000000"/>
        <rFont val="Lohit Devanagari"/>
        <family val="2"/>
      </rPr>
      <t xml:space="preserve">حي الغدير </t>
    </r>
    <r>
      <rPr>
        <sz val="10"/>
        <color rgb="FF000000"/>
        <rFont val="Arial Narrow"/>
        <family val="2"/>
        <charset val="1"/>
      </rPr>
      <t xml:space="preserve">7</t>
    </r>
  </si>
  <si>
    <t xml:space="preserve">Hay Al-Ghadeer 8</t>
  </si>
  <si>
    <r>
      <rPr>
        <sz val="10"/>
        <color rgb="FF000000"/>
        <rFont val="Lohit Devanagari"/>
        <family val="2"/>
      </rPr>
      <t xml:space="preserve">حي الغدير </t>
    </r>
    <r>
      <rPr>
        <sz val="10"/>
        <color rgb="FF000000"/>
        <rFont val="Arial Narrow"/>
        <family val="2"/>
        <charset val="1"/>
      </rPr>
      <t xml:space="preserve">8</t>
    </r>
  </si>
  <si>
    <t xml:space="preserve">Hay Al-Jawad</t>
  </si>
  <si>
    <t xml:space="preserve">Hay al-milad</t>
  </si>
  <si>
    <t xml:space="preserve">حي الميلاد</t>
  </si>
  <si>
    <t xml:space="preserve">Hay Al-Momnean</t>
  </si>
  <si>
    <t xml:space="preserve">حي المؤمنين</t>
  </si>
  <si>
    <t xml:space="preserve">Hay al-muadhafein</t>
  </si>
  <si>
    <t xml:space="preserve">Hay al-muhandseen al-zeraeien</t>
  </si>
  <si>
    <t xml:space="preserve">حي المهندسين الزراعين</t>
  </si>
  <si>
    <t xml:space="preserve">Hay Al-Naser</t>
  </si>
  <si>
    <t xml:space="preserve">حي النصر </t>
  </si>
  <si>
    <t xml:space="preserve">Hay Al-Naser14</t>
  </si>
  <si>
    <r>
      <rPr>
        <sz val="10"/>
        <color rgb="FF000000"/>
        <rFont val="Lohit Devanagari"/>
        <family val="2"/>
      </rPr>
      <t xml:space="preserve">حي النصر</t>
    </r>
    <r>
      <rPr>
        <sz val="10"/>
        <color rgb="FF000000"/>
        <rFont val="Arial Narrow"/>
        <family val="2"/>
        <charset val="1"/>
      </rPr>
      <t xml:space="preserve">14</t>
    </r>
  </si>
  <si>
    <t xml:space="preserve">Hay Al-Noab</t>
  </si>
  <si>
    <t xml:space="preserve">حي النواب</t>
  </si>
  <si>
    <t xml:space="preserve">Hay Al-Rasool</t>
  </si>
  <si>
    <t xml:space="preserve">Hay al-resalah</t>
  </si>
  <si>
    <t xml:space="preserve">حي الرساله</t>
  </si>
  <si>
    <t xml:space="preserve">Hay al-sahah</t>
  </si>
  <si>
    <t xml:space="preserve">العنك</t>
  </si>
  <si>
    <t xml:space="preserve">Hay al-taawen</t>
  </si>
  <si>
    <t xml:space="preserve">التعاون</t>
  </si>
  <si>
    <t xml:space="preserve">حي التحدي</t>
  </si>
  <si>
    <t xml:space="preserve">Hay al-Usrah</t>
  </si>
  <si>
    <t xml:space="preserve">حي الاسرة</t>
  </si>
  <si>
    <t xml:space="preserve">Hay Al-Wafaa-333</t>
  </si>
  <si>
    <r>
      <rPr>
        <sz val="10"/>
        <color rgb="FF000000"/>
        <rFont val="Lohit Devanagari"/>
        <family val="2"/>
      </rPr>
      <t xml:space="preserve">حي الوفاء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333</t>
    </r>
  </si>
  <si>
    <t xml:space="preserve">Hay Almohandsen Alzerain 24</t>
  </si>
  <si>
    <r>
      <rPr>
        <sz val="10"/>
        <color rgb="FF000000"/>
        <rFont val="Lohit Devanagari"/>
        <family val="2"/>
      </rPr>
      <t xml:space="preserve">حي المهندسين الزراعين </t>
    </r>
    <r>
      <rPr>
        <sz val="10"/>
        <color rgb="FF000000"/>
        <rFont val="Arial Narrow"/>
        <family val="2"/>
        <charset val="1"/>
      </rPr>
      <t xml:space="preserve">24</t>
    </r>
  </si>
  <si>
    <t xml:space="preserve">Hay El Al Iman-3</t>
  </si>
  <si>
    <r>
      <rPr>
        <sz val="10"/>
        <color rgb="FF000000"/>
        <rFont val="Lohit Devanagari"/>
        <family val="2"/>
      </rPr>
      <t xml:space="preserve">حي الايمان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</si>
  <si>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El Al Iman-4</t>
  </si>
  <si>
    <r>
      <rPr>
        <sz val="10"/>
        <color rgb="FF000000"/>
        <rFont val="Lohit Devanagari"/>
        <family val="2"/>
      </rPr>
      <t xml:space="preserve">حي الايمان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</si>
  <si>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Hay Ramadan</t>
  </si>
  <si>
    <t xml:space="preserve">حي رمضان</t>
  </si>
  <si>
    <t xml:space="preserve">Hay Ramadan 2</t>
  </si>
  <si>
    <r>
      <rPr>
        <sz val="10"/>
        <color rgb="FF000000"/>
        <rFont val="Lohit Devanagari"/>
        <family val="2"/>
      </rPr>
      <t xml:space="preserve">حي رمضان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</si>
  <si>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Kantraat Al Salam</t>
  </si>
  <si>
    <t xml:space="preserve">كنطرة السلام</t>
  </si>
  <si>
    <t xml:space="preserve">Kerbala1</t>
  </si>
  <si>
    <r>
      <rPr>
        <sz val="10"/>
        <color rgb="FF000000"/>
        <rFont val="Lohit Devanagari"/>
        <family val="2"/>
      </rPr>
      <t xml:space="preserve">كربلاء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</si>
  <si>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Khair Al-den Al Janouby</t>
  </si>
  <si>
    <t xml:space="preserve">خير الدين الجنوبي</t>
  </si>
  <si>
    <t xml:space="preserve">Khair Al-den Al Shamaly</t>
  </si>
  <si>
    <t xml:space="preserve">خير الدين الشمالي</t>
  </si>
  <si>
    <t xml:space="preserve">Mahlat al-mukheim</t>
  </si>
  <si>
    <t xml:space="preserve">المخيم</t>
  </si>
  <si>
    <t xml:space="preserve">Mahlat bab al-khan</t>
  </si>
  <si>
    <t xml:space="preserve">محلة باب الخان</t>
  </si>
  <si>
    <t xml:space="preserve">Mahlat bab al-taak</t>
  </si>
  <si>
    <t xml:space="preserve">باب الطاق</t>
  </si>
  <si>
    <t xml:space="preserve">Mahlat bab baghdad</t>
  </si>
  <si>
    <t xml:space="preserve">باب بغداد </t>
  </si>
  <si>
    <t xml:space="preserve">Maitham Al Tammar</t>
  </si>
  <si>
    <t xml:space="preserve">ميثم التمار </t>
  </si>
  <si>
    <t xml:space="preserve">Malhak Dubbat Al-Mudfeen</t>
  </si>
  <si>
    <t xml:space="preserve">ملحق ضباط الموظفين</t>
  </si>
  <si>
    <t xml:space="preserve">Mamel Al Jobor</t>
  </si>
  <si>
    <t xml:space="preserve">معامل الجبور</t>
  </si>
  <si>
    <t xml:space="preserve">Molahak Al Atbaa</t>
  </si>
  <si>
    <t xml:space="preserve">ملحق الاطباء</t>
  </si>
  <si>
    <t xml:space="preserve">Molhak Al Atbaa(Elegal)</t>
  </si>
  <si>
    <t xml:space="preserve">تجاوز ملحق الاطباء</t>
  </si>
  <si>
    <t xml:space="preserve">Molhak al fares</t>
  </si>
  <si>
    <t xml:space="preserve">ملحق الفارس</t>
  </si>
  <si>
    <t xml:space="preserve">Mosa al Kadum</t>
  </si>
  <si>
    <t xml:space="preserve">موسى الكاظم</t>
  </si>
  <si>
    <t xml:space="preserve">Mulhak Al Shebanat</t>
  </si>
  <si>
    <t xml:space="preserve">ملحق الشبانات</t>
  </si>
  <si>
    <t xml:space="preserve">Mulhak Hay Al Mualmen</t>
  </si>
  <si>
    <t xml:space="preserve">ملحق حي المعلمين</t>
  </si>
  <si>
    <t xml:space="preserve">Mulhaq Al-Intisar</t>
  </si>
  <si>
    <t xml:space="preserve">ملحق الانتصار</t>
  </si>
  <si>
    <t xml:space="preserve">Mulhaq Al-Mudaraa</t>
  </si>
  <si>
    <t xml:space="preserve">ملحق المدراء</t>
  </si>
  <si>
    <t xml:space="preserve">Om Al Baneen Al Shrawy 2</t>
  </si>
  <si>
    <r>
      <rPr>
        <sz val="10"/>
        <color rgb="FF000000"/>
        <rFont val="Lohit Devanagari"/>
        <family val="2"/>
      </rPr>
      <t xml:space="preserve">ام البنين الصحراويه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</si>
  <si>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Shuhadaa Al Muwadhafen 2</t>
  </si>
  <si>
    <r>
      <rPr>
        <sz val="10"/>
        <color rgb="FF000000"/>
        <rFont val="Lohit Devanagari"/>
        <family val="2"/>
      </rPr>
      <t xml:space="preserve">شهداء الموظفين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</si>
  <si>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Shuhadaa AL Muwadhayn</t>
  </si>
  <si>
    <t xml:space="preserve">شهداء الموظفين</t>
  </si>
  <si>
    <t xml:space="preserve">Shuihadaa Al Amam Ali</t>
  </si>
  <si>
    <t xml:space="preserve">شهداء الامام علي</t>
  </si>
  <si>
    <t xml:space="preserve">Shuihadaa Al Amam Ali 2</t>
  </si>
  <si>
    <r>
      <rPr>
        <sz val="10"/>
        <color rgb="FF000000"/>
        <rFont val="Lohit Devanagari"/>
        <family val="2"/>
      </rPr>
      <t xml:space="preserve">شهداء الامام علي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</si>
  <si>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Sumer 1</t>
  </si>
  <si>
    <r>
      <rPr>
        <sz val="10"/>
        <color rgb="FF000000"/>
        <rFont val="Lohit Devanagari"/>
        <family val="2"/>
      </rPr>
      <t xml:space="preserve">حي سومر</t>
    </r>
    <r>
      <rPr>
        <sz val="10"/>
        <color rgb="FF000000"/>
        <rFont val="Arial Narrow"/>
        <family val="2"/>
        <charset val="1"/>
      </rPr>
      <t xml:space="preserve">1</t>
    </r>
  </si>
  <si>
    <t xml:space="preserve">Sumer 2</t>
  </si>
  <si>
    <r>
      <rPr>
        <sz val="10"/>
        <color rgb="FF000000"/>
        <rFont val="Lohit Devanagari"/>
        <family val="2"/>
      </rPr>
      <t xml:space="preserve">حي سومر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</si>
  <si>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Um Al Baneen city</t>
  </si>
  <si>
    <t xml:space="preserve">مدينة الزائرين ام البنين </t>
  </si>
  <si>
    <t xml:space="preserve">Um Al Banen Village</t>
  </si>
  <si>
    <t xml:space="preserve">قرية ام البنين</t>
  </si>
  <si>
    <t xml:space="preserve">Um Hamam</t>
  </si>
  <si>
    <t xml:space="preserve">ام حمام</t>
  </si>
  <si>
    <t xml:space="preserve">Al-Hawiga</t>
  </si>
  <si>
    <t xml:space="preserve">8 Shabahit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</si>
  <si>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8 </t>
    </r>
    <r>
      <rPr>
        <sz val="10"/>
        <color rgb="FF000000"/>
        <rFont val="Lohit Devanagari"/>
        <family val="2"/>
      </rPr>
      <t xml:space="preserve">شباط</t>
    </r>
  </si>
  <si>
    <t xml:space="preserve">Abas-Al-Namla</t>
  </si>
  <si>
    <t xml:space="preserve">قرية نملة</t>
  </si>
  <si>
    <t xml:space="preserve">Abu-Al-Jaise</t>
  </si>
  <si>
    <t xml:space="preserve">قرية أبو الجيس</t>
  </si>
  <si>
    <t xml:space="preserve">Al Anadiyah Village</t>
  </si>
  <si>
    <t xml:space="preserve">قررية العنادية</t>
  </si>
  <si>
    <t xml:space="preserve">Al Askary</t>
  </si>
  <si>
    <t xml:space="preserve">Al Mahmodiya</t>
  </si>
  <si>
    <t xml:space="preserve">قرية المحمودية</t>
  </si>
  <si>
    <t xml:space="preserve">Al Silkizat Village</t>
  </si>
  <si>
    <t xml:space="preserve">قرية السلكيزات</t>
  </si>
  <si>
    <t xml:space="preserve">Al-Hawiga-Al Hawija cenetr</t>
  </si>
  <si>
    <t xml:space="preserve">مركز الحويجة</t>
  </si>
  <si>
    <t xml:space="preserve">Al-Khaldia</t>
  </si>
  <si>
    <t xml:space="preserve">قرية الخالدية</t>
  </si>
  <si>
    <t xml:space="preserve">Al-riyadh center</t>
  </si>
  <si>
    <t xml:space="preserve">مركز الرياض</t>
  </si>
  <si>
    <t xml:space="preserve">Al-zab</t>
  </si>
  <si>
    <t xml:space="preserve">مركز ناحية الزاب</t>
  </si>
  <si>
    <t xml:space="preserve">Ash shareaa</t>
  </si>
  <si>
    <t xml:space="preserve">قرية الشريعة</t>
  </si>
  <si>
    <t xml:space="preserve">Atira Village</t>
  </si>
  <si>
    <t xml:space="preserve">قرية عتيرة</t>
  </si>
  <si>
    <t xml:space="preserve">Hay Al Latifiyah</t>
  </si>
  <si>
    <t xml:space="preserve">حي اللطيفية</t>
  </si>
  <si>
    <t xml:space="preserve">Hay Al Motajawizeen</t>
  </si>
  <si>
    <t xml:space="preserve">حي المتجاوزين</t>
  </si>
  <si>
    <r>
      <rPr>
        <sz val="10"/>
        <color rgb="FF000000"/>
        <rFont val="Lohit Devanagari"/>
        <family val="2"/>
      </rPr>
      <t xml:space="preserve">حي دور البستنة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السلام</t>
    </r>
    <r>
      <rPr>
        <sz val="10"/>
        <color rgb="FF000000"/>
        <rFont val="Arial Narrow"/>
        <family val="2"/>
        <charset val="1"/>
      </rPr>
      <t xml:space="preserve">-</t>
    </r>
  </si>
  <si>
    <t xml:space="preserve">Hay Al Shab</t>
  </si>
  <si>
    <t xml:space="preserve">حي الشعب</t>
  </si>
  <si>
    <t xml:space="preserve">Hay Al-askary 1</t>
  </si>
  <si>
    <r>
      <rPr>
        <sz val="10"/>
        <color rgb="FF000000"/>
        <rFont val="Lohit Devanagari"/>
        <family val="2"/>
      </rPr>
      <t xml:space="preserve">حي العسكري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</si>
  <si>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Jbor</t>
  </si>
  <si>
    <t xml:space="preserve">حي الجبور</t>
  </si>
  <si>
    <t xml:space="preserve">Helwa Olia</t>
  </si>
  <si>
    <t xml:space="preserve">قرية حلوة عليا</t>
  </si>
  <si>
    <t xml:space="preserve">Hilwa lower</t>
  </si>
  <si>
    <t xml:space="preserve">قرية حلوة سفلى</t>
  </si>
  <si>
    <t xml:space="preserve">Hilwa middle</t>
  </si>
  <si>
    <t xml:space="preserve">قرية حلوة وسطى</t>
  </si>
  <si>
    <t xml:space="preserve">Imam ismail</t>
  </si>
  <si>
    <t xml:space="preserve">قرية امام اسماعيل</t>
  </si>
  <si>
    <t xml:space="preserve">Jamos Village</t>
  </si>
  <si>
    <t xml:space="preserve">قرية جاموس</t>
  </si>
  <si>
    <t xml:space="preserve">Khazifi Village</t>
  </si>
  <si>
    <t xml:space="preserve">قرية خزيفي</t>
  </si>
  <si>
    <t xml:space="preserve">Lazaga</t>
  </si>
  <si>
    <t xml:space="preserve">قرية لزاكة</t>
  </si>
  <si>
    <t xml:space="preserve">Namisa Village</t>
  </si>
  <si>
    <t xml:space="preserve">قرية نميصة</t>
  </si>
  <si>
    <t xml:space="preserve">Qadissiya-101</t>
  </si>
  <si>
    <r>
      <rPr>
        <sz val="10"/>
        <color rgb="FF000000"/>
        <rFont val="Lohit Devanagari"/>
        <family val="2"/>
      </rPr>
      <t xml:space="preserve">حي القادسية </t>
    </r>
    <r>
      <rPr>
        <sz val="10"/>
        <color rgb="FF000000"/>
        <rFont val="Arial Narrow"/>
        <family val="2"/>
        <charset val="1"/>
      </rPr>
      <t xml:space="preserve">101</t>
    </r>
  </si>
  <si>
    <t xml:space="preserve">Ranjiya</t>
  </si>
  <si>
    <t xml:space="preserve">قرية رنجية</t>
  </si>
  <si>
    <t xml:space="preserve">Sabah Village</t>
  </si>
  <si>
    <t xml:space="preserve">قرية سبعة</t>
  </si>
  <si>
    <t xml:space="preserve">Sabbaghiya</t>
  </si>
  <si>
    <t xml:space="preserve">قرية صباغية</t>
  </si>
  <si>
    <t xml:space="preserve">Shamitt Village</t>
  </si>
  <si>
    <t xml:space="preserve">قرية شميط</t>
  </si>
  <si>
    <t xml:space="preserve">Shawook</t>
  </si>
  <si>
    <t xml:space="preserve">قرية شاووك</t>
  </si>
  <si>
    <t xml:space="preserve">Tal ali Village</t>
  </si>
  <si>
    <t xml:space="preserve">قرية تل علي</t>
  </si>
  <si>
    <t xml:space="preserve">Tariqiya</t>
  </si>
  <si>
    <t xml:space="preserve">قرية الطارقية</t>
  </si>
  <si>
    <t xml:space="preserve">Zrariya</t>
  </si>
  <si>
    <t xml:space="preserve">قرية زرارية</t>
  </si>
  <si>
    <t xml:space="preserve">Dabes</t>
  </si>
  <si>
    <t xml:space="preserve">Altun Kupri Center</t>
  </si>
  <si>
    <t xml:space="preserve">مركز ناحية التون كوبري</t>
  </si>
  <si>
    <t xml:space="preserve">Bay Hasan</t>
  </si>
  <si>
    <t xml:space="preserve">قرية باي حسن</t>
  </si>
  <si>
    <t xml:space="preserve">Hay Al Muaasker</t>
  </si>
  <si>
    <t xml:space="preserve">حي المعسكر</t>
  </si>
  <si>
    <t xml:space="preserve">Hay Al Tanak</t>
  </si>
  <si>
    <t xml:space="preserve">حي التنك</t>
  </si>
  <si>
    <t xml:space="preserve">Rubaidha asriya</t>
  </si>
  <si>
    <t xml:space="preserve">ربيضة عصرية</t>
  </si>
  <si>
    <t xml:space="preserve">Daquq</t>
  </si>
  <si>
    <t xml:space="preserve">Al Qaragul</t>
  </si>
  <si>
    <t xml:space="preserve">قرية كراغول</t>
  </si>
  <si>
    <t xml:space="preserve">Al-Qadissiyah-Taza</t>
  </si>
  <si>
    <r>
      <rPr>
        <sz val="10"/>
        <color rgb="FF000000"/>
        <rFont val="Lohit Devanagari"/>
        <family val="2"/>
      </rPr>
      <t xml:space="preserve">تازة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القادسية</t>
    </r>
  </si>
  <si>
    <t xml:space="preserve">Albu Mahammad</t>
  </si>
  <si>
    <t xml:space="preserve">قرية البو محمد</t>
  </si>
  <si>
    <t xml:space="preserve">Badawa</t>
  </si>
  <si>
    <t xml:space="preserve">بداوة</t>
  </si>
  <si>
    <t xml:space="preserve">Daquq Camp</t>
  </si>
  <si>
    <t xml:space="preserve">مخيم داقوق</t>
  </si>
  <si>
    <t xml:space="preserve">Fareeq Awa</t>
  </si>
  <si>
    <t xml:space="preserve">حي فريق اوه</t>
  </si>
  <si>
    <t xml:space="preserve">Furqan village</t>
  </si>
  <si>
    <t xml:space="preserve">قرية الفرقان</t>
  </si>
  <si>
    <t xml:space="preserve">حي منطقة متجاوزين</t>
  </si>
  <si>
    <t xml:space="preserve">Hay Ashti</t>
  </si>
  <si>
    <t xml:space="preserve">حي آشتي</t>
  </si>
  <si>
    <t xml:space="preserve">Khala Bazyani</t>
  </si>
  <si>
    <t xml:space="preserve">خاله بازياني</t>
  </si>
  <si>
    <t xml:space="preserve">Laylan Camp</t>
  </si>
  <si>
    <t xml:space="preserve">مخيم ليلان</t>
  </si>
  <si>
    <t xml:space="preserve">Laylan-Al Abadat village</t>
  </si>
  <si>
    <t xml:space="preserve">قرية العبادات</t>
  </si>
  <si>
    <t xml:space="preserve">Laylan-Bash Bulaq village</t>
  </si>
  <si>
    <t xml:space="preserve">قرية باش بولاق</t>
  </si>
  <si>
    <t xml:space="preserve">Laylan2 Camp</t>
  </si>
  <si>
    <r>
      <rPr>
        <sz val="10"/>
        <color rgb="FF000000"/>
        <rFont val="Lohit Devanagari"/>
        <family val="2"/>
      </rPr>
      <t xml:space="preserve">مخيم ليلان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</si>
  <si>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حي نوروز</t>
  </si>
  <si>
    <t xml:space="preserve">Nazrawa camp</t>
  </si>
  <si>
    <t xml:space="preserve">مخيم نزراوة</t>
  </si>
  <si>
    <t xml:space="preserve">Taza-Omer Bin Khattab</t>
  </si>
  <si>
    <t xml:space="preserve">قرية عمر بن الخطاب</t>
  </si>
  <si>
    <t xml:space="preserve">Yahyawa camp</t>
  </si>
  <si>
    <t xml:space="preserve">مخيم يحياوة</t>
  </si>
  <si>
    <t xml:space="preserve">Yarmjia Village</t>
  </si>
  <si>
    <t xml:space="preserve">قرية يارمجة</t>
  </si>
  <si>
    <t xml:space="preserve">Al Faylaq-Mahala 5</t>
  </si>
  <si>
    <r>
      <rPr>
        <sz val="10"/>
        <color rgb="FF000000"/>
        <rFont val="Lohit Devanagari"/>
        <family val="2"/>
      </rPr>
      <t xml:space="preserve">حي الفيلق</t>
    </r>
    <r>
      <rPr>
        <sz val="10"/>
        <color rgb="FF000000"/>
        <rFont val="Arial Narrow"/>
        <family val="2"/>
        <charset val="1"/>
      </rPr>
      <t xml:space="preserve">-5</t>
    </r>
  </si>
  <si>
    <t xml:space="preserve">Al Hurriyah</t>
  </si>
  <si>
    <t xml:space="preserve">حي الحرية</t>
  </si>
  <si>
    <t xml:space="preserve">Al Taakhi</t>
  </si>
  <si>
    <t xml:space="preserve">حي التأخي</t>
  </si>
  <si>
    <t xml:space="preserve">Al Tadamon(Hawkari)</t>
  </si>
  <si>
    <r>
      <rPr>
        <sz val="10"/>
        <color rgb="FF000000"/>
        <rFont val="Lohit Devanagari"/>
        <family val="2"/>
      </rPr>
      <t xml:space="preserve">حي التضامن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هاوكاري</t>
    </r>
    <r>
      <rPr>
        <sz val="10"/>
        <color rgb="FF000000"/>
        <rFont val="Arial Narrow"/>
        <family val="2"/>
        <charset val="1"/>
      </rPr>
      <t xml:space="preserve">-</t>
    </r>
  </si>
  <si>
    <t xml:space="preserve">Al Takhi Village</t>
  </si>
  <si>
    <t xml:space="preserve">قرية تأخي</t>
  </si>
  <si>
    <t xml:space="preserve">Al-Qadisssiya(Rabareen)</t>
  </si>
  <si>
    <r>
      <rPr>
        <sz val="10"/>
        <color rgb="FF000000"/>
        <rFont val="Lohit Devanagari"/>
        <family val="2"/>
      </rPr>
      <t xml:space="preserve">حي الانتفاضة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رابرين</t>
    </r>
    <r>
      <rPr>
        <sz val="10"/>
        <color rgb="FF000000"/>
        <rFont val="Arial Narrow"/>
        <family val="2"/>
        <charset val="1"/>
      </rPr>
      <t xml:space="preserve">-(</t>
    </r>
    <r>
      <rPr>
        <sz val="10"/>
        <color rgb="FF000000"/>
        <rFont val="Lohit Devanagari"/>
        <family val="2"/>
      </rPr>
      <t xml:space="preserve">القادسية سابقا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</si>
  <si>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Al-Sayada Complex</t>
  </si>
  <si>
    <t xml:space="preserve">مجمع الصيادة</t>
  </si>
  <si>
    <t xml:space="preserve">Amal al shaabi</t>
  </si>
  <si>
    <t xml:space="preserve">حي العمل الشعبي</t>
  </si>
  <si>
    <t xml:space="preserve">Baglar</t>
  </si>
  <si>
    <t xml:space="preserve">حي بكلر</t>
  </si>
  <si>
    <t xml:space="preserve">Bajwan</t>
  </si>
  <si>
    <t xml:space="preserve">قرية باجوان</t>
  </si>
  <si>
    <t xml:space="preserve">chardaghli village</t>
  </si>
  <si>
    <t xml:space="preserve">قرية جرداغلوا</t>
  </si>
  <si>
    <t xml:space="preserve">Darwaza</t>
  </si>
  <si>
    <t xml:space="preserve">دروازة</t>
  </si>
  <si>
    <t xml:space="preserve">Hay 1 Athar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</si>
  <si>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 </t>
    </r>
    <r>
      <rPr>
        <sz val="10"/>
        <color rgb="FF000000"/>
        <rFont val="Lohit Devanagari"/>
        <family val="2"/>
      </rPr>
      <t xml:space="preserve">اذار</t>
    </r>
  </si>
  <si>
    <t xml:space="preserve">Hay Adan</t>
  </si>
  <si>
    <t xml:space="preserve">حي عدن</t>
  </si>
  <si>
    <t xml:space="preserve">Hay Al Ertiqaa</t>
  </si>
  <si>
    <t xml:space="preserve">حي الارتقاء</t>
  </si>
  <si>
    <t xml:space="preserve">Hay Al Hamzali</t>
  </si>
  <si>
    <t xml:space="preserve">حي الحمزلي</t>
  </si>
  <si>
    <t xml:space="preserve">Hay Al Jamia-Mahalla 622</t>
  </si>
  <si>
    <r>
      <rPr>
        <sz val="10"/>
        <color rgb="FF000000"/>
        <rFont val="Lohit Devanagari"/>
        <family val="2"/>
      </rPr>
      <t xml:space="preserve">حي الجامعة</t>
    </r>
    <r>
      <rPr>
        <sz val="10"/>
        <color rgb="FF000000"/>
        <rFont val="Arial Narrow"/>
        <family val="2"/>
        <charset val="1"/>
      </rPr>
      <t xml:space="preserve">-622</t>
    </r>
  </si>
  <si>
    <t xml:space="preserve">Hay Al Mansour</t>
  </si>
  <si>
    <t xml:space="preserve">حي المنصور</t>
  </si>
  <si>
    <t xml:space="preserve">Hay Al mas</t>
  </si>
  <si>
    <t xml:space="preserve">حي الماس</t>
  </si>
  <si>
    <t xml:space="preserve">Hay Al Nassir</t>
  </si>
  <si>
    <t xml:space="preserve">Hay Al Sekak</t>
  </si>
  <si>
    <t xml:space="preserve">Hay Al-Khadraa</t>
  </si>
  <si>
    <t xml:space="preserve">Hay Al-Nasir 2</t>
  </si>
  <si>
    <r>
      <rPr>
        <sz val="10"/>
        <color rgb="FF000000"/>
        <rFont val="Lohit Devanagari"/>
        <family val="2"/>
      </rPr>
      <t xml:space="preserve">حي النصر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</si>
  <si>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Al-Nedaa</t>
  </si>
  <si>
    <t xml:space="preserve">حي النداء</t>
  </si>
  <si>
    <t xml:space="preserve">Hay Al-Sinay</t>
  </si>
  <si>
    <t xml:space="preserve">Hay Al-Urooba</t>
  </si>
  <si>
    <t xml:space="preserve">Hay Al-Zawraa</t>
  </si>
  <si>
    <t xml:space="preserve">حي الزوراء</t>
  </si>
  <si>
    <t xml:space="preserve">Hay Arafah 201</t>
  </si>
  <si>
    <t xml:space="preserve">عرفة</t>
  </si>
  <si>
    <t xml:space="preserve">Hay Azadi</t>
  </si>
  <si>
    <t xml:space="preserve">حي ازادي</t>
  </si>
  <si>
    <t xml:space="preserve">Hay Ghurnata</t>
  </si>
  <si>
    <t xml:space="preserve">حي غرناطة</t>
  </si>
  <si>
    <t xml:space="preserve">Hay Musalla</t>
  </si>
  <si>
    <t xml:space="preserve">حي المصلى</t>
  </si>
  <si>
    <t xml:space="preserve">Hay Rasheed(Domiz)</t>
  </si>
  <si>
    <r>
      <rPr>
        <sz val="10"/>
        <color rgb="FF000000"/>
        <rFont val="Lohit Devanagari"/>
        <family val="2"/>
      </rPr>
      <t xml:space="preserve">حي الرشيد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دوميز</t>
    </r>
    <r>
      <rPr>
        <sz val="10"/>
        <color rgb="FF000000"/>
        <rFont val="Arial Narrow"/>
        <family val="2"/>
        <charset val="1"/>
      </rPr>
      <t xml:space="preserve">-</t>
    </r>
  </si>
  <si>
    <t xml:space="preserve">Jadida Village</t>
  </si>
  <si>
    <t xml:space="preserve">قرية الجديدة</t>
  </si>
  <si>
    <t xml:space="preserve">Panja Ali</t>
  </si>
  <si>
    <t xml:space="preserve">بنجه علي</t>
  </si>
  <si>
    <t xml:space="preserve">Qaryat Kamptelar</t>
  </si>
  <si>
    <t xml:space="preserve">قرية كمبتلر</t>
  </si>
  <si>
    <t xml:space="preserve">Qaryat Tobzawa</t>
  </si>
  <si>
    <t xml:space="preserve">قرية طوبزاوة</t>
  </si>
  <si>
    <t xml:space="preserve">Qizil Yar</t>
  </si>
  <si>
    <t xml:space="preserve">قرية قزليار</t>
  </si>
  <si>
    <t xml:space="preserve">Quriya</t>
  </si>
  <si>
    <t xml:space="preserve">حي القورية</t>
  </si>
  <si>
    <t xml:space="preserve">Rahim Awa</t>
  </si>
  <si>
    <t xml:space="preserve">رحيم اوه</t>
  </si>
  <si>
    <t xml:space="preserve">حي روناكي</t>
  </si>
  <si>
    <t xml:space="preserve">Sary Kahya</t>
  </si>
  <si>
    <t xml:space="preserve">حي صاري كهيه</t>
  </si>
  <si>
    <t xml:space="preserve">Sayada village</t>
  </si>
  <si>
    <t xml:space="preserve">قرية صيادة</t>
  </si>
  <si>
    <t xml:space="preserve">Sekanyan</t>
  </si>
  <si>
    <t xml:space="preserve">سيكانيان</t>
  </si>
  <si>
    <t xml:space="preserve">Shorawo</t>
  </si>
  <si>
    <t xml:space="preserve">شوراو</t>
  </si>
  <si>
    <t xml:space="preserve">Shwan Center</t>
  </si>
  <si>
    <t xml:space="preserve">مركز ناحية شوان</t>
  </si>
  <si>
    <t xml:space="preserve">Tiseen</t>
  </si>
  <si>
    <t xml:space="preserve">حي تسن</t>
  </si>
  <si>
    <t xml:space="preserve">Yaychi-101</t>
  </si>
  <si>
    <r>
      <rPr>
        <sz val="10"/>
        <color rgb="FF000000"/>
        <rFont val="Lohit Devanagari"/>
        <family val="2"/>
      </rPr>
      <t xml:space="preserve">حي يايجي</t>
    </r>
    <r>
      <rPr>
        <sz val="10"/>
        <color rgb="FF000000"/>
        <rFont val="Arial Narrow"/>
        <family val="2"/>
        <charset val="1"/>
      </rPr>
      <t xml:space="preserve">-101</t>
    </r>
  </si>
  <si>
    <t xml:space="preserve">Yaychi-Qaryat Dibak Taba</t>
  </si>
  <si>
    <t xml:space="preserve">قرية ديبك تبة</t>
  </si>
  <si>
    <t xml:space="preserve">Yaychi-Qaryat Turklan</t>
  </si>
  <si>
    <t xml:space="preserve">قرية تركلان</t>
  </si>
  <si>
    <t xml:space="preserve">Al-Kahla</t>
  </si>
  <si>
    <t xml:space="preserve">Al Kharaba Village</t>
  </si>
  <si>
    <t xml:space="preserve">قرية الخرابه</t>
  </si>
  <si>
    <t xml:space="preserve">Al Malfood village-Al Musharh</t>
  </si>
  <si>
    <r>
      <rPr>
        <sz val="10"/>
        <color rgb="FF000000"/>
        <rFont val="Lohit Devanagari"/>
        <family val="2"/>
      </rPr>
      <t xml:space="preserve">ناحية المشرح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الملفود</t>
    </r>
  </si>
  <si>
    <t xml:space="preserve">Al Sader Al karima</t>
  </si>
  <si>
    <r>
      <rPr>
        <sz val="10"/>
        <color rgb="FF000000"/>
        <rFont val="Lohit Devanagari"/>
        <family val="2"/>
      </rPr>
      <t xml:space="preserve">ناحية المشرح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صدر الكريمه</t>
    </r>
  </si>
  <si>
    <t xml:space="preserve">Hay 15 Sahaban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</si>
  <si>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15 </t>
    </r>
    <r>
      <rPr>
        <sz val="10"/>
        <color rgb="FF000000"/>
        <rFont val="Lohit Devanagari"/>
        <family val="2"/>
      </rPr>
      <t xml:space="preserve">شعبان</t>
    </r>
  </si>
  <si>
    <t xml:space="preserve">Hay Al Nahdha</t>
  </si>
  <si>
    <t xml:space="preserve">حي النهضه</t>
  </si>
  <si>
    <t xml:space="preserve">Al-Maimouna</t>
  </si>
  <si>
    <t xml:space="preserve">Al turkiyah</t>
  </si>
  <si>
    <r>
      <rPr>
        <sz val="10"/>
        <color rgb="FF000000"/>
        <rFont val="Lohit Devanagari"/>
        <family val="2"/>
      </rPr>
      <t xml:space="preserve">ناحية السلام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التركيه</t>
    </r>
  </si>
  <si>
    <t xml:space="preserve">Hay Al-Qasim</t>
  </si>
  <si>
    <t xml:space="preserve">حي القاسم</t>
  </si>
  <si>
    <t xml:space="preserve">Sayyed Ahmad Rifae-Um Ubaida Village</t>
  </si>
  <si>
    <r>
      <rPr>
        <sz val="10"/>
        <color rgb="FF000000"/>
        <rFont val="Lohit Devanagari"/>
        <family val="2"/>
      </rPr>
      <t xml:space="preserve">ناحية سيد احمد الرفاعي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ام عبيده</t>
    </r>
  </si>
  <si>
    <t xml:space="preserve">Al-Mejar Al-Kabir</t>
  </si>
  <si>
    <t xml:space="preserve">Abu AlAla Village</t>
  </si>
  <si>
    <t xml:space="preserve">قرية ابو العلا</t>
  </si>
  <si>
    <t xml:space="preserve">Al Mabrukah Village</t>
  </si>
  <si>
    <t xml:space="preserve">قرية المبروكه</t>
  </si>
  <si>
    <t xml:space="preserve">Al-Mejar Al-Kabir-Hay Al Zahra</t>
  </si>
  <si>
    <t xml:space="preserve">Hay al badrawi 1</t>
  </si>
  <si>
    <r>
      <rPr>
        <sz val="10"/>
        <color rgb="FF000000"/>
        <rFont val="Lohit Devanagari"/>
        <family val="2"/>
      </rPr>
      <t xml:space="preserve">حي البدراوي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</si>
  <si>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Hassan</t>
  </si>
  <si>
    <t xml:space="preserve">حي الحسن</t>
  </si>
  <si>
    <t xml:space="preserve">Hay Al Mulmin Al Jadid</t>
  </si>
  <si>
    <t xml:space="preserve">حي المعلمين الجديد</t>
  </si>
  <si>
    <t xml:space="preserve">Hay Al Qudis</t>
  </si>
  <si>
    <t xml:space="preserve">حي القدس</t>
  </si>
  <si>
    <t xml:space="preserve">Hay al saray</t>
  </si>
  <si>
    <t xml:space="preserve">Hay Al-Hasan Al-Askarey</t>
  </si>
  <si>
    <t xml:space="preserve">Hay Al-Hussain</t>
  </si>
  <si>
    <t xml:space="preserve">Hay Al-Hussain-Al Adil</t>
  </si>
  <si>
    <r>
      <rPr>
        <sz val="10"/>
        <color rgb="FF000000"/>
        <rFont val="Lohit Devanagari"/>
        <family val="2"/>
      </rPr>
      <t xml:space="preserve">ناحية العدل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</t>
    </r>
  </si>
  <si>
    <t xml:space="preserve">Hay Al-Risala</t>
  </si>
  <si>
    <t xml:space="preserve">Hay al-sinaah</t>
  </si>
  <si>
    <t xml:space="preserve">حي الصناعه</t>
  </si>
  <si>
    <t xml:space="preserve">Imam Al Hussin village</t>
  </si>
  <si>
    <t xml:space="preserve">قرية الامام الحسين</t>
  </si>
  <si>
    <t xml:space="preserve">Ali Al-Gharbi</t>
  </si>
  <si>
    <t xml:space="preserve">Al-fakhriyah</t>
  </si>
  <si>
    <t xml:space="preserve">الفخريه</t>
  </si>
  <si>
    <t xml:space="preserve">Hay Al Batool</t>
  </si>
  <si>
    <t xml:space="preserve">Hay Al Hurria-Ali Al Sharqi</t>
  </si>
  <si>
    <r>
      <rPr>
        <sz val="10"/>
        <color rgb="FF000000"/>
        <rFont val="Lohit Devanagari"/>
        <family val="2"/>
      </rPr>
      <t xml:space="preserve">ناحية علي الشرقي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الحريه</t>
    </r>
  </si>
  <si>
    <t xml:space="preserve">Hay Al Sadir</t>
  </si>
  <si>
    <t xml:space="preserve">حي الصدر</t>
  </si>
  <si>
    <r>
      <rPr>
        <sz val="10"/>
        <color rgb="FF000000"/>
        <rFont val="Lohit Devanagari"/>
        <family val="2"/>
      </rPr>
      <t xml:space="preserve">ناحية علي الشرقي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السلام</t>
    </r>
  </si>
  <si>
    <t xml:space="preserve">Hay Al-Mualmin-Ali Al Sharqi</t>
  </si>
  <si>
    <r>
      <rPr>
        <sz val="10"/>
        <color rgb="FF000000"/>
        <rFont val="Lohit Devanagari"/>
        <family val="2"/>
      </rPr>
      <t xml:space="preserve">ناحية علي الشرقي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المعلمين</t>
    </r>
  </si>
  <si>
    <t xml:space="preserve">Hay al-qalah</t>
  </si>
  <si>
    <t xml:space="preserve">حي القلعه</t>
  </si>
  <si>
    <t xml:space="preserve">Hay Al-Quds</t>
  </si>
  <si>
    <r>
      <rPr>
        <sz val="10"/>
        <color rgb="FF000000"/>
        <rFont val="Lohit Devanagari"/>
        <family val="2"/>
      </rPr>
      <t xml:space="preserve">ناحية علي الشرقي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القدس</t>
    </r>
  </si>
  <si>
    <t xml:space="preserve">Hay Ramadhan-Ali Al Sharqi</t>
  </si>
  <si>
    <r>
      <rPr>
        <sz val="10"/>
        <color rgb="FF000000"/>
        <rFont val="Lohit Devanagari"/>
        <family val="2"/>
      </rPr>
      <t xml:space="preserve">ناحية علي الشرقي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رمضان</t>
    </r>
  </si>
  <si>
    <t xml:space="preserve">Najadiya</t>
  </si>
  <si>
    <t xml:space="preserve">حي النجيديه</t>
  </si>
  <si>
    <t xml:space="preserve">Amara</t>
  </si>
  <si>
    <t xml:space="preserve">Al Hay Al JameI</t>
  </si>
  <si>
    <t xml:space="preserve">الحي الجامعي</t>
  </si>
  <si>
    <t xml:space="preserve">Al karamah Village</t>
  </si>
  <si>
    <t xml:space="preserve">قرية الكرامه</t>
  </si>
  <si>
    <t xml:space="preserve">Al Mudathra</t>
  </si>
  <si>
    <t xml:space="preserve">قرية المدثره </t>
  </si>
  <si>
    <t xml:space="preserve">Al-Amara-Albu Ali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</si>
  <si>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البو علي</t>
    </r>
  </si>
  <si>
    <t xml:space="preserve">Al-Imarat Al Jadeda</t>
  </si>
  <si>
    <t xml:space="preserve">العمارات الجديده</t>
  </si>
  <si>
    <t xml:space="preserve">Al-Rahma 1</t>
  </si>
  <si>
    <r>
      <rPr>
        <sz val="10"/>
        <color rgb="FF000000"/>
        <rFont val="Lohit Devanagari"/>
        <family val="2"/>
      </rPr>
      <t xml:space="preserve">حي الرحمه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</si>
  <si>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Eye of Missan camp</t>
  </si>
  <si>
    <t xml:space="preserve">مخيم عيون ميسان</t>
  </si>
  <si>
    <t xml:space="preserve">Great Al Sharqi Village</t>
  </si>
  <si>
    <t xml:space="preserve">قرية جريت الشرقي</t>
  </si>
  <si>
    <t xml:space="preserve">Hay 17 Rabe Al Awal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</si>
  <si>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17 </t>
    </r>
    <r>
      <rPr>
        <sz val="10"/>
        <color rgb="FF000000"/>
        <rFont val="Lohit Devanagari"/>
        <family val="2"/>
      </rPr>
      <t xml:space="preserve">ربيع الاول</t>
    </r>
  </si>
  <si>
    <t xml:space="preserve">Hay Al Baqer</t>
  </si>
  <si>
    <t xml:space="preserve">حي الباقر</t>
  </si>
  <si>
    <t xml:space="preserve">Hay Al Hussain-Al Kumayt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</si>
  <si>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الحسين</t>
    </r>
  </si>
  <si>
    <t xml:space="preserve">Hay Al Imam Musa Al Kadhum</t>
  </si>
  <si>
    <t xml:space="preserve">حي الامام موسى الكاظم</t>
  </si>
  <si>
    <t xml:space="preserve">Hay Al Jamaiat</t>
  </si>
  <si>
    <t xml:space="preserve">حي الجمعيات</t>
  </si>
  <si>
    <t xml:space="preserve">Hay al jidedah</t>
  </si>
  <si>
    <t xml:space="preserve">حي الجديده</t>
  </si>
  <si>
    <t xml:space="preserve">Hay Al Jihad</t>
  </si>
  <si>
    <t xml:space="preserve">حي الجهاد</t>
  </si>
  <si>
    <t xml:space="preserve">Hay al karamah</t>
  </si>
  <si>
    <t xml:space="preserve">حي الكرامه</t>
  </si>
  <si>
    <t xml:space="preserve">Hay Al Karar</t>
  </si>
  <si>
    <t xml:space="preserve">Hay Al Khalij</t>
  </si>
  <si>
    <t xml:space="preserve">حي الخليج</t>
  </si>
  <si>
    <t xml:space="preserve">Hay al moaalimen al-qadem</t>
  </si>
  <si>
    <t xml:space="preserve">حي المعلمين القديم</t>
  </si>
  <si>
    <t xml:space="preserve">Hay Al Nour-Kamit area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</si>
  <si>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النور</t>
    </r>
  </si>
  <si>
    <t xml:space="preserve">Hay Al Shuhada-Al Komait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</si>
  <si>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الشهداء</t>
    </r>
  </si>
  <si>
    <t xml:space="preserve">Hay Al Urooba</t>
  </si>
  <si>
    <t xml:space="preserve">حي العروبه</t>
  </si>
  <si>
    <t xml:space="preserve">Hay Al-Ameer</t>
  </si>
  <si>
    <t xml:space="preserve">Hay Al-Amen</t>
  </si>
  <si>
    <t xml:space="preserve">Hay Al-Amil</t>
  </si>
  <si>
    <t xml:space="preserve">حي العامل</t>
  </si>
  <si>
    <t xml:space="preserve">Hay Al-Dafas</t>
  </si>
  <si>
    <t xml:space="preserve">قرية الدفاس</t>
  </si>
  <si>
    <t xml:space="preserve">Hay Al-Dawanim</t>
  </si>
  <si>
    <t xml:space="preserve">حي الدوانم</t>
  </si>
  <si>
    <t xml:space="preserve">Hay Al-Ghader</t>
  </si>
  <si>
    <t xml:space="preserve">Hay Al-Hadi</t>
  </si>
  <si>
    <t xml:space="preserve">حي الهادي</t>
  </si>
  <si>
    <t xml:space="preserve">Hay Al-Hasan Al-Askry</t>
  </si>
  <si>
    <t xml:space="preserve">Hay al-hussain al-jaded</t>
  </si>
  <si>
    <t xml:space="preserve">حي الحسين الجديد</t>
  </si>
  <si>
    <t xml:space="preserve">Hay Al-hussan Al-qadem</t>
  </si>
  <si>
    <t xml:space="preserve">حي الحسين القديم</t>
  </si>
  <si>
    <t xml:space="preserve">Hay Al-Kafat</t>
  </si>
  <si>
    <t xml:space="preserve">حي الكفاءات</t>
  </si>
  <si>
    <t xml:space="preserve">Hay Al-Khadhraa</t>
  </si>
  <si>
    <t xml:space="preserve">Hay Al-Mahmoudia</t>
  </si>
  <si>
    <t xml:space="preserve">حي المحموديه</t>
  </si>
  <si>
    <t xml:space="preserve">Hay Al-Montadhar</t>
  </si>
  <si>
    <t xml:space="preserve">Hay Al-Nafot</t>
  </si>
  <si>
    <t xml:space="preserve">حي النفط</t>
  </si>
  <si>
    <t xml:space="preserve">Hay al-qaherah</t>
  </si>
  <si>
    <t xml:space="preserve">حي القاهره</t>
  </si>
  <si>
    <t xml:space="preserve">Hay Al-Rafidain</t>
  </si>
  <si>
    <t xml:space="preserve">Hay Al-Shahedain</t>
  </si>
  <si>
    <t xml:space="preserve">حي الشهيدين</t>
  </si>
  <si>
    <t xml:space="preserve">Hay al-wehdah</t>
  </si>
  <si>
    <t xml:space="preserve">حي الوحده</t>
  </si>
  <si>
    <t xml:space="preserve">Hay al-yarmok</t>
  </si>
  <si>
    <t xml:space="preserve">Hay Al-Zahraa-Al Kumayt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</si>
  <si>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الزهراء</t>
    </r>
  </si>
  <si>
    <t xml:space="preserve">Hay aleskan</t>
  </si>
  <si>
    <t xml:space="preserve">Hay Awasha</t>
  </si>
  <si>
    <t xml:space="preserve">حي عواشه</t>
  </si>
  <si>
    <t xml:space="preserve">Hay Dijlah-Al Kumayt</t>
  </si>
  <si>
    <r>
      <rPr>
        <sz val="10"/>
        <color rgb="FF000000"/>
        <rFont val="Lohit Devanagari"/>
        <family val="2"/>
      </rPr>
      <t xml:space="preserve">ناحية كميت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دجله</t>
    </r>
  </si>
  <si>
    <t xml:space="preserve">Hay Nahawnd</t>
  </si>
  <si>
    <t xml:space="preserve">حي نهاوند</t>
  </si>
  <si>
    <t xml:space="preserve">Hay Sayed Ashur</t>
  </si>
  <si>
    <t xml:space="preserve">حي سيد عاشور</t>
  </si>
  <si>
    <t xml:space="preserve">Hay Sayed Jamil</t>
  </si>
  <si>
    <t xml:space="preserve">حي سيد جميل</t>
  </si>
  <si>
    <t xml:space="preserve">Hay Shabanah</t>
  </si>
  <si>
    <t xml:space="preserve">حي الشبانه</t>
  </si>
  <si>
    <t xml:space="preserve">Kusiba 1 village</t>
  </si>
  <si>
    <r>
      <rPr>
        <sz val="10"/>
        <color rgb="FF000000"/>
        <rFont val="Lohit Devanagari"/>
        <family val="2"/>
      </rPr>
      <t xml:space="preserve">قرية كصيبه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</si>
  <si>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Qal'at Saleh</t>
  </si>
  <si>
    <t xml:space="preserve">Hay Al Hurria</t>
  </si>
  <si>
    <t xml:space="preserve">حي الحريه</t>
  </si>
  <si>
    <t xml:space="preserve">Hay Al Husayniyah</t>
  </si>
  <si>
    <t xml:space="preserve">حي الحسينيه</t>
  </si>
  <si>
    <t xml:space="preserve">Hay Al-Uroba</t>
  </si>
  <si>
    <t xml:space="preserve">Hay Al-Zahraa-Qalat Saleh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</si>
  <si>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قلعة صالح</t>
    </r>
  </si>
  <si>
    <t xml:space="preserve">Al-Khidhir</t>
  </si>
  <si>
    <t xml:space="preserve">Al-hay al-askary</t>
  </si>
  <si>
    <t xml:space="preserve">Albo Resha</t>
  </si>
  <si>
    <t xml:space="preserve">البو ريشة</t>
  </si>
  <si>
    <t xml:space="preserve">Hay Al Ansar</t>
  </si>
  <si>
    <t xml:space="preserve">حي الانصار</t>
  </si>
  <si>
    <t xml:space="preserve">Hay Al Jwadain</t>
  </si>
  <si>
    <t xml:space="preserve">Hay Al Riyadh</t>
  </si>
  <si>
    <t xml:space="preserve">حي الرياض</t>
  </si>
  <si>
    <t xml:space="preserve">Hay AlEshreen</t>
  </si>
  <si>
    <t xml:space="preserve">حي العشرين</t>
  </si>
  <si>
    <t xml:space="preserve">Hay AlGolan</t>
  </si>
  <si>
    <t xml:space="preserve">حي الجولان</t>
  </si>
  <si>
    <t xml:space="preserve">Hay AlHer</t>
  </si>
  <si>
    <t xml:space="preserve">Hay AlKadhim</t>
  </si>
  <si>
    <t xml:space="preserve">Hay AlKawthar</t>
  </si>
  <si>
    <t xml:space="preserve">حي الكوثر</t>
  </si>
  <si>
    <t xml:space="preserve">Hay Alshuhada</t>
  </si>
  <si>
    <t xml:space="preserve">village Al Bderi</t>
  </si>
  <si>
    <t xml:space="preserve">قرية البديري</t>
  </si>
  <si>
    <t xml:space="preserve">village Al Dahera</t>
  </si>
  <si>
    <t xml:space="preserve">قرية الظاهرة</t>
  </si>
  <si>
    <t xml:space="preserve">village Al Hamedia</t>
  </si>
  <si>
    <t xml:space="preserve">قرية الحميدية</t>
  </si>
  <si>
    <t xml:space="preserve">Village all Giza</t>
  </si>
  <si>
    <t xml:space="preserve">قرية ال خزة</t>
  </si>
  <si>
    <t xml:space="preserve">village AlSebia</t>
  </si>
  <si>
    <t xml:space="preserve">قرية الصبية</t>
  </si>
  <si>
    <t xml:space="preserve">village om ozren</t>
  </si>
  <si>
    <t xml:space="preserve">قرية ام وزرن</t>
  </si>
  <si>
    <t xml:space="preserve">Al-Rumaitha</t>
  </si>
  <si>
    <t xml:space="preserve">Al Hilal</t>
  </si>
  <si>
    <t xml:space="preserve">الهلال</t>
  </si>
  <si>
    <t xml:space="preserve">Al Majd</t>
  </si>
  <si>
    <t xml:space="preserve">المجد</t>
  </si>
  <si>
    <t xml:space="preserve">Al Warkaa-Hay Al Zahra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</si>
  <si>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الوركاء</t>
    </r>
  </si>
  <si>
    <t xml:space="preserve">Al Zahra</t>
  </si>
  <si>
    <t xml:space="preserve">الزهراء</t>
  </si>
  <si>
    <t xml:space="preserve">Al-Barbary</t>
  </si>
  <si>
    <t xml:space="preserve">البربري</t>
  </si>
  <si>
    <t xml:space="preserve">Al-Hala</t>
  </si>
  <si>
    <t xml:space="preserve">الحله</t>
  </si>
  <si>
    <t xml:space="preserve">Al-Muthlem Village</t>
  </si>
  <si>
    <t xml:space="preserve">قرية المظلم</t>
  </si>
  <si>
    <t xml:space="preserve">Al-Warka-Al-Shuhada</t>
  </si>
  <si>
    <t xml:space="preserve">Hay al-askary</t>
  </si>
  <si>
    <t xml:space="preserve">Hay al-hussain</t>
  </si>
  <si>
    <t xml:space="preserve">Al-Samawa</t>
  </si>
  <si>
    <t xml:space="preserve">Al Basasteen Al Shirqia</t>
  </si>
  <si>
    <t xml:space="preserve">البساتين الشرقية</t>
  </si>
  <si>
    <t xml:space="preserve">Al Dahra</t>
  </si>
  <si>
    <t xml:space="preserve">الداحرة</t>
  </si>
  <si>
    <t xml:space="preserve">Al Mahdi</t>
  </si>
  <si>
    <t xml:space="preserve">المهدي</t>
  </si>
  <si>
    <t xml:space="preserve">Al Mamlaha</t>
  </si>
  <si>
    <t xml:space="preserve">المملحة</t>
  </si>
  <si>
    <t xml:space="preserve">Al Maredh</t>
  </si>
  <si>
    <t xml:space="preserve">المعارض</t>
  </si>
  <si>
    <t xml:space="preserve">Al Sailo</t>
  </si>
  <si>
    <t xml:space="preserve">السايلو</t>
  </si>
  <si>
    <t xml:space="preserve">Al Sharagia</t>
  </si>
  <si>
    <t xml:space="preserve">الشراكية</t>
  </si>
  <si>
    <t xml:space="preserve">Al-haydariyah</t>
  </si>
  <si>
    <t xml:space="preserve">الحيدريه</t>
  </si>
  <si>
    <t xml:space="preserve">Al-Qushlah</t>
  </si>
  <si>
    <t xml:space="preserve">القشله</t>
  </si>
  <si>
    <t xml:space="preserve">Al-Samawa-Al Maaly</t>
  </si>
  <si>
    <t xml:space="preserve">ال معالي</t>
  </si>
  <si>
    <t xml:space="preserve">Al-Samawa-Al-Hay Al-Askary</t>
  </si>
  <si>
    <t xml:space="preserve">Al-Samawa-Hay Al-Hakim</t>
  </si>
  <si>
    <t xml:space="preserve">حي الحكيم</t>
  </si>
  <si>
    <t xml:space="preserve">Al-Shuhada</t>
  </si>
  <si>
    <t xml:space="preserve">Hay 270 Dar</t>
  </si>
  <si>
    <r>
      <rPr>
        <sz val="10"/>
        <color rgb="FF000000"/>
        <rFont val="Arial Narrow"/>
        <family val="2"/>
        <charset val="1"/>
      </rPr>
      <t xml:space="preserve">270 </t>
    </r>
    <r>
      <rPr>
        <sz val="10"/>
        <color rgb="FF000000"/>
        <rFont val="Lohit Devanagari"/>
        <family val="2"/>
      </rPr>
      <t xml:space="preserve">حي دار</t>
    </r>
  </si>
  <si>
    <t xml:space="preserve">Hay 9 Nissan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</si>
  <si>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9 </t>
    </r>
    <r>
      <rPr>
        <sz val="10"/>
        <color rgb="FF000000"/>
        <rFont val="Lohit Devanagari"/>
        <family val="2"/>
      </rPr>
      <t xml:space="preserve">نيسان</t>
    </r>
  </si>
  <si>
    <t xml:space="preserve">Hay Al Bani</t>
  </si>
  <si>
    <t xml:space="preserve">حي ال باني</t>
  </si>
  <si>
    <t xml:space="preserve">Hay Al Entesar</t>
  </si>
  <si>
    <t xml:space="preserve">Hay Al Gharbi </t>
  </si>
  <si>
    <t xml:space="preserve">حي الغربي</t>
  </si>
  <si>
    <t xml:space="preserve">Hay Al Jadhan</t>
  </si>
  <si>
    <t xml:space="preserve">حي ال جضعان</t>
  </si>
  <si>
    <t xml:space="preserve">Hay Al Jarboaia</t>
  </si>
  <si>
    <t xml:space="preserve">الجربوعية</t>
  </si>
  <si>
    <t xml:space="preserve">Hay Al Kawthar</t>
  </si>
  <si>
    <t xml:space="preserve">Hay Al Mualmeen</t>
  </si>
  <si>
    <t xml:space="preserve">Hay Al Mualmeen 2</t>
  </si>
  <si>
    <t xml:space="preserve">Hay Al Sheirta</t>
  </si>
  <si>
    <t xml:space="preserve">Hay Al Siagh</t>
  </si>
  <si>
    <t xml:space="preserve">حي الصياغ</t>
  </si>
  <si>
    <t xml:space="preserve">Hay Al Tamiem</t>
  </si>
  <si>
    <t xml:space="preserve">حي التاميم</t>
  </si>
  <si>
    <t xml:space="preserve">Hay Al-Sadir</t>
  </si>
  <si>
    <t xml:space="preserve">Hay Alabeiad</t>
  </si>
  <si>
    <t xml:space="preserve">حي ال عبيد</t>
  </si>
  <si>
    <t xml:space="preserve">Hay Alhussein</t>
  </si>
  <si>
    <t xml:space="preserve">Hay Dor Al Nafid</t>
  </si>
  <si>
    <t xml:space="preserve">حي دور النفط</t>
  </si>
  <si>
    <t xml:space="preserve">Hay Dor Al Shareka</t>
  </si>
  <si>
    <t xml:space="preserve">حي دور الشركة</t>
  </si>
  <si>
    <t xml:space="preserve">Hay Saed Jabar</t>
  </si>
  <si>
    <t xml:space="preserve">حي سيد جبار</t>
  </si>
  <si>
    <t xml:space="preserve">village All Sabbti</t>
  </si>
  <si>
    <t xml:space="preserve">قرية ال سبتي</t>
  </si>
  <si>
    <t xml:space="preserve">Al-Manathera</t>
  </si>
  <si>
    <t xml:space="preserve">Al Jumhooriya</t>
  </si>
  <si>
    <t xml:space="preserve">حي الجمهورية</t>
  </si>
  <si>
    <t xml:space="preserve">Al Mishkhab</t>
  </si>
  <si>
    <t xml:space="preserve">المشخاب</t>
  </si>
  <si>
    <t xml:space="preserve">Al Shahid Al Sader</t>
  </si>
  <si>
    <t xml:space="preserve">الشهيد الصدر</t>
  </si>
  <si>
    <t xml:space="preserve">Al-Muhajeer</t>
  </si>
  <si>
    <t xml:space="preserve">المحاجير</t>
  </si>
  <si>
    <t xml:space="preserve">Hay Al Noaman</t>
  </si>
  <si>
    <t xml:space="preserve">حي النعمان</t>
  </si>
  <si>
    <t xml:space="preserve">Hay almatat</t>
  </si>
  <si>
    <t xml:space="preserve">حي المطاط</t>
  </si>
  <si>
    <t xml:space="preserve">Hay alsaray</t>
  </si>
  <si>
    <t xml:space="preserve">Leshan</t>
  </si>
  <si>
    <t xml:space="preserve">حي الليشان</t>
  </si>
  <si>
    <t xml:space="preserve">Suq Shaalan</t>
  </si>
  <si>
    <t xml:space="preserve">سوق شعلان</t>
  </si>
  <si>
    <t xml:space="preserve">Kufa</t>
  </si>
  <si>
    <t xml:space="preserve">Al Abasiyah-Al wahaby</t>
  </si>
  <si>
    <r>
      <rPr>
        <sz val="10"/>
        <color rgb="FF000000"/>
        <rFont val="Lohit Devanagari"/>
        <family val="2"/>
      </rPr>
      <t xml:space="preserve">العباسية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الوهابي</t>
    </r>
  </si>
  <si>
    <t xml:space="preserve">Al Abassiyah-Al Resalah 3</t>
  </si>
  <si>
    <t xml:space="preserve">العباسية حي الرسالة الثالثة</t>
  </si>
  <si>
    <t xml:space="preserve">Al Abassiyah-Al-Adal</t>
  </si>
  <si>
    <r>
      <rPr>
        <sz val="10"/>
        <color rgb="FF000000"/>
        <rFont val="Lohit Devanagari"/>
        <family val="2"/>
      </rPr>
      <t xml:space="preserve">العباسية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العدل</t>
    </r>
  </si>
  <si>
    <t xml:space="preserve">Al Abassiyah-Al-Zaidi</t>
  </si>
  <si>
    <r>
      <rPr>
        <sz val="10"/>
        <color rgb="FF000000"/>
        <rFont val="Lohit Devanagari"/>
        <family val="2"/>
      </rPr>
      <t xml:space="preserve">العباسية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الزيدي</t>
    </r>
  </si>
  <si>
    <t xml:space="preserve">Al Abassiyah-Hay Al muntadher</t>
  </si>
  <si>
    <r>
      <rPr>
        <sz val="10"/>
        <color rgb="FF000000"/>
        <rFont val="Lohit Devanagari"/>
        <family val="2"/>
      </rPr>
      <t xml:space="preserve">العباسية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المنتظر</t>
    </r>
  </si>
  <si>
    <t xml:space="preserve">Al Abassiyah-Hay Al Resalah 2</t>
  </si>
  <si>
    <t xml:space="preserve">العباسية حي الرسالة الثانية</t>
  </si>
  <si>
    <t xml:space="preserve">Al Abassiyah-Mamal</t>
  </si>
  <si>
    <r>
      <rPr>
        <sz val="10"/>
        <color rgb="FF000000"/>
        <rFont val="Lohit Devanagari"/>
        <family val="2"/>
      </rPr>
      <t xml:space="preserve">طريق عباسية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معمل</t>
    </r>
  </si>
  <si>
    <t xml:space="preserve">Al Barakiya</t>
  </si>
  <si>
    <t xml:space="preserve">البراكية</t>
  </si>
  <si>
    <t xml:space="preserve">Al Hakeem</t>
  </si>
  <si>
    <t xml:space="preserve">Al Hureya</t>
  </si>
  <si>
    <t xml:space="preserve">Al Kreishat</t>
  </si>
  <si>
    <t xml:space="preserve">الكريشات</t>
  </si>
  <si>
    <t xml:space="preserve">Al Sahla</t>
  </si>
  <si>
    <t xml:space="preserve">السهله</t>
  </si>
  <si>
    <t xml:space="preserve">Al Suhailiya 1</t>
  </si>
  <si>
    <r>
      <rPr>
        <sz val="10"/>
        <color rgb="FF000000"/>
        <rFont val="Lohit Devanagari"/>
        <family val="2"/>
      </rPr>
      <t xml:space="preserve">السهيليه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</si>
  <si>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Suhailiya 2</t>
  </si>
  <si>
    <r>
      <rPr>
        <sz val="10"/>
        <color rgb="FF000000"/>
        <rFont val="Lohit Devanagari"/>
        <family val="2"/>
      </rPr>
      <t xml:space="preserve">السهيليه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</si>
  <si>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Al-Jamhuriya</t>
  </si>
  <si>
    <t xml:space="preserve">الجمهورية</t>
  </si>
  <si>
    <t xml:space="preserve">Al-kufa Area-Al Issa</t>
  </si>
  <si>
    <t xml:space="preserve">آل عيسى</t>
  </si>
  <si>
    <t xml:space="preserve">Albu Hadary</t>
  </si>
  <si>
    <t xml:space="preserve">البو حداري</t>
  </si>
  <si>
    <t xml:space="preserve">Albu Noman</t>
  </si>
  <si>
    <t xml:space="preserve">البو نعمان</t>
  </si>
  <si>
    <t xml:space="preserve">Alwat Al Fahal</t>
  </si>
  <si>
    <t xml:space="preserve">علوة الفحل</t>
  </si>
  <si>
    <t xml:space="preserve">Door Al-Maamal</t>
  </si>
  <si>
    <t xml:space="preserve">دور المعمل</t>
  </si>
  <si>
    <t xml:space="preserve">Hay Al Mualmin-Mahalla 208</t>
  </si>
  <si>
    <r>
      <rPr>
        <sz val="10"/>
        <color rgb="FF000000"/>
        <rFont val="Lohit Devanagari"/>
        <family val="2"/>
      </rPr>
      <t xml:space="preserve">حي المعلمين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208</t>
    </r>
  </si>
  <si>
    <t xml:space="preserve">Hay alfurat</t>
  </si>
  <si>
    <t xml:space="preserve">حي الفرات</t>
  </si>
  <si>
    <t xml:space="preserve">Hay Askary-Mutanabi</t>
  </si>
  <si>
    <r>
      <rPr>
        <sz val="10"/>
        <color rgb="FF000000"/>
        <rFont val="Lohit Devanagari"/>
        <family val="2"/>
      </rPr>
      <t xml:space="preserve">حي عسكري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متنبي</t>
    </r>
  </si>
  <si>
    <t xml:space="preserve">Hay Kinda 1</t>
  </si>
  <si>
    <r>
      <rPr>
        <sz val="10"/>
        <color rgb="FF000000"/>
        <rFont val="Lohit Devanagari"/>
        <family val="2"/>
      </rPr>
      <t xml:space="preserve">حي كندة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</si>
  <si>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missan 230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</si>
  <si>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230</t>
    </r>
  </si>
  <si>
    <t xml:space="preserve">Hay missan 232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</si>
  <si>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232</t>
    </r>
  </si>
  <si>
    <t xml:space="preserve">Hay missan 234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</si>
  <si>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234</t>
    </r>
  </si>
  <si>
    <t xml:space="preserve">Hay missan 236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</si>
  <si>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236</t>
    </r>
  </si>
  <si>
    <t xml:space="preserve">Hay missan block 238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</si>
  <si>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238</t>
    </r>
  </si>
  <si>
    <t xml:space="preserve">Hay missan block 242</t>
  </si>
  <si>
    <r>
      <rPr>
        <sz val="10"/>
        <color rgb="FF000000"/>
        <rFont val="Lohit Devanagari"/>
        <family val="2"/>
      </rPr>
      <t xml:space="preserve">حي ميسان </t>
    </r>
    <r>
      <rPr>
        <sz val="10"/>
        <color rgb="FF000000"/>
        <rFont val="Arial Narrow"/>
        <family val="2"/>
        <charset val="1"/>
      </rPr>
      <t xml:space="preserve">242</t>
    </r>
  </si>
  <si>
    <t xml:space="preserve">Maytham Al Tamar</t>
  </si>
  <si>
    <t xml:space="preserve">حي ميثم التمار</t>
  </si>
  <si>
    <t xml:space="preserve">Sader 3</t>
  </si>
  <si>
    <t xml:space="preserve">الصدر الثالث</t>
  </si>
  <si>
    <t xml:space="preserve">Abu Khalid</t>
  </si>
  <si>
    <t xml:space="preserve">حي ابو خالد</t>
  </si>
  <si>
    <t xml:space="preserve">Al bory</t>
  </si>
  <si>
    <t xml:space="preserve">قرية البوري</t>
  </si>
  <si>
    <t xml:space="preserve">Al Imam Al Mahdi</t>
  </si>
  <si>
    <t xml:space="preserve">الامام المهدي</t>
  </si>
  <si>
    <t xml:space="preserve">Al Jamiaa 1</t>
  </si>
  <si>
    <r>
      <rPr>
        <sz val="10"/>
        <color rgb="FF000000"/>
        <rFont val="Lohit Devanagari"/>
        <family val="2"/>
      </rPr>
      <t xml:space="preserve">الجامعة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</si>
  <si>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Jamiaa 2</t>
  </si>
  <si>
    <r>
      <rPr>
        <sz val="10"/>
        <color rgb="FF000000"/>
        <rFont val="Lohit Devanagari"/>
        <family val="2"/>
      </rPr>
      <t xml:space="preserve">الجامعة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</si>
  <si>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Jamiaa 3</t>
  </si>
  <si>
    <r>
      <rPr>
        <sz val="10"/>
        <color rgb="FF000000"/>
        <rFont val="Lohit Devanagari"/>
        <family val="2"/>
      </rPr>
      <t xml:space="preserve">الجامعة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</si>
  <si>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 Jamiaa 4</t>
  </si>
  <si>
    <r>
      <rPr>
        <sz val="10"/>
        <color rgb="FF000000"/>
        <rFont val="Lohit Devanagari"/>
        <family val="2"/>
      </rPr>
      <t xml:space="preserve">الجامعة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</si>
  <si>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Jazair 1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</si>
  <si>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</si>
  <si>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 Jazair 2-A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</si>
  <si>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2-A</t>
    </r>
  </si>
  <si>
    <t xml:space="preserve">Al Jazair 2-B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</si>
  <si>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2-B</t>
    </r>
  </si>
  <si>
    <t xml:space="preserve">Al Jazair 3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</si>
  <si>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</si>
  <si>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 Jazair 4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</si>
  <si>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</si>
  <si>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Jazair 5</t>
  </si>
  <si>
    <r>
      <rPr>
        <sz val="10"/>
        <color rgb="FF000000"/>
        <rFont val="Lohit Devanagari"/>
        <family val="2"/>
      </rPr>
      <t xml:space="preserve">الجزائر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</si>
  <si>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AL JEDAIDA</t>
  </si>
  <si>
    <r>
      <rPr>
        <sz val="10"/>
        <color rgb="FF000000"/>
        <rFont val="Lohit Devanagari"/>
        <family val="2"/>
      </rPr>
      <t xml:space="preserve">الجديدة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</si>
  <si>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Noor</t>
  </si>
  <si>
    <t xml:space="preserve">النور</t>
  </si>
  <si>
    <t xml:space="preserve">Al Quds 22</t>
  </si>
  <si>
    <r>
      <rPr>
        <sz val="10"/>
        <color rgb="FF000000"/>
        <rFont val="Lohit Devanagari"/>
        <family val="2"/>
      </rPr>
      <t xml:space="preserve">القدس </t>
    </r>
    <r>
      <rPr>
        <sz val="10"/>
        <color rgb="FF000000"/>
        <rFont val="Arial Narrow"/>
        <family val="2"/>
        <charset val="1"/>
      </rPr>
      <t xml:space="preserve">22</t>
    </r>
  </si>
  <si>
    <t xml:space="preserve">Al Radhawiyah 2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</si>
  <si>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</si>
  <si>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Radhawiyah 3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</si>
  <si>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</si>
  <si>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 Radhawiyah 4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</si>
  <si>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</si>
  <si>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 Radhawiyah 5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</si>
  <si>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</si>
  <si>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Al Radhawiyah 6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</si>
  <si>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6</t>
    </r>
  </si>
  <si>
    <t xml:space="preserve">Al Radhawiyah 7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</si>
  <si>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7</t>
    </r>
  </si>
  <si>
    <t xml:space="preserve">Al Radhawiyah 8</t>
  </si>
  <si>
    <r>
      <rPr>
        <sz val="10"/>
        <color rgb="FF000000"/>
        <rFont val="Lohit Devanagari"/>
        <family val="2"/>
      </rPr>
      <t xml:space="preserve">الرضوية </t>
    </r>
    <r>
      <rPr>
        <sz val="10"/>
        <color rgb="FF000000"/>
        <rFont val="Arial Narrow"/>
        <family val="2"/>
        <charset val="1"/>
      </rPr>
      <t xml:space="preserve">8</t>
    </r>
  </si>
  <si>
    <t xml:space="preserve">Al Rehab</t>
  </si>
  <si>
    <t xml:space="preserve">Al Salam Camp</t>
  </si>
  <si>
    <t xml:space="preserve">مخيم السلام</t>
  </si>
  <si>
    <t xml:space="preserve">Al Siha</t>
  </si>
  <si>
    <t xml:space="preserve">حي الصحه</t>
  </si>
  <si>
    <t xml:space="preserve">Al-Adalah 1</t>
  </si>
  <si>
    <r>
      <rPr>
        <sz val="10"/>
        <color rgb="FF000000"/>
        <rFont val="Lohit Devanagari"/>
        <family val="2"/>
      </rPr>
      <t xml:space="preserve">العدالة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</si>
  <si>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AL-Ajdaa</t>
  </si>
  <si>
    <t xml:space="preserve">الاجدع</t>
  </si>
  <si>
    <t xml:space="preserve">Al-Ameriya</t>
  </si>
  <si>
    <t xml:space="preserve">العامرية</t>
  </si>
  <si>
    <t xml:space="preserve">Al-Ansar</t>
  </si>
  <si>
    <t xml:space="preserve">Al-Fao</t>
  </si>
  <si>
    <t xml:space="preserve">الفاو</t>
  </si>
  <si>
    <t xml:space="preserve">Al-Hurriya Camp</t>
  </si>
  <si>
    <t xml:space="preserve">مخيم الحرية</t>
  </si>
  <si>
    <t xml:space="preserve">Al-Jihad 1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</si>
  <si>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</si>
  <si>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Al-Jihad 2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</si>
  <si>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</si>
  <si>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Al-Jihad 3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</si>
  <si>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</si>
  <si>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Al-Jihad 4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</si>
  <si>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</si>
  <si>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Al-Jihad 5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</si>
  <si>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</si>
  <si>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Al-Jihad 6</t>
  </si>
  <si>
    <r>
      <rPr>
        <sz val="10"/>
        <color rgb="FF000000"/>
        <rFont val="Lohit Devanagari"/>
        <family val="2"/>
      </rPr>
      <t xml:space="preserve">الجهاد </t>
    </r>
    <r>
      <rPr>
        <sz val="10"/>
        <color rgb="FF000000"/>
        <rFont val="Arial Narrow"/>
        <family val="2"/>
        <charset val="1"/>
      </rPr>
      <t xml:space="preserve">6</t>
    </r>
  </si>
  <si>
    <t xml:space="preserve">Al-Mazara 2</t>
  </si>
  <si>
    <t xml:space="preserve">المزارع الثانية</t>
  </si>
  <si>
    <t xml:space="preserve">Al-Mazarea AL-Westa</t>
  </si>
  <si>
    <t xml:space="preserve">المزارع الوسطى</t>
  </si>
  <si>
    <t xml:space="preserve">Al-Nidaa</t>
  </si>
  <si>
    <t xml:space="preserve">النداء</t>
  </si>
  <si>
    <t xml:space="preserve">Al-Qasim</t>
  </si>
  <si>
    <t xml:space="preserve">القاسم</t>
  </si>
  <si>
    <t xml:space="preserve">Al-Qasim 2</t>
  </si>
  <si>
    <r>
      <rPr>
        <sz val="10"/>
        <color rgb="FF000000"/>
        <rFont val="Lohit Devanagari"/>
        <family val="2"/>
      </rPr>
      <t xml:space="preserve">حي القاسم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</si>
  <si>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Al-Qasim 3</t>
  </si>
  <si>
    <r>
      <rPr>
        <sz val="10"/>
        <color rgb="FF000000"/>
        <rFont val="Lohit Devanagari"/>
        <family val="2"/>
      </rPr>
      <t xml:space="preserve">حي القاسم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</si>
  <si>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Al-Risala 2</t>
  </si>
  <si>
    <r>
      <rPr>
        <sz val="10"/>
        <color rgb="FF000000"/>
        <rFont val="Lohit Devanagari"/>
        <family val="2"/>
      </rPr>
      <t xml:space="preserve">الرسالة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</si>
  <si>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Al-Shaheed Al-Sadar 1</t>
  </si>
  <si>
    <r>
      <rPr>
        <sz val="10"/>
        <color rgb="FF000000"/>
        <rFont val="Lohit Devanagari"/>
        <family val="2"/>
      </rPr>
      <t xml:space="preserve">حي الشهيد الصدر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</si>
  <si>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Al-Shaheed Al-Sadar 2</t>
  </si>
  <si>
    <r>
      <rPr>
        <sz val="10"/>
        <color rgb="FF000000"/>
        <rFont val="Lohit Devanagari"/>
        <family val="2"/>
      </rPr>
      <t xml:space="preserve">حي الشهيد الصدر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</si>
  <si>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Al-Shaheed Al-Sadar 4</t>
  </si>
  <si>
    <r>
      <rPr>
        <sz val="10"/>
        <color rgb="FF000000"/>
        <rFont val="Lohit Devanagari"/>
        <family val="2"/>
      </rPr>
      <t xml:space="preserve">حي الشهيد الصدر </t>
    </r>
    <r>
      <rPr>
        <sz val="10"/>
        <color rgb="FF000000"/>
        <rFont val="Arial Narrow"/>
        <family val="2"/>
        <charset val="1"/>
      </rPr>
      <t xml:space="preserve">4</t>
    </r>
  </si>
  <si>
    <t xml:space="preserve">Al-Shaheed Al-Sadar 5</t>
  </si>
  <si>
    <r>
      <rPr>
        <sz val="10"/>
        <color rgb="FF000000"/>
        <rFont val="Lohit Devanagari"/>
        <family val="2"/>
      </rPr>
      <t xml:space="preserve">حي الشهيد الصدر </t>
    </r>
    <r>
      <rPr>
        <sz val="10"/>
        <color rgb="FF000000"/>
        <rFont val="Arial Narrow"/>
        <family val="2"/>
        <charset val="1"/>
      </rPr>
      <t xml:space="preserve">5</t>
    </r>
  </si>
  <si>
    <t xml:space="preserve">Al-Shaheed Al-Sadar-Shareet</t>
  </si>
  <si>
    <r>
      <rPr>
        <sz val="10"/>
        <color rgb="FF000000"/>
        <rFont val="Lohit Devanagari"/>
        <family val="2"/>
      </rPr>
      <t xml:space="preserve">حي الشهيد الصدر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الشريط</t>
    </r>
  </si>
  <si>
    <t xml:space="preserve">Al-Urooba 1</t>
  </si>
  <si>
    <r>
      <rPr>
        <sz val="10"/>
        <color rgb="FF000000"/>
        <rFont val="Lohit Devanagari"/>
        <family val="2"/>
      </rPr>
      <t xml:space="preserve">العروبة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</si>
  <si>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Al-Urooba 2</t>
  </si>
  <si>
    <r>
      <rPr>
        <sz val="10"/>
        <color rgb="FF000000"/>
        <rFont val="Lohit Devanagari"/>
        <family val="2"/>
      </rPr>
      <t xml:space="preserve">العروبة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</si>
  <si>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Aljadidah althalthah</t>
  </si>
  <si>
    <t xml:space="preserve">الجديدة الثالثة</t>
  </si>
  <si>
    <t xml:space="preserve">Aljadidah althanyah</t>
  </si>
  <si>
    <t xml:space="preserve">الجديدة الثانية</t>
  </si>
  <si>
    <t xml:space="preserve">Aljadidah alulah</t>
  </si>
  <si>
    <t xml:space="preserve">الجديدة الاولى</t>
  </si>
  <si>
    <t xml:space="preserve">Fadak Village</t>
  </si>
  <si>
    <t xml:space="preserve">قرية فدك</t>
  </si>
  <si>
    <t xml:space="preserve">Hay aby taleb</t>
  </si>
  <si>
    <t xml:space="preserve">حي ابو طالب</t>
  </si>
  <si>
    <t xml:space="preserve">Hay Al Ameer</t>
  </si>
  <si>
    <t xml:space="preserve">Hay Al imam Ali Al mualmien</t>
  </si>
  <si>
    <t xml:space="preserve">حي الامام علي والمعلمين</t>
  </si>
  <si>
    <t xml:space="preserve">Hay Al qadissiyah</t>
  </si>
  <si>
    <t xml:space="preserve">Hay Al Rahma</t>
  </si>
  <si>
    <t xml:space="preserve">حي الرحمة</t>
  </si>
  <si>
    <t xml:space="preserve">Hay Al Tahadi</t>
  </si>
  <si>
    <t xml:space="preserve">Hay Al Yarmook 326</t>
  </si>
  <si>
    <r>
      <rPr>
        <sz val="10"/>
        <color rgb="FF000000"/>
        <rFont val="Lohit Devanagari"/>
        <family val="2"/>
      </rPr>
      <t xml:space="preserve">حي اليرموك </t>
    </r>
    <r>
      <rPr>
        <sz val="10"/>
        <color rgb="FF000000"/>
        <rFont val="Arial Narrow"/>
        <family val="2"/>
        <charset val="1"/>
      </rPr>
      <t xml:space="preserve">326</t>
    </r>
  </si>
  <si>
    <t xml:space="preserve">Hay Al Yarmuk-332</t>
  </si>
  <si>
    <r>
      <rPr>
        <sz val="10"/>
        <color rgb="FF000000"/>
        <rFont val="Lohit Devanagari"/>
        <family val="2"/>
      </rPr>
      <t xml:space="preserve">حي اليرموك </t>
    </r>
    <r>
      <rPr>
        <sz val="10"/>
        <color rgb="FF000000"/>
        <rFont val="Arial Narrow"/>
        <family val="2"/>
        <charset val="1"/>
      </rPr>
      <t xml:space="preserve">332</t>
    </r>
  </si>
  <si>
    <t xml:space="preserve">Hay Al zahraa-Al Haidariyah</t>
  </si>
  <si>
    <r>
      <rPr>
        <sz val="10"/>
        <color rgb="FF000000"/>
        <rFont val="Lohit Devanagari"/>
        <family val="2"/>
      </rPr>
      <t xml:space="preserve">حي الزهراء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الحيدرية</t>
    </r>
  </si>
  <si>
    <t xml:space="preserve">Hay Al-Zahra</t>
  </si>
  <si>
    <t xml:space="preserve">Hay alghary 1</t>
  </si>
  <si>
    <r>
      <rPr>
        <sz val="10"/>
        <color rgb="FF000000"/>
        <rFont val="Lohit Devanagari"/>
        <family val="2"/>
      </rPr>
      <t xml:space="preserve">حي الغري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</si>
  <si>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alhawra zainab</t>
  </si>
  <si>
    <t xml:space="preserve">حي الحوراء زينب</t>
  </si>
  <si>
    <t xml:space="preserve">Hay alsalam 131</t>
  </si>
  <si>
    <r>
      <rPr>
        <sz val="10"/>
        <color rgb="FF000000"/>
        <rFont val="Lohit Devanagari"/>
        <family val="2"/>
      </rPr>
      <t xml:space="preserve">حي السلام </t>
    </r>
    <r>
      <rPr>
        <sz val="10"/>
        <color rgb="FF000000"/>
        <rFont val="Arial Narrow"/>
        <family val="2"/>
        <charset val="1"/>
      </rPr>
      <t xml:space="preserve">131</t>
    </r>
  </si>
  <si>
    <t xml:space="preserve">Hay Tabok</t>
  </si>
  <si>
    <t xml:space="preserve">حي تبوك</t>
  </si>
  <si>
    <t xml:space="preserve">Madhlum Village</t>
  </si>
  <si>
    <t xml:space="preserve">قرية مظلوم</t>
  </si>
  <si>
    <t xml:space="preserve">Mafraq Al-Kefal</t>
  </si>
  <si>
    <t xml:space="preserve">مفرك الجفل</t>
  </si>
  <si>
    <t xml:space="preserve">Markaz Alhaidariya</t>
  </si>
  <si>
    <t xml:space="preserve">مركز الحيدرية</t>
  </si>
  <si>
    <t xml:space="preserve">Mazara Al-Hawli</t>
  </si>
  <si>
    <t xml:space="preserve">مزارع الحولي</t>
  </si>
  <si>
    <t xml:space="preserve">Shareet Noor-Tabook</t>
  </si>
  <si>
    <r>
      <rPr>
        <sz val="10"/>
        <color rgb="FF000000"/>
        <rFont val="Lohit Devanagari"/>
        <family val="2"/>
      </rPr>
      <t xml:space="preserve">شريط نور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تبوك</t>
    </r>
  </si>
  <si>
    <t xml:space="preserve">Shawafi Village</t>
  </si>
  <si>
    <t xml:space="preserve">الشوافع</t>
  </si>
  <si>
    <t xml:space="preserve">Akre</t>
  </si>
  <si>
    <t xml:space="preserve">عقرة</t>
  </si>
  <si>
    <t xml:space="preserve">Amiyanook</t>
  </si>
  <si>
    <t xml:space="preserve">آميانوك</t>
  </si>
  <si>
    <t xml:space="preserve">Amyan</t>
  </si>
  <si>
    <t xml:space="preserve">اميان</t>
  </si>
  <si>
    <t xml:space="preserve">Banasur</t>
  </si>
  <si>
    <t xml:space="preserve">بانسور</t>
  </si>
  <si>
    <t xml:space="preserve">Bardarash</t>
  </si>
  <si>
    <t xml:space="preserve">بردرش</t>
  </si>
  <si>
    <t xml:space="preserve">Bardarash Bchok</t>
  </si>
  <si>
    <t xml:space="preserve">بردرش بجوك</t>
  </si>
  <si>
    <t xml:space="preserve">Bardarash Camp</t>
  </si>
  <si>
    <t xml:space="preserve">مخيم بردرش</t>
  </si>
  <si>
    <t xml:space="preserve">Big Dogondan</t>
  </si>
  <si>
    <t xml:space="preserve">دوكندان كبيرة</t>
  </si>
  <si>
    <t xml:space="preserve">Big Topzawa</t>
  </si>
  <si>
    <t xml:space="preserve">توبزاوة كبيرة</t>
  </si>
  <si>
    <t xml:space="preserve">Bishryan</t>
  </si>
  <si>
    <t xml:space="preserve">بشريان</t>
  </si>
  <si>
    <t xml:space="preserve">Bjil</t>
  </si>
  <si>
    <t xml:space="preserve">بجيل</t>
  </si>
  <si>
    <t xml:space="preserve">Daratu</t>
  </si>
  <si>
    <t xml:space="preserve">دارتو</t>
  </si>
  <si>
    <t xml:space="preserve">Dinarta</t>
  </si>
  <si>
    <t xml:space="preserve">دينارته</t>
  </si>
  <si>
    <t xml:space="preserve">Gawilan</t>
  </si>
  <si>
    <t xml:space="preserve">كويلان</t>
  </si>
  <si>
    <t xml:space="preserve">Gawrasoor</t>
  </si>
  <si>
    <t xml:space="preserve">كورا صور</t>
  </si>
  <si>
    <t xml:space="preserve">Grdasin</t>
  </si>
  <si>
    <t xml:space="preserve">كردسين</t>
  </si>
  <si>
    <t xml:space="preserve">Husseini</t>
  </si>
  <si>
    <t xml:space="preserve">حسيني</t>
  </si>
  <si>
    <t xml:space="preserve">Ismawa</t>
  </si>
  <si>
    <t xml:space="preserve">ايسماوة</t>
  </si>
  <si>
    <t xml:space="preserve">Kalak</t>
  </si>
  <si>
    <t xml:space="preserve">كلكك</t>
  </si>
  <si>
    <t xml:space="preserve">Kani Lan</t>
  </si>
  <si>
    <t xml:space="preserve">كاني لان</t>
  </si>
  <si>
    <t xml:space="preserve">Kawnapak</t>
  </si>
  <si>
    <t xml:space="preserve">كوناباك</t>
  </si>
  <si>
    <t xml:space="preserve">Khalilkan</t>
  </si>
  <si>
    <t xml:space="preserve">خليلكان</t>
  </si>
  <si>
    <t xml:space="preserve">Mam Wa Zina</t>
  </si>
  <si>
    <t xml:space="preserve">مم و زينا</t>
  </si>
  <si>
    <t xml:space="preserve">Mamilian Camp</t>
  </si>
  <si>
    <t xml:space="preserve">مخيم مامليان</t>
  </si>
  <si>
    <t xml:space="preserve">Roviya</t>
  </si>
  <si>
    <t xml:space="preserve">روفيا</t>
  </si>
  <si>
    <t xml:space="preserve">Yakmala</t>
  </si>
  <si>
    <t xml:space="preserve">يكمالا</t>
  </si>
  <si>
    <t xml:space="preserve">Zanganan</t>
  </si>
  <si>
    <t xml:space="preserve">زنكنان</t>
  </si>
  <si>
    <t xml:space="preserve">Zawi Rash</t>
  </si>
  <si>
    <t xml:space="preserve">زوي رش</t>
  </si>
  <si>
    <t xml:space="preserve">Zimzimuk</t>
  </si>
  <si>
    <t xml:space="preserve">زمزموك</t>
  </si>
  <si>
    <t xml:space="preserve">Al-Hamdaniya</t>
  </si>
  <si>
    <t xml:space="preserve">Al-Adla Village</t>
  </si>
  <si>
    <t xml:space="preserve">قرية العدلة</t>
  </si>
  <si>
    <t xml:space="preserve">Hasansham U3 camp</t>
  </si>
  <si>
    <r>
      <rPr>
        <sz val="10"/>
        <color rgb="FF000000"/>
        <rFont val="Lohit Devanagari"/>
        <family val="2"/>
      </rPr>
      <t xml:space="preserve">مخيم حسن شامي </t>
    </r>
    <r>
      <rPr>
        <sz val="10"/>
        <color rgb="FF000000"/>
        <rFont val="Arial Narrow"/>
        <family val="2"/>
        <charset val="1"/>
      </rPr>
      <t xml:space="preserve">U3</t>
    </r>
  </si>
  <si>
    <t xml:space="preserve">Ibrahim Alkhalil Village</t>
  </si>
  <si>
    <t xml:space="preserve">قرية ابراهيم الخليل</t>
  </si>
  <si>
    <t xml:space="preserve">Khazer M1 camp</t>
  </si>
  <si>
    <r>
      <rPr>
        <sz val="10"/>
        <color rgb="FF000000"/>
        <rFont val="Lohit Devanagari"/>
        <family val="2"/>
      </rPr>
      <t xml:space="preserve">مخيم الخازر </t>
    </r>
    <r>
      <rPr>
        <sz val="10"/>
        <color rgb="FF000000"/>
        <rFont val="Arial Narrow"/>
        <family val="2"/>
        <charset val="1"/>
      </rPr>
      <t xml:space="preserve">M1</t>
    </r>
  </si>
  <si>
    <t xml:space="preserve">Khazer M2 camp</t>
  </si>
  <si>
    <r>
      <rPr>
        <sz val="10"/>
        <color rgb="FF000000"/>
        <rFont val="Lohit Devanagari"/>
        <family val="2"/>
      </rPr>
      <t xml:space="preserve">مخيم الخازر </t>
    </r>
    <r>
      <rPr>
        <sz val="10"/>
        <color rgb="FF000000"/>
        <rFont val="Arial Narrow"/>
        <family val="2"/>
        <charset val="1"/>
      </rPr>
      <t xml:space="preserve">M2</t>
    </r>
  </si>
  <si>
    <t xml:space="preserve">Kubaiba village</t>
  </si>
  <si>
    <t xml:space="preserve">قرية كبيبة</t>
  </si>
  <si>
    <t xml:space="preserve">Qaymawa (former Zelikan)</t>
  </si>
  <si>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مخيم زليكان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قيماوا</t>
    </r>
  </si>
  <si>
    <t xml:space="preserve">Sayyid Hamad village</t>
  </si>
  <si>
    <t xml:space="preserve">قرية سيد حمد</t>
  </si>
  <si>
    <t xml:space="preserve">Yarimjah</t>
  </si>
  <si>
    <t xml:space="preserve">يارمجة</t>
  </si>
  <si>
    <t xml:space="preserve">Al-Shikhan</t>
  </si>
  <si>
    <t xml:space="preserve">Almaman</t>
  </si>
  <si>
    <t xml:space="preserve">آلممان</t>
  </si>
  <si>
    <t xml:space="preserve">Atrush</t>
  </si>
  <si>
    <t xml:space="preserve">أتروش</t>
  </si>
  <si>
    <t xml:space="preserve">Baadre</t>
  </si>
  <si>
    <t xml:space="preserve">باعدري</t>
  </si>
  <si>
    <t xml:space="preserve">Berstik</t>
  </si>
  <si>
    <t xml:space="preserve">بيرستيك</t>
  </si>
  <si>
    <t xml:space="preserve">Betnar</t>
  </si>
  <si>
    <t xml:space="preserve">بيتنار</t>
  </si>
  <si>
    <t xml:space="preserve">Bldisha</t>
  </si>
  <si>
    <t xml:space="preserve">بلديشا</t>
  </si>
  <si>
    <t xml:space="preserve">Chira</t>
  </si>
  <si>
    <t xml:space="preserve">جرة</t>
  </si>
  <si>
    <t xml:space="preserve">Doshvan</t>
  </si>
  <si>
    <t xml:space="preserve">دوشفان</t>
  </si>
  <si>
    <t xml:space="preserve">Esian Camp</t>
  </si>
  <si>
    <t xml:space="preserve">مخيم ايسيان</t>
  </si>
  <si>
    <t xml:space="preserve">Esiyan Village</t>
  </si>
  <si>
    <t xml:space="preserve">قرية ايسيان</t>
  </si>
  <si>
    <t xml:space="preserve">Kalakchi</t>
  </si>
  <si>
    <t xml:space="preserve">كلكجي</t>
  </si>
  <si>
    <t xml:space="preserve">Lalish</t>
  </si>
  <si>
    <t xml:space="preserve">لالش</t>
  </si>
  <si>
    <t xml:space="preserve">Mahad</t>
  </si>
  <si>
    <t xml:space="preserve">مهد</t>
  </si>
  <si>
    <t xml:space="preserve">Mam Rashan Camp</t>
  </si>
  <si>
    <t xml:space="preserve">مخيم مام رشان</t>
  </si>
  <si>
    <t xml:space="preserve">Mamrashan</t>
  </si>
  <si>
    <t xml:space="preserve">مام رشان</t>
  </si>
  <si>
    <t xml:space="preserve">Mlkishan</t>
  </si>
  <si>
    <t xml:space="preserve">ملكيشان</t>
  </si>
  <si>
    <t xml:space="preserve">Nargizlia1 Camp</t>
  </si>
  <si>
    <r>
      <rPr>
        <sz val="10"/>
        <color rgb="FF000000"/>
        <rFont val="Lohit Devanagari"/>
        <family val="2"/>
      </rPr>
      <t xml:space="preserve">مخيم نركزلية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</si>
  <si>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New Zinava</t>
  </si>
  <si>
    <t xml:space="preserve">زينافا جديدة</t>
  </si>
  <si>
    <t xml:space="preserve">Old Zinava</t>
  </si>
  <si>
    <t xml:space="preserve">زينافا قديمة</t>
  </si>
  <si>
    <t xml:space="preserve">Pirbob</t>
  </si>
  <si>
    <t xml:space="preserve">بيربوب</t>
  </si>
  <si>
    <t xml:space="preserve">Qasrok</t>
  </si>
  <si>
    <t xml:space="preserve">قسروك</t>
  </si>
  <si>
    <t xml:space="preserve">Sheikhan Camp</t>
  </si>
  <si>
    <t xml:space="preserve">مخيم شيخان</t>
  </si>
  <si>
    <t xml:space="preserve">Shekhan</t>
  </si>
  <si>
    <t xml:space="preserve">شيخان</t>
  </si>
  <si>
    <t xml:space="preserve">Tal Jumal</t>
  </si>
  <si>
    <t xml:space="preserve">تل جومل</t>
  </si>
  <si>
    <t xml:space="preserve">Tlan</t>
  </si>
  <si>
    <t xml:space="preserve">تلان</t>
  </si>
  <si>
    <t xml:space="preserve">Zelkan</t>
  </si>
  <si>
    <t xml:space="preserve">زيلكان</t>
  </si>
  <si>
    <t xml:space="preserve">Hatra</t>
  </si>
  <si>
    <t xml:space="preserve">om Kdor VIllage</t>
  </si>
  <si>
    <t xml:space="preserve">قرية ام كدور</t>
  </si>
  <si>
    <t xml:space="preserve">Tal abta</t>
  </si>
  <si>
    <t xml:space="preserve">تل عبطة</t>
  </si>
  <si>
    <t xml:space="preserve">Mosul</t>
  </si>
  <si>
    <t xml:space="preserve">Abu Arayis Village</t>
  </si>
  <si>
    <t xml:space="preserve">قرية أبوعرايس</t>
  </si>
  <si>
    <t xml:space="preserve">Ahijlah village</t>
  </si>
  <si>
    <t xml:space="preserve">قرية اجحلة</t>
  </si>
  <si>
    <t xml:space="preserve">Al Haj Ali</t>
  </si>
  <si>
    <t xml:space="preserve">الحاج علي</t>
  </si>
  <si>
    <t xml:space="preserve">Al Harmaat</t>
  </si>
  <si>
    <t xml:space="preserve">الهرمات</t>
  </si>
  <si>
    <t xml:space="preserve">AL Jawana</t>
  </si>
  <si>
    <t xml:space="preserve">الجواعنة</t>
  </si>
  <si>
    <t xml:space="preserve">حي الجزائر</t>
  </si>
  <si>
    <t xml:space="preserve">Al Mazaraa</t>
  </si>
  <si>
    <t xml:space="preserve">المزارع</t>
  </si>
  <si>
    <t xml:space="preserve">Al rasheediya</t>
  </si>
  <si>
    <t xml:space="preserve">Al Sahiroon</t>
  </si>
  <si>
    <t xml:space="preserve">الساهرون</t>
  </si>
  <si>
    <t xml:space="preserve">Al Samaqiyah</t>
  </si>
  <si>
    <t xml:space="preserve">السماقية</t>
  </si>
  <si>
    <t xml:space="preserve">Al Shamsiyat</t>
  </si>
  <si>
    <t xml:space="preserve">الشمسيات</t>
  </si>
  <si>
    <t xml:space="preserve">Al tahreer</t>
  </si>
  <si>
    <t xml:space="preserve">Al Tanak</t>
  </si>
  <si>
    <t xml:space="preserve">التنك</t>
  </si>
  <si>
    <t xml:space="preserve">Al-Akhaa</t>
  </si>
  <si>
    <t xml:space="preserve">الاخاء</t>
  </si>
  <si>
    <t xml:space="preserve">Al-Amil</t>
  </si>
  <si>
    <t xml:space="preserve">العامل</t>
  </si>
  <si>
    <t xml:space="preserve">Al-Bareed</t>
  </si>
  <si>
    <t xml:space="preserve">البريد</t>
  </si>
  <si>
    <t xml:space="preserve">Al-Hadbaa</t>
  </si>
  <si>
    <t xml:space="preserve">الحدباء</t>
  </si>
  <si>
    <t xml:space="preserve">Al-Harmat 2</t>
  </si>
  <si>
    <t xml:space="preserve">الهرمات الثانية</t>
  </si>
  <si>
    <t xml:space="preserve">Al-Karamah</t>
  </si>
  <si>
    <t xml:space="preserve">الكرامة</t>
  </si>
  <si>
    <t xml:space="preserve">Al-Khadraa</t>
  </si>
  <si>
    <t xml:space="preserve">Al-Khazraj</t>
  </si>
  <si>
    <t xml:space="preserve">خزرج</t>
  </si>
  <si>
    <t xml:space="preserve">Al-Maamon</t>
  </si>
  <si>
    <t xml:space="preserve">المامون</t>
  </si>
  <si>
    <t xml:space="preserve">AL-Maghfera Village</t>
  </si>
  <si>
    <t xml:space="preserve">قرية المغفرة</t>
  </si>
  <si>
    <t xml:space="preserve">Al-Mansour</t>
  </si>
  <si>
    <t xml:space="preserve">المنصور</t>
  </si>
  <si>
    <t xml:space="preserve">Al-Methaq</t>
  </si>
  <si>
    <t xml:space="preserve">الميثاق</t>
  </si>
  <si>
    <t xml:space="preserve">Al-Muhandiseen</t>
  </si>
  <si>
    <t xml:space="preserve">Al-Muharibeen</t>
  </si>
  <si>
    <t xml:space="preserve">Al-Nabi Sheet</t>
  </si>
  <si>
    <t xml:space="preserve">النبي شيت</t>
  </si>
  <si>
    <t xml:space="preserve">Al-Noor</t>
  </si>
  <si>
    <t xml:space="preserve">Al-Numaniyah</t>
  </si>
  <si>
    <t xml:space="preserve">النعمانية</t>
  </si>
  <si>
    <t xml:space="preserve">Al-Qahira</t>
  </si>
  <si>
    <t xml:space="preserve">القاهرة</t>
  </si>
  <si>
    <t xml:space="preserve">Al-Qayyarah Center</t>
  </si>
  <si>
    <t xml:space="preserve">مركز القيارة</t>
  </si>
  <si>
    <t xml:space="preserve">Al-Quds</t>
  </si>
  <si>
    <t xml:space="preserve">القدس</t>
  </si>
  <si>
    <t xml:space="preserve">Al-Quds Complex</t>
  </si>
  <si>
    <t xml:space="preserve">مجمع القدس</t>
  </si>
  <si>
    <t xml:space="preserve">Al-Risalah</t>
  </si>
  <si>
    <t xml:space="preserve">Al-Salam</t>
  </si>
  <si>
    <t xml:space="preserve">Al-Wahda</t>
  </si>
  <si>
    <t xml:space="preserve">Al-Yarmuk</t>
  </si>
  <si>
    <t xml:space="preserve">Al-Zuhor</t>
  </si>
  <si>
    <t xml:space="preserve">Albweer Village</t>
  </si>
  <si>
    <t xml:space="preserve">قرية البوير</t>
  </si>
  <si>
    <t xml:space="preserve">Aldernaj</t>
  </si>
  <si>
    <t xml:space="preserve">الدرناج</t>
  </si>
  <si>
    <t xml:space="preserve">Aldlawya Sufla</t>
  </si>
  <si>
    <t xml:space="preserve">الدلاوية سفلى</t>
  </si>
  <si>
    <t xml:space="preserve">Alshuhadaa</t>
  </si>
  <si>
    <t xml:space="preserve">Alzanazil Village</t>
  </si>
  <si>
    <t xml:space="preserve">قرية الزنازل</t>
  </si>
  <si>
    <t xml:space="preserve">Aski Mosul Village </t>
  </si>
  <si>
    <t xml:space="preserve">قريه اسكي موصل </t>
  </si>
  <si>
    <t xml:space="preserve">Bab Jadeed</t>
  </si>
  <si>
    <t xml:space="preserve">باب الجديد</t>
  </si>
  <si>
    <t xml:space="preserve">Badosh</t>
  </si>
  <si>
    <t xml:space="preserve">بادوش</t>
  </si>
  <si>
    <t xml:space="preserve">Baybokht</t>
  </si>
  <si>
    <t xml:space="preserve">بايبوخت</t>
  </si>
  <si>
    <t xml:space="preserve">Bazwaya</t>
  </si>
  <si>
    <t xml:space="preserve">بازوايا</t>
  </si>
  <si>
    <t xml:space="preserve">Bysan</t>
  </si>
  <si>
    <t xml:space="preserve">بيسان</t>
  </si>
  <si>
    <t xml:space="preserve">Derig</t>
  </si>
  <si>
    <t xml:space="preserve">قرية ديرج</t>
  </si>
  <si>
    <t xml:space="preserve">Haj Ali camp</t>
  </si>
  <si>
    <t xml:space="preserve">مخيم الحاج علي</t>
  </si>
  <si>
    <t xml:space="preserve">Hamam Alaleel Center</t>
  </si>
  <si>
    <t xml:space="preserve">مركز حمام العليل</t>
  </si>
  <si>
    <t xml:space="preserve">Hay 17 July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</si>
  <si>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17 </t>
    </r>
    <r>
      <rPr>
        <sz val="10"/>
        <color rgb="FF000000"/>
        <rFont val="Lohit Devanagari"/>
        <family val="2"/>
      </rPr>
      <t xml:space="preserve">تموز</t>
    </r>
  </si>
  <si>
    <t xml:space="preserve">Hay 30 July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</si>
  <si>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30 </t>
    </r>
    <r>
      <rPr>
        <sz val="10"/>
        <color rgb="FF000000"/>
        <rFont val="Lohit Devanagari"/>
        <family val="2"/>
      </rPr>
      <t xml:space="preserve">تموز</t>
    </r>
  </si>
  <si>
    <t xml:space="preserve">Hay Al Arabi</t>
  </si>
  <si>
    <t xml:space="preserve">حي العربي</t>
  </si>
  <si>
    <t xml:space="preserve">Hay Al Farouq</t>
  </si>
  <si>
    <t xml:space="preserve">Hay Al Intisar</t>
  </si>
  <si>
    <t xml:space="preserve">الانتصار</t>
  </si>
  <si>
    <t xml:space="preserve">Hay Al Islah Al Zirai</t>
  </si>
  <si>
    <t xml:space="preserve">حي الاصلاح الزراعي</t>
  </si>
  <si>
    <t xml:space="preserve">Hay Al Kafaat</t>
  </si>
  <si>
    <t xml:space="preserve">Hay Al Nahrawan</t>
  </si>
  <si>
    <t xml:space="preserve">حي النهروان</t>
  </si>
  <si>
    <t xml:space="preserve">Hay Al Samah</t>
  </si>
  <si>
    <t xml:space="preserve">حي السماح</t>
  </si>
  <si>
    <t xml:space="preserve">التاميم</t>
  </si>
  <si>
    <t xml:space="preserve">Hay Al-Baker</t>
  </si>
  <si>
    <t xml:space="preserve">Hay Al-Shifaa</t>
  </si>
  <si>
    <t xml:space="preserve">حي الشفاء</t>
  </si>
  <si>
    <t xml:space="preserve">Hay Alalam</t>
  </si>
  <si>
    <t xml:space="preserve">حي الاعلام</t>
  </si>
  <si>
    <t xml:space="preserve">Hay Almeshraq</t>
  </si>
  <si>
    <t xml:space="preserve">حي المشراق</t>
  </si>
  <si>
    <t xml:space="preserve">Hay Alnasr</t>
  </si>
  <si>
    <t xml:space="preserve">Hay Alqadisya Alawla</t>
  </si>
  <si>
    <t xml:space="preserve">حي القادسية الاولى</t>
  </si>
  <si>
    <t xml:space="preserve">Hay Alqadsya</t>
  </si>
  <si>
    <t xml:space="preserve">Hay alsedeeq</t>
  </si>
  <si>
    <t xml:space="preserve">Hay Nablus</t>
  </si>
  <si>
    <t xml:space="preserve">حي نابلس</t>
  </si>
  <si>
    <t xml:space="preserve">HAY-FALISTINE</t>
  </si>
  <si>
    <t xml:space="preserve">حي فلسطين</t>
  </si>
  <si>
    <t xml:space="preserve">HAY-SUMMER</t>
  </si>
  <si>
    <t xml:space="preserve">حي سومر</t>
  </si>
  <si>
    <t xml:space="preserve">Janjy</t>
  </si>
  <si>
    <t xml:space="preserve">جنجي</t>
  </si>
  <si>
    <t xml:space="preserve">Kulega</t>
  </si>
  <si>
    <t xml:space="preserve">كليجة</t>
  </si>
  <si>
    <t xml:space="preserve">موصل</t>
  </si>
  <si>
    <t xml:space="preserve">Mosul Jadida</t>
  </si>
  <si>
    <t xml:space="preserve">موصل الجديدة</t>
  </si>
  <si>
    <t xml:space="preserve">Muhalabya center</t>
  </si>
  <si>
    <t xml:space="preserve">مركز المحلبية</t>
  </si>
  <si>
    <t xml:space="preserve">Muwali</t>
  </si>
  <si>
    <t xml:space="preserve">الموالي</t>
  </si>
  <si>
    <t xml:space="preserve">Nabi Younis</t>
  </si>
  <si>
    <t xml:space="preserve">حي النبي يونس</t>
  </si>
  <si>
    <t xml:space="preserve">Omar Qabji</t>
  </si>
  <si>
    <t xml:space="preserve">قرية عمر قابجي</t>
  </si>
  <si>
    <t xml:space="preserve">Qayyarah Airstrip</t>
  </si>
  <si>
    <t xml:space="preserve">مخيم قاعدة القيارة الجوية</t>
  </si>
  <si>
    <t xml:space="preserve">Qayyarah Jad’ah 2 camp</t>
  </si>
  <si>
    <r>
      <rPr>
        <sz val="10"/>
        <color rgb="FF000000"/>
        <rFont val="Lohit Devanagari"/>
        <family val="2"/>
      </rPr>
      <t xml:space="preserve">مخيم الجدعة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</si>
  <si>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Qayyarah Jad’ah 3 Camp</t>
  </si>
  <si>
    <r>
      <rPr>
        <sz val="10"/>
        <color rgb="FF000000"/>
        <rFont val="Lohit Devanagari"/>
        <family val="2"/>
      </rPr>
      <t xml:space="preserve">مخيم الجدعة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</si>
  <si>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Qayyarah Jad’ah Camp</t>
  </si>
  <si>
    <t xml:space="preserve">مخيم الجدعة</t>
  </si>
  <si>
    <t xml:space="preserve">Rajim hadeed </t>
  </si>
  <si>
    <t xml:space="preserve">رجم حديد</t>
  </si>
  <si>
    <t xml:space="preserve">Rihaniya</t>
  </si>
  <si>
    <t xml:space="preserve">الريحانية</t>
  </si>
  <si>
    <t xml:space="preserve">Sahaji</t>
  </si>
  <si>
    <t xml:space="preserve">السحاجي</t>
  </si>
  <si>
    <t xml:space="preserve">Sananik</t>
  </si>
  <si>
    <t xml:space="preserve">سنانك</t>
  </si>
  <si>
    <t xml:space="preserve">Sherekhan sufle</t>
  </si>
  <si>
    <t xml:space="preserve">شريخان سفلى</t>
  </si>
  <si>
    <t xml:space="preserve">Shura Center</t>
  </si>
  <si>
    <t xml:space="preserve">الشورى</t>
  </si>
  <si>
    <t xml:space="preserve">Tal Al-Rumman</t>
  </si>
  <si>
    <t xml:space="preserve">تل الرمان</t>
  </si>
  <si>
    <t xml:space="preserve">Tilyarah Village</t>
  </si>
  <si>
    <t xml:space="preserve">قرية تليارة</t>
  </si>
  <si>
    <t xml:space="preserve">Wadi Hajar</t>
  </si>
  <si>
    <t xml:space="preserve">وادي حجر</t>
  </si>
  <si>
    <t xml:space="preserve">Zanjili</t>
  </si>
  <si>
    <t xml:space="preserve">الزنجيلي</t>
  </si>
  <si>
    <t xml:space="preserve">Sinjar</t>
  </si>
  <si>
    <t xml:space="preserve">Adika</t>
  </si>
  <si>
    <t xml:space="preserve">اديكا</t>
  </si>
  <si>
    <t xml:space="preserve">Alsadahya</t>
  </si>
  <si>
    <t xml:space="preserve">السداحية</t>
  </si>
  <si>
    <t xml:space="preserve">Ashti &amp; Heriko</t>
  </si>
  <si>
    <t xml:space="preserve">اشتي و هريكو</t>
  </si>
  <si>
    <t xml:space="preserve">Bakera </t>
  </si>
  <si>
    <t xml:space="preserve">بكرا</t>
  </si>
  <si>
    <t xml:space="preserve">Balif</t>
  </si>
  <si>
    <t xml:space="preserve">بليف</t>
  </si>
  <si>
    <t xml:space="preserve">Barah</t>
  </si>
  <si>
    <t xml:space="preserve">باره</t>
  </si>
  <si>
    <t xml:space="preserve">Bayevok</t>
  </si>
  <si>
    <t xml:space="preserve">بايفوك</t>
  </si>
  <si>
    <t xml:space="preserve">Bir Adam</t>
  </si>
  <si>
    <t xml:space="preserve">بير ادم</t>
  </si>
  <si>
    <t xml:space="preserve">Borak</t>
  </si>
  <si>
    <t xml:space="preserve">بورك </t>
  </si>
  <si>
    <t xml:space="preserve">Cheyl mira</t>
  </si>
  <si>
    <t xml:space="preserve">جيل ميرا</t>
  </si>
  <si>
    <t xml:space="preserve">Darki Qawala</t>
  </si>
  <si>
    <t xml:space="preserve">داركي قوالا</t>
  </si>
  <si>
    <t xml:space="preserve">Dokri</t>
  </si>
  <si>
    <t xml:space="preserve">دوكري</t>
  </si>
  <si>
    <t xml:space="preserve">Haliqye</t>
  </si>
  <si>
    <t xml:space="preserve">حليقي</t>
  </si>
  <si>
    <t xml:space="preserve">Karsi </t>
  </si>
  <si>
    <t xml:space="preserve">كرسي</t>
  </si>
  <si>
    <t xml:space="preserve">Khana sor</t>
  </si>
  <si>
    <t xml:space="preserve">خانصور</t>
  </si>
  <si>
    <t xml:space="preserve">Kolka</t>
  </si>
  <si>
    <t xml:space="preserve">كولكا</t>
  </si>
  <si>
    <t xml:space="preserve">Melik</t>
  </si>
  <si>
    <t xml:space="preserve">ملك</t>
  </si>
  <si>
    <t xml:space="preserve">Osiva</t>
  </si>
  <si>
    <t xml:space="preserve">اوسفا</t>
  </si>
  <si>
    <t xml:space="preserve">Quwasi</t>
  </si>
  <si>
    <t xml:space="preserve">قويسي</t>
  </si>
  <si>
    <t xml:space="preserve">Sardashty</t>
  </si>
  <si>
    <t xml:space="preserve">سردشتي</t>
  </si>
  <si>
    <t xml:space="preserve">Semi-Hester</t>
  </si>
  <si>
    <t xml:space="preserve">سمي هيستر</t>
  </si>
  <si>
    <t xml:space="preserve">Sharaf Alddin</t>
  </si>
  <si>
    <t xml:space="preserve">شرف الدين</t>
  </si>
  <si>
    <t xml:space="preserve">Shyebl Qasim</t>
  </si>
  <si>
    <t xml:space="preserve">شيبل قاسم</t>
  </si>
  <si>
    <t xml:space="preserve">Sinuni center</t>
  </si>
  <si>
    <t xml:space="preserve">مركز سنوني</t>
  </si>
  <si>
    <t xml:space="preserve">Trbeka</t>
  </si>
  <si>
    <t xml:space="preserve">تربكة</t>
  </si>
  <si>
    <t xml:space="preserve">Wary Bahdo</t>
  </si>
  <si>
    <t xml:space="preserve">واري بهدو</t>
  </si>
  <si>
    <t xml:space="preserve">Zorava and zirwa</t>
  </si>
  <si>
    <r>
      <rPr>
        <sz val="10"/>
        <color rgb="FF000000"/>
        <rFont val="Lohit Devanagari"/>
        <family val="2"/>
      </rPr>
      <t xml:space="preserve">زورافا</t>
    </r>
    <r>
      <rPr>
        <sz val="10"/>
        <color rgb="FF000000"/>
        <rFont val="Arial Narrow"/>
        <family val="2"/>
        <charset val="1"/>
      </rPr>
      <t xml:space="preserve">+</t>
    </r>
    <r>
      <rPr>
        <sz val="10"/>
        <color rgb="FF000000"/>
        <rFont val="Lohit Devanagari"/>
        <family val="2"/>
      </rPr>
      <t xml:space="preserve">زيروا </t>
    </r>
  </si>
  <si>
    <t xml:space="preserve">Telafar</t>
  </si>
  <si>
    <t xml:space="preserve">Abu hajarah</t>
  </si>
  <si>
    <t xml:space="preserve">ابو حجرة</t>
  </si>
  <si>
    <t xml:space="preserve">Abu Hajira vilage</t>
  </si>
  <si>
    <t xml:space="preserve">قرية ابو حجيرة</t>
  </si>
  <si>
    <t xml:space="preserve">abu khushub</t>
  </si>
  <si>
    <t xml:space="preserve">قرية أبو خشب</t>
  </si>
  <si>
    <t xml:space="preserve">Abu Mariya</t>
  </si>
  <si>
    <t xml:space="preserve">قرية ابو ماريا</t>
  </si>
  <si>
    <t xml:space="preserve">abu wni</t>
  </si>
  <si>
    <t xml:space="preserve">قرية أبو وني</t>
  </si>
  <si>
    <t xml:space="preserve">Ain Hilwa Upper</t>
  </si>
  <si>
    <t xml:space="preserve">قرية عين حلوة العليا</t>
  </si>
  <si>
    <t xml:space="preserve">Al baswna vilage</t>
  </si>
  <si>
    <t xml:space="preserve">قرية البزونة</t>
  </si>
  <si>
    <t xml:space="preserve">Al Hay Al Askare</t>
  </si>
  <si>
    <t xml:space="preserve">Al Muthalatha village</t>
  </si>
  <si>
    <t xml:space="preserve">المثلثة</t>
  </si>
  <si>
    <t xml:space="preserve">Albarghlih</t>
  </si>
  <si>
    <t xml:space="preserve">قرية البرغليه</t>
  </si>
  <si>
    <t xml:space="preserve">Albughuh</t>
  </si>
  <si>
    <t xml:space="preserve">قرية البوغه</t>
  </si>
  <si>
    <t xml:space="preserve">Almawmi vilage</t>
  </si>
  <si>
    <t xml:space="preserve">قرية المومي</t>
  </si>
  <si>
    <t xml:space="preserve">alsamud complex </t>
  </si>
  <si>
    <t xml:space="preserve">مجمع الصمود</t>
  </si>
  <si>
    <t xml:space="preserve">am Kahayef </t>
  </si>
  <si>
    <t xml:space="preserve">ام كهيف</t>
  </si>
  <si>
    <t xml:space="preserve">amla</t>
  </si>
  <si>
    <t xml:space="preserve">قرية عمله</t>
  </si>
  <si>
    <t xml:space="preserve">Bardiyah complex</t>
  </si>
  <si>
    <t xml:space="preserve">مجمع برديه</t>
  </si>
  <si>
    <t xml:space="preserve">Bayr alhulu</t>
  </si>
  <si>
    <t xml:space="preserve">قرية بئر الحلو</t>
  </si>
  <si>
    <t xml:space="preserve">Beer ekla vilage</t>
  </si>
  <si>
    <t xml:space="preserve">قرية بئر عكلة</t>
  </si>
  <si>
    <t xml:space="preserve">Dano Village</t>
  </si>
  <si>
    <t xml:space="preserve">دنو</t>
  </si>
  <si>
    <t xml:space="preserve">Domez complex</t>
  </si>
  <si>
    <t xml:space="preserve">مجمع دوميز</t>
  </si>
  <si>
    <t xml:space="preserve">Ewaynat vilage</t>
  </si>
  <si>
    <t xml:space="preserve">قرية عوينات</t>
  </si>
  <si>
    <t xml:space="preserve">Gilbarat</t>
  </si>
  <si>
    <t xml:space="preserve">قرية جلبارات</t>
  </si>
  <si>
    <t xml:space="preserve">Hay Al Arbaeen</t>
  </si>
  <si>
    <t xml:space="preserve">حي الاربعين</t>
  </si>
  <si>
    <t xml:space="preserve">Hay Al Askari</t>
  </si>
  <si>
    <t xml:space="preserve">Hay Al laban</t>
  </si>
  <si>
    <t xml:space="preserve">حي اللبن</t>
  </si>
  <si>
    <t xml:space="preserve">Hay Al Muthana</t>
  </si>
  <si>
    <t xml:space="preserve">Hay Al Qadisya</t>
  </si>
  <si>
    <t xml:space="preserve">Hay Al Sikak</t>
  </si>
  <si>
    <t xml:space="preserve">Hay Al Uroba</t>
  </si>
  <si>
    <t xml:space="preserve">Hay Alasreya</t>
  </si>
  <si>
    <t xml:space="preserve">Hay althahabe</t>
  </si>
  <si>
    <t xml:space="preserve">الحي الذهبي</t>
  </si>
  <si>
    <t xml:space="preserve">Hdeimh</t>
  </si>
  <si>
    <t xml:space="preserve">قرية هضمية</t>
  </si>
  <si>
    <t xml:space="preserve">Kakhirta</t>
  </si>
  <si>
    <t xml:space="preserve">كاخرتة</t>
  </si>
  <si>
    <t xml:space="preserve">Karsur vilage</t>
  </si>
  <si>
    <t xml:space="preserve">قرية كرصور</t>
  </si>
  <si>
    <t xml:space="preserve">Kharabat Ashiq</t>
  </si>
  <si>
    <t xml:space="preserve">قرية خرابت عاشق</t>
  </si>
  <si>
    <t xml:space="preserve">Khrmer</t>
  </si>
  <si>
    <t xml:space="preserve">قرية خرمر</t>
  </si>
  <si>
    <t xml:space="preserve">kirver village</t>
  </si>
  <si>
    <t xml:space="preserve">قرية كرفر</t>
  </si>
  <si>
    <t xml:space="preserve">Markaz Talafar</t>
  </si>
  <si>
    <t xml:space="preserve">مركز تلعفر</t>
  </si>
  <si>
    <t xml:space="preserve">Mushah vilage</t>
  </si>
  <si>
    <t xml:space="preserve">قرية موشة</t>
  </si>
  <si>
    <t xml:space="preserve">Qasabat Zummar</t>
  </si>
  <si>
    <t xml:space="preserve">قصبة زمار</t>
  </si>
  <si>
    <t xml:space="preserve">Rajm hassn vilage</t>
  </si>
  <si>
    <t xml:space="preserve">قرية رجم حسن</t>
  </si>
  <si>
    <t xml:space="preserve">Sahal albawghuh</t>
  </si>
  <si>
    <t xml:space="preserve">قرية سحل البوغه</t>
  </si>
  <si>
    <t xml:space="preserve">Sahel Hamad Village</t>
  </si>
  <si>
    <t xml:space="preserve">ساحل حمد</t>
  </si>
  <si>
    <t xml:space="preserve">Tal aldhdhahab</t>
  </si>
  <si>
    <t xml:space="preserve">تل الذهب</t>
  </si>
  <si>
    <t xml:space="preserve">Tal alhuaa</t>
  </si>
  <si>
    <t xml:space="preserve">تل الهوى</t>
  </si>
  <si>
    <t xml:space="preserve">Tal Alsimn Village</t>
  </si>
  <si>
    <t xml:space="preserve">قرية تل السمن</t>
  </si>
  <si>
    <t xml:space="preserve">Tal Hial vilage</t>
  </si>
  <si>
    <t xml:space="preserve">قرية تل حيال</t>
  </si>
  <si>
    <t xml:space="preserve">Tal Ismair</t>
  </si>
  <si>
    <t xml:space="preserve">قرية تل أسمير</t>
  </si>
  <si>
    <t xml:space="preserve">Tal Khidr</t>
  </si>
  <si>
    <t xml:space="preserve">تل خضر</t>
  </si>
  <si>
    <t xml:space="preserve">Tal Talab vilage</t>
  </si>
  <si>
    <t xml:space="preserve">قرية تل طلب</t>
  </si>
  <si>
    <t xml:space="preserve">Tal wardan vilage</t>
  </si>
  <si>
    <t xml:space="preserve">قرية تل وردان</t>
  </si>
  <si>
    <t xml:space="preserve">Tel Reem</t>
  </si>
  <si>
    <t xml:space="preserve">تل الريم</t>
  </si>
  <si>
    <t xml:space="preserve">Telafar-Hay Al Salam</t>
  </si>
  <si>
    <t xml:space="preserve">Twayem</t>
  </si>
  <si>
    <t xml:space="preserve">تويم</t>
  </si>
  <si>
    <t xml:space="preserve">Tilkaif</t>
  </si>
  <si>
    <t xml:space="preserve">Ain Baqara</t>
  </si>
  <si>
    <t xml:space="preserve">عين بقرة</t>
  </si>
  <si>
    <t xml:space="preserve">Al Qawsiyat</t>
  </si>
  <si>
    <t xml:space="preserve">القوسيات</t>
  </si>
  <si>
    <t xml:space="preserve">Al Quba</t>
  </si>
  <si>
    <t xml:space="preserve">القبة</t>
  </si>
  <si>
    <t xml:space="preserve">Alqosh</t>
  </si>
  <si>
    <t xml:space="preserve">القوش</t>
  </si>
  <si>
    <t xml:space="preserve">Baawiza</t>
  </si>
  <si>
    <t xml:space="preserve">بعويزة</t>
  </si>
  <si>
    <t xml:space="preserve">Bahindawa</t>
  </si>
  <si>
    <t xml:space="preserve">بندوايا</t>
  </si>
  <si>
    <t xml:space="preserve">Beban</t>
  </si>
  <si>
    <t xml:space="preserve">قرية بيبان</t>
  </si>
  <si>
    <t xml:space="preserve">Beerzwa</t>
  </si>
  <si>
    <t xml:space="preserve">بيروزواة</t>
  </si>
  <si>
    <t xml:space="preserve">Bozan</t>
  </si>
  <si>
    <t xml:space="preserve">قرية بوزان</t>
  </si>
  <si>
    <t xml:space="preserve">Dahkan</t>
  </si>
  <si>
    <t xml:space="preserve">دهكان كبير </t>
  </si>
  <si>
    <t xml:space="preserve">Dahkan Sageer</t>
  </si>
  <si>
    <t xml:space="preserve">دهكان صغير</t>
  </si>
  <si>
    <t xml:space="preserve">Dashqutan</t>
  </si>
  <si>
    <t xml:space="preserve">داشقوتان</t>
  </si>
  <si>
    <t xml:space="preserve">Derston</t>
  </si>
  <si>
    <t xml:space="preserve">دير ستون </t>
  </si>
  <si>
    <t xml:space="preserve">Doghat</t>
  </si>
  <si>
    <t xml:space="preserve">قرية دوغات</t>
  </si>
  <si>
    <t xml:space="preserve">Garmawa Camp</t>
  </si>
  <si>
    <t xml:space="preserve">مخيم كرماوه</t>
  </si>
  <si>
    <t xml:space="preserve">Hatara</t>
  </si>
  <si>
    <t xml:space="preserve">حتارة</t>
  </si>
  <si>
    <t xml:space="preserve">Jabir Ben Hayan</t>
  </si>
  <si>
    <t xml:space="preserve">جابر بن حيان</t>
  </si>
  <si>
    <t xml:space="preserve">Jambour Village</t>
  </si>
  <si>
    <t xml:space="preserve">قرية جمبور</t>
  </si>
  <si>
    <t xml:space="preserve">Jarahiya</t>
  </si>
  <si>
    <t xml:space="preserve">الجراحية</t>
  </si>
  <si>
    <t xml:space="preserve">Jarghan</t>
  </si>
  <si>
    <t xml:space="preserve">جرغان</t>
  </si>
  <si>
    <t xml:space="preserve">Kabara</t>
  </si>
  <si>
    <t xml:space="preserve">قرية كابارة</t>
  </si>
  <si>
    <t xml:space="preserve">Kalata Farhan village</t>
  </si>
  <si>
    <r>
      <rPr>
        <sz val="10"/>
        <color rgb="FF000000"/>
        <rFont val="Lohit Devanagari"/>
        <family val="2"/>
      </rPr>
      <t xml:space="preserve">قرية كلاتة فرحان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طماشة</t>
    </r>
    <r>
      <rPr>
        <sz val="10"/>
        <color rgb="FF000000"/>
        <rFont val="Arial Narrow"/>
        <family val="2"/>
        <charset val="1"/>
      </rPr>
      <t xml:space="preserve">)</t>
    </r>
  </si>
  <si>
    <t xml:space="preserve">Kani Shirin</t>
  </si>
  <si>
    <t xml:space="preserve">كاني شيرين</t>
  </si>
  <si>
    <t xml:space="preserve">Karanjik</t>
  </si>
  <si>
    <t xml:space="preserve">كرنجوك</t>
  </si>
  <si>
    <t xml:space="preserve">Karmawa</t>
  </si>
  <si>
    <t xml:space="preserve">كرماوة</t>
  </si>
  <si>
    <t xml:space="preserve">Khorazan</t>
  </si>
  <si>
    <t xml:space="preserve">قرية خورازان</t>
  </si>
  <si>
    <t xml:space="preserve">Khoshaba</t>
  </si>
  <si>
    <t xml:space="preserve">قرية خوشابا </t>
  </si>
  <si>
    <t xml:space="preserve">منارة</t>
  </si>
  <si>
    <t xml:space="preserve">Najmok Village</t>
  </si>
  <si>
    <t xml:space="preserve">قرية نجموك</t>
  </si>
  <si>
    <t xml:space="preserve">Nasiriah</t>
  </si>
  <si>
    <t xml:space="preserve">النصيرية</t>
  </si>
  <si>
    <t xml:space="preserve">Pabera Complex</t>
  </si>
  <si>
    <t xml:space="preserve">مجمع بابيرة</t>
  </si>
  <si>
    <t xml:space="preserve">Sarishka</t>
  </si>
  <si>
    <t xml:space="preserve">قرية سريشكا</t>
  </si>
  <si>
    <t xml:space="preserve">Sendank Olya</t>
  </si>
  <si>
    <t xml:space="preserve">سندانك عليا</t>
  </si>
  <si>
    <t xml:space="preserve">Sendank Sofla</t>
  </si>
  <si>
    <t xml:space="preserve">سندانك سفلى</t>
  </si>
  <si>
    <t xml:space="preserve">Sharafiya</t>
  </si>
  <si>
    <t xml:space="preserve">قرية الشرفية</t>
  </si>
  <si>
    <t xml:space="preserve">Shaykhaka</t>
  </si>
  <si>
    <t xml:space="preserve">قرية شيخكة</t>
  </si>
  <si>
    <t xml:space="preserve">Tafteyan</t>
  </si>
  <si>
    <t xml:space="preserve">قرية تفتيان</t>
  </si>
  <si>
    <t xml:space="preserve">Tal Adas</t>
  </si>
  <si>
    <t xml:space="preserve">تل عدس</t>
  </si>
  <si>
    <t xml:space="preserve">Til Yabis Villages</t>
  </si>
  <si>
    <t xml:space="preserve">قرية تل يابس</t>
  </si>
  <si>
    <t xml:space="preserve">wanna center</t>
  </si>
  <si>
    <t xml:space="preserve">مركز وانة</t>
  </si>
  <si>
    <t xml:space="preserve">Afaq</t>
  </si>
  <si>
    <t xml:space="preserve">Al Atawah Village</t>
  </si>
  <si>
    <t xml:space="preserve">قرية العطاوة</t>
  </si>
  <si>
    <t xml:space="preserve">Al Ejem Village</t>
  </si>
  <si>
    <t xml:space="preserve">قرية ال عجم</t>
  </si>
  <si>
    <t xml:space="preserve">Al Sbahi Village</t>
  </si>
  <si>
    <t xml:space="preserve">قرية ال سباهي</t>
  </si>
  <si>
    <t xml:space="preserve">Al-Dariya village</t>
  </si>
  <si>
    <t xml:space="preserve">قرية الدرعية</t>
  </si>
  <si>
    <t xml:space="preserve">Al-Mahtrj village</t>
  </si>
  <si>
    <t xml:space="preserve">قرية المحترج</t>
  </si>
  <si>
    <t xml:space="preserve">AL-Qati</t>
  </si>
  <si>
    <t xml:space="preserve">القاطع</t>
  </si>
  <si>
    <t xml:space="preserve">Al-Sabkaia</t>
  </si>
  <si>
    <t xml:space="preserve">الصبخاية</t>
  </si>
  <si>
    <t xml:space="preserve">Al-sadaa al-muhania village</t>
  </si>
  <si>
    <t xml:space="preserve">قرية السادة المحانية</t>
  </si>
  <si>
    <t xml:space="preserve">Al-shariaa village</t>
  </si>
  <si>
    <t xml:space="preserve">Al_Kushan village</t>
  </si>
  <si>
    <t xml:space="preserve">قرية ال كوشان</t>
  </si>
  <si>
    <t xml:space="preserve">Albu Ali Village</t>
  </si>
  <si>
    <t xml:space="preserve">قرية البوعلي</t>
  </si>
  <si>
    <t xml:space="preserve">fadhel allah village</t>
  </si>
  <si>
    <t xml:space="preserve">قرية فضل الله</t>
  </si>
  <si>
    <t xml:space="preserve">Hay Al Askary 2</t>
  </si>
  <si>
    <r>
      <rPr>
        <sz val="10"/>
        <color rgb="FF000000"/>
        <rFont val="Lohit Devanagari"/>
        <family val="2"/>
      </rPr>
      <t xml:space="preserve">حي العسكري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</si>
  <si>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 Jumhoriyah</t>
  </si>
  <si>
    <t xml:space="preserve">حي الجمهورية </t>
  </si>
  <si>
    <t xml:space="preserve">Hay Al-Hakeem</t>
  </si>
  <si>
    <t xml:space="preserve">Hay Al-Hussein</t>
  </si>
  <si>
    <t xml:space="preserve">Hay Al-Imam</t>
  </si>
  <si>
    <t xml:space="preserve">حي الامام</t>
  </si>
  <si>
    <t xml:space="preserve">Hay al-jihad</t>
  </si>
  <si>
    <t xml:space="preserve">Hay Al-Oroba</t>
  </si>
  <si>
    <t xml:space="preserve">Hay Al-Rahma</t>
  </si>
  <si>
    <t xml:space="preserve">حي الرحمه</t>
  </si>
  <si>
    <t xml:space="preserve">Hay Al-Rasoul</t>
  </si>
  <si>
    <t xml:space="preserve">Hay Al-Sadrain</t>
  </si>
  <si>
    <t xml:space="preserve">Hay Al-sakban</t>
  </si>
  <si>
    <t xml:space="preserve">حي الصكبان</t>
  </si>
  <si>
    <t xml:space="preserve">Hay Al-Salam(Random Area)</t>
  </si>
  <si>
    <r>
      <rPr>
        <sz val="10"/>
        <color rgb="FF000000"/>
        <rFont val="Lohit Devanagari"/>
        <family val="2"/>
      </rPr>
      <t xml:space="preserve">حي السلام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منطقة التجاوز</t>
    </r>
  </si>
  <si>
    <t xml:space="preserve">Hay Al-Waili</t>
  </si>
  <si>
    <t xml:space="preserve">Hay Muslim Bin Aqeel</t>
  </si>
  <si>
    <t xml:space="preserve">حي مسلم ابن عقيل</t>
  </si>
  <si>
    <t xml:space="preserve">Hay Wajaan</t>
  </si>
  <si>
    <t xml:space="preserve">حي وجعان</t>
  </si>
  <si>
    <t xml:space="preserve">Laiby village</t>
  </si>
  <si>
    <t xml:space="preserve">قرية العيبي</t>
  </si>
  <si>
    <t xml:space="preserve">Mantaket Al-Agaba</t>
  </si>
  <si>
    <t xml:space="preserve">منطقة العكبة</t>
  </si>
  <si>
    <t xml:space="preserve">Mantaket Al-Alwaa</t>
  </si>
  <si>
    <t xml:space="preserve">منطقة العلوة</t>
  </si>
  <si>
    <t xml:space="preserve">Mantaket Al-jadida</t>
  </si>
  <si>
    <t xml:space="preserve">منطقة الجديدة</t>
  </si>
  <si>
    <t xml:space="preserve">Mantaket Al-Zwiya</t>
  </si>
  <si>
    <t xml:space="preserve">منطقة الزوية</t>
  </si>
  <si>
    <t xml:space="preserve">Mantaqet Alsooq</t>
  </si>
  <si>
    <t xml:space="preserve">منطقة السوق</t>
  </si>
  <si>
    <t xml:space="preserve">Qaryat Al-Ein</t>
  </si>
  <si>
    <t xml:space="preserve">قرية العين</t>
  </si>
  <si>
    <t xml:space="preserve">Tajamo Al-Mohajreen</t>
  </si>
  <si>
    <t xml:space="preserve">تجمع المهاجرين</t>
  </si>
  <si>
    <t xml:space="preserve">Tajamo Al-Shara</t>
  </si>
  <si>
    <t xml:space="preserve">تجمع الشرع</t>
  </si>
  <si>
    <t xml:space="preserve">Tajamo Zamel</t>
  </si>
  <si>
    <t xml:space="preserve">تجمع زامل</t>
  </si>
  <si>
    <t xml:space="preserve">Al-Shamiya</t>
  </si>
  <si>
    <t xml:space="preserve">Abu Kufoof Al-jenobi</t>
  </si>
  <si>
    <t xml:space="preserve">ابو كفوف الجنوبي</t>
  </si>
  <si>
    <t xml:space="preserve">Ager village</t>
  </si>
  <si>
    <t xml:space="preserve">قرية عكر</t>
  </si>
  <si>
    <t xml:space="preserve">Al-Alwa Village</t>
  </si>
  <si>
    <t xml:space="preserve">قرية العلوة</t>
  </si>
  <si>
    <t xml:space="preserve">Al-Asaia Village</t>
  </si>
  <si>
    <t xml:space="preserve">قرية العصية</t>
  </si>
  <si>
    <t xml:space="preserve">Al-Felahi</t>
  </si>
  <si>
    <t xml:space="preserve">الفلاحي</t>
  </si>
  <si>
    <t xml:space="preserve">Al-ghrabia</t>
  </si>
  <si>
    <t xml:space="preserve">الغرابية</t>
  </si>
  <si>
    <t xml:space="preserve">Al-Warawsha Village</t>
  </si>
  <si>
    <t xml:space="preserve">قرية الوراوشة</t>
  </si>
  <si>
    <t xml:space="preserve">Ghammas Al-Garb</t>
  </si>
  <si>
    <t xml:space="preserve">غماس الغرب</t>
  </si>
  <si>
    <t xml:space="preserve">Ghammas Al-Sharq</t>
  </si>
  <si>
    <t xml:space="preserve">غماس الشرق</t>
  </si>
  <si>
    <t xml:space="preserve">Hawy Village</t>
  </si>
  <si>
    <t xml:space="preserve">قرية حاوي</t>
  </si>
  <si>
    <t xml:space="preserve">Hay Al Tabqa</t>
  </si>
  <si>
    <t xml:space="preserve">حي الطبكة</t>
  </si>
  <si>
    <t xml:space="preserve">Hay Al-aaskary al-gharby</t>
  </si>
  <si>
    <t xml:space="preserve">حي العسكري الغربي</t>
  </si>
  <si>
    <t xml:space="preserve">Hay Al-aaskary al-sharqy</t>
  </si>
  <si>
    <t xml:space="preserve">حي العسكري الشرقي </t>
  </si>
  <si>
    <t xml:space="preserve">Hay Al-Hakim</t>
  </si>
  <si>
    <t xml:space="preserve">Hay al-husien</t>
  </si>
  <si>
    <t xml:space="preserve">Hay al-joumhoury</t>
  </si>
  <si>
    <t xml:space="preserve">حي الجمهوري </t>
  </si>
  <si>
    <t xml:space="preserve">Hay al-mualamien</t>
  </si>
  <si>
    <t xml:space="preserve">Hay Al-Shuhada</t>
  </si>
  <si>
    <t xml:space="preserve">حي الشهادة</t>
  </si>
  <si>
    <t xml:space="preserve">Hay Al-Sifana</t>
  </si>
  <si>
    <t xml:space="preserve">حي السيفانه</t>
  </si>
  <si>
    <t xml:space="preserve">Mahlat al-souq</t>
  </si>
  <si>
    <t xml:space="preserve">محلة السوق</t>
  </si>
  <si>
    <t xml:space="preserve">Mahlat Al-Souq</t>
  </si>
  <si>
    <t xml:space="preserve">Mantaket Al Hezam Al Akhdhar</t>
  </si>
  <si>
    <t xml:space="preserve">منطقة الحزام الاخضر </t>
  </si>
  <si>
    <t xml:space="preserve">Mantaket Al-Aagmai</t>
  </si>
  <si>
    <t xml:space="preserve">منطقة العجمية</t>
  </si>
  <si>
    <t xml:space="preserve">Mantaket Al-Taraba</t>
  </si>
  <si>
    <t xml:space="preserve">منطقة الترابة</t>
  </si>
  <si>
    <t xml:space="preserve">Said Rafie village</t>
  </si>
  <si>
    <t xml:space="preserve">قرية سيد رافع</t>
  </si>
  <si>
    <t xml:space="preserve">Um Showareef village</t>
  </si>
  <si>
    <t xml:space="preserve">قرية ام شواريف</t>
  </si>
  <si>
    <t xml:space="preserve">Diwaniya</t>
  </si>
  <si>
    <t xml:space="preserve">Al Amish village</t>
  </si>
  <si>
    <t xml:space="preserve">قرية ال عميش</t>
  </si>
  <si>
    <t xml:space="preserve">Al hamad village</t>
  </si>
  <si>
    <t xml:space="preserve">قرية الحمد</t>
  </si>
  <si>
    <t xml:space="preserve">Al himran village</t>
  </si>
  <si>
    <t xml:space="preserve">قرية الحمران</t>
  </si>
  <si>
    <t xml:space="preserve">Al Marmad Village</t>
  </si>
  <si>
    <t xml:space="preserve">قرية ال مرمض</t>
  </si>
  <si>
    <t xml:space="preserve">Al Mojamaa Al Sakani</t>
  </si>
  <si>
    <t xml:space="preserve">المجمع السكني</t>
  </si>
  <si>
    <t xml:space="preserve">Al-ataa village</t>
  </si>
  <si>
    <t xml:space="preserve">قرية العطاء</t>
  </si>
  <si>
    <t xml:space="preserve">Al-bo Hay Alaa Village</t>
  </si>
  <si>
    <t xml:space="preserve">قرية البو حي الله</t>
  </si>
  <si>
    <t xml:space="preserve">Al-bu hwelaa Village</t>
  </si>
  <si>
    <t xml:space="preserve">قرية البو حويله</t>
  </si>
  <si>
    <t xml:space="preserve">Al-bu jamal Village</t>
  </si>
  <si>
    <t xml:space="preserve">قرية البو جمال</t>
  </si>
  <si>
    <t xml:space="preserve">Al-Dorees village</t>
  </si>
  <si>
    <t xml:space="preserve">قرية ال دوريس</t>
  </si>
  <si>
    <t xml:space="preserve">Al-Hacham Village</t>
  </si>
  <si>
    <t xml:space="preserve">قرية الحجام</t>
  </si>
  <si>
    <t xml:space="preserve">Al-Jabaar village</t>
  </si>
  <si>
    <t xml:space="preserve">قرية ال جبار</t>
  </si>
  <si>
    <t xml:space="preserve">AL-Jamiyah 2</t>
  </si>
  <si>
    <t xml:space="preserve">Al-Jasem Village</t>
  </si>
  <si>
    <t xml:space="preserve">قرية الجاسم</t>
  </si>
  <si>
    <t xml:space="preserve">Al-Jazaair 1</t>
  </si>
  <si>
    <t xml:space="preserve">الجزائر الاولى</t>
  </si>
  <si>
    <t xml:space="preserve">Al-Jazaair 2</t>
  </si>
  <si>
    <t xml:space="preserve">الجزائر الثانية</t>
  </si>
  <si>
    <t xml:space="preserve">Al-khalifa 2 Village</t>
  </si>
  <si>
    <t xml:space="preserve">قرية الخليفة الثانية</t>
  </si>
  <si>
    <t xml:space="preserve">al-khalifa village</t>
  </si>
  <si>
    <t xml:space="preserve">قرية الخليفة</t>
  </si>
  <si>
    <t xml:space="preserve">Al-khozaal Village</t>
  </si>
  <si>
    <t xml:space="preserve">قرية الخزاعل</t>
  </si>
  <si>
    <t xml:space="preserve">Al-Mawqee Al-Askary</t>
  </si>
  <si>
    <t xml:space="preserve">الموقع العسكري</t>
  </si>
  <si>
    <t xml:space="preserve">Al-Sadiq(1)</t>
  </si>
  <si>
    <t xml:space="preserve">الصادق الاولى</t>
  </si>
  <si>
    <t xml:space="preserve">Al-Sadiq(2)</t>
  </si>
  <si>
    <t xml:space="preserve">الصادق الثانية</t>
  </si>
  <si>
    <t xml:space="preserve">Al-Taamem-2</t>
  </si>
  <si>
    <t xml:space="preserve">التأميم الثانية</t>
  </si>
  <si>
    <t xml:space="preserve">Al-Taqiya 2</t>
  </si>
  <si>
    <t xml:space="preserve">التقية الثانية</t>
  </si>
  <si>
    <t xml:space="preserve">Al-Taqiya 3</t>
  </si>
  <si>
    <t xml:space="preserve">التقية الثالثه</t>
  </si>
  <si>
    <t xml:space="preserve">Al-tharwa al-alhaiwaniya</t>
  </si>
  <si>
    <t xml:space="preserve">الثروة الحيوانية</t>
  </si>
  <si>
    <t xml:space="preserve">Al-Zawad village</t>
  </si>
  <si>
    <t xml:space="preserve">قرية الزواد</t>
  </si>
  <si>
    <t xml:space="preserve">Albo Hasan village</t>
  </si>
  <si>
    <t xml:space="preserve">قرية البو حسن</t>
  </si>
  <si>
    <t xml:space="preserve">Albu Khnefis village</t>
  </si>
  <si>
    <t xml:space="preserve">قرية البو خنيفس</t>
  </si>
  <si>
    <t xml:space="preserve">Ataiwarev Village</t>
  </si>
  <si>
    <t xml:space="preserve">قرية الطواريف</t>
  </si>
  <si>
    <t xml:space="preserve">Dour al-akrad</t>
  </si>
  <si>
    <t xml:space="preserve">دور الاكراد</t>
  </si>
  <si>
    <t xml:space="preserve">Hay Al Furat-1</t>
  </si>
  <si>
    <t xml:space="preserve">حي الفرات الاولى</t>
  </si>
  <si>
    <t xml:space="preserve">Hay Al Furat-2</t>
  </si>
  <si>
    <t xml:space="preserve">حي الفرات الثانية</t>
  </si>
  <si>
    <t xml:space="preserve">Hay Al Ghadir</t>
  </si>
  <si>
    <t xml:space="preserve">Hay Al Jamiaa</t>
  </si>
  <si>
    <t xml:space="preserve">حي الجامعة</t>
  </si>
  <si>
    <t xml:space="preserve">Hay Al Jamiaa-Al-Hawli</t>
  </si>
  <si>
    <r>
      <rPr>
        <sz val="10"/>
        <color rgb="FF000000"/>
        <rFont val="Lohit Devanagari"/>
        <family val="2"/>
      </rPr>
      <t xml:space="preserve">حي الجامعة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الحولي</t>
    </r>
  </si>
  <si>
    <t xml:space="preserve">Hay Al Jumhori Al Sharqi</t>
  </si>
  <si>
    <t xml:space="preserve">حي الجمهوري الشرقي</t>
  </si>
  <si>
    <t xml:space="preserve">Hay Al Nahda 3</t>
  </si>
  <si>
    <r>
      <rPr>
        <sz val="10"/>
        <color rgb="FF000000"/>
        <rFont val="Lohit Devanagari"/>
        <family val="2"/>
      </rPr>
      <t xml:space="preserve">حي النهضة </t>
    </r>
    <r>
      <rPr>
        <sz val="10"/>
        <color rgb="FF000000"/>
        <rFont val="Arial Narrow"/>
        <family val="2"/>
        <charset val="1"/>
      </rPr>
      <t xml:space="preserve">3</t>
    </r>
  </si>
  <si>
    <t xml:space="preserve">Hay Al Sadir 1</t>
  </si>
  <si>
    <t xml:space="preserve">حي الصدر الاول</t>
  </si>
  <si>
    <t xml:space="preserve">Hay Al Sadir 2</t>
  </si>
  <si>
    <t xml:space="preserve">حي الصدر الثاني</t>
  </si>
  <si>
    <t xml:space="preserve">Hay Al Sadir 3</t>
  </si>
  <si>
    <t xml:space="preserve">حي الصدر الثالث</t>
  </si>
  <si>
    <t xml:space="preserve">Hay Al Shahada</t>
  </si>
  <si>
    <t xml:space="preserve">حي الشهداء </t>
  </si>
  <si>
    <t xml:space="preserve">Hay Al Shomos</t>
  </si>
  <si>
    <t xml:space="preserve">حي الشموس</t>
  </si>
  <si>
    <t xml:space="preserve">Hay Al Thuqlayn</t>
  </si>
  <si>
    <t xml:space="preserve">حي الثقلين</t>
  </si>
  <si>
    <t xml:space="preserve">Hay Al Waely</t>
  </si>
  <si>
    <t xml:space="preserve">Hay Al Wihda 1</t>
  </si>
  <si>
    <t xml:space="preserve">حي الوحده الاولى</t>
  </si>
  <si>
    <t xml:space="preserve">Hay Al Wihda 2</t>
  </si>
  <si>
    <t xml:space="preserve">حي الوحدة الثانية</t>
  </si>
  <si>
    <t xml:space="preserve">Hay Al Wihda 3</t>
  </si>
  <si>
    <t xml:space="preserve">حي الوحده الثالثه</t>
  </si>
  <si>
    <t xml:space="preserve">Hay AL-Amel</t>
  </si>
  <si>
    <t xml:space="preserve">Hay Al-Amin 1</t>
  </si>
  <si>
    <r>
      <rPr>
        <sz val="10"/>
        <color rgb="FF000000"/>
        <rFont val="Lohit Devanagari"/>
        <family val="2"/>
      </rPr>
      <t xml:space="preserve">حي الامين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</si>
  <si>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Al-Amin 2</t>
  </si>
  <si>
    <r>
      <rPr>
        <sz val="10"/>
        <color rgb="FF000000"/>
        <rFont val="Lohit Devanagari"/>
        <family val="2"/>
      </rPr>
      <t xml:space="preserve">حي الامين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</si>
  <si>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Hay Al-Askaary</t>
  </si>
  <si>
    <t xml:space="preserve">Hay Al-Asry-118</t>
  </si>
  <si>
    <r>
      <rPr>
        <sz val="10"/>
        <color rgb="FF000000"/>
        <rFont val="Lohit Devanagari"/>
        <family val="2"/>
      </rPr>
      <t xml:space="preserve">حي العصري محلة </t>
    </r>
    <r>
      <rPr>
        <sz val="10"/>
        <color rgb="FF000000"/>
        <rFont val="Arial Narrow"/>
        <family val="2"/>
        <charset val="1"/>
      </rPr>
      <t xml:space="preserve">118</t>
    </r>
  </si>
  <si>
    <t xml:space="preserve">Hay Al-Baqi</t>
  </si>
  <si>
    <t xml:space="preserve">حي البقيع</t>
  </si>
  <si>
    <t xml:space="preserve">Hay Al-Dhubat 2</t>
  </si>
  <si>
    <t xml:space="preserve">حي الضباط الثاني</t>
  </si>
  <si>
    <t xml:space="preserve">Hay Al-Fadliya</t>
  </si>
  <si>
    <t xml:space="preserve">حي الفاضلية</t>
  </si>
  <si>
    <t xml:space="preserve">Hay Al-Fajer Al-Jadeed</t>
  </si>
  <si>
    <t xml:space="preserve">حي الفجر الجديد</t>
  </si>
  <si>
    <t xml:space="preserve">Hay Al-Hadarah</t>
  </si>
  <si>
    <t xml:space="preserve">حي الحضارة</t>
  </si>
  <si>
    <t xml:space="preserve">Hay AL-Hussian</t>
  </si>
  <si>
    <t xml:space="preserve">Hay Al-Karar</t>
  </si>
  <si>
    <t xml:space="preserve">Hay al-muaalmien</t>
  </si>
  <si>
    <t xml:space="preserve">Hay Al-Nahtha 1</t>
  </si>
  <si>
    <r>
      <rPr>
        <sz val="10"/>
        <color rgb="FF000000"/>
        <rFont val="Lohit Devanagari"/>
        <family val="2"/>
      </rPr>
      <t xml:space="preserve">حي النهضة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</si>
  <si>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Al-Naseej</t>
  </si>
  <si>
    <t xml:space="preserve">حي النسيج</t>
  </si>
  <si>
    <t xml:space="preserve">Hay Al-Sadir 4</t>
  </si>
  <si>
    <t xml:space="preserve">حي الصدر الرابعة</t>
  </si>
  <si>
    <t xml:space="preserve">Hay Al-Sharta</t>
  </si>
  <si>
    <t xml:space="preserve">Hay Al-Shurta</t>
  </si>
  <si>
    <t xml:space="preserve">Hay Al-Zaieem</t>
  </si>
  <si>
    <t xml:space="preserve">حي الزعيم</t>
  </si>
  <si>
    <t xml:space="preserve">Kadoory village</t>
  </si>
  <si>
    <t xml:space="preserve">قرية قدوري</t>
  </si>
  <si>
    <t xml:space="preserve">Mantaket Al-Jethaa</t>
  </si>
  <si>
    <t xml:space="preserve">منطقة الجذع</t>
  </si>
  <si>
    <t xml:space="preserve">Qaryat Al Ensaf</t>
  </si>
  <si>
    <t xml:space="preserve">قرية الانصاف</t>
  </si>
  <si>
    <t xml:space="preserve">Sader Al-Daghara</t>
  </si>
  <si>
    <t xml:space="preserve">صدر الدغارة</t>
  </si>
  <si>
    <t xml:space="preserve">Salman Hlis Village</t>
  </si>
  <si>
    <t xml:space="preserve">قرية سلمان هليس</t>
  </si>
  <si>
    <t xml:space="preserve">Sayed Talib Village</t>
  </si>
  <si>
    <t xml:space="preserve">قرية سيد طالب</t>
  </si>
  <si>
    <t xml:space="preserve">Um Abasiyat</t>
  </si>
  <si>
    <t xml:space="preserve">ام عباسيات</t>
  </si>
  <si>
    <t xml:space="preserve">Um Al Khail 2</t>
  </si>
  <si>
    <t xml:space="preserve">ام الخيل الثانية</t>
  </si>
  <si>
    <t xml:space="preserve">Um Al Khail 3</t>
  </si>
  <si>
    <t xml:space="preserve">ام الخيل الثالثه</t>
  </si>
  <si>
    <t xml:space="preserve">Um tibashi village</t>
  </si>
  <si>
    <t xml:space="preserve">قرية ام طباشي</t>
  </si>
  <si>
    <t xml:space="preserve">Hamza</t>
  </si>
  <si>
    <t xml:space="preserve">Al Asriyah Village</t>
  </si>
  <si>
    <t xml:space="preserve">القرية العصرية</t>
  </si>
  <si>
    <t xml:space="preserve">Al-Marshad village</t>
  </si>
  <si>
    <t xml:space="preserve">قرية المرشد</t>
  </si>
  <si>
    <t xml:space="preserve">AL-Marsoul village</t>
  </si>
  <si>
    <t xml:space="preserve">قرية المرسول</t>
  </si>
  <si>
    <t xml:space="preserve">Al-Saada Alimyal village</t>
  </si>
  <si>
    <t xml:space="preserve">قرية السادة الاميال</t>
  </si>
  <si>
    <t xml:space="preserve">Al-sabah village</t>
  </si>
  <si>
    <t xml:space="preserve">قرية الصباح</t>
  </si>
  <si>
    <t xml:space="preserve">Al-suraa village</t>
  </si>
  <si>
    <t xml:space="preserve">قرية السورة</t>
  </si>
  <si>
    <t xml:space="preserve">Al-Taraf Al-Sharqi</t>
  </si>
  <si>
    <t xml:space="preserve">الطرف الشرقي</t>
  </si>
  <si>
    <t xml:space="preserve">Ali Al-Salman Village</t>
  </si>
  <si>
    <t xml:space="preserve">قرية علي السلمان</t>
  </si>
  <si>
    <t xml:space="preserve">Hay Al saray</t>
  </si>
  <si>
    <t xml:space="preserve">Hay Al-Hur</t>
  </si>
  <si>
    <t xml:space="preserve">حي الحر</t>
  </si>
  <si>
    <t xml:space="preserve">Hay Hussain</t>
  </si>
  <si>
    <t xml:space="preserve">Mantaket Al-Giwam</t>
  </si>
  <si>
    <t xml:space="preserve">منطقة الكوام</t>
  </si>
  <si>
    <t xml:space="preserve">Salim village</t>
  </si>
  <si>
    <t xml:space="preserve">قرية سالم</t>
  </si>
  <si>
    <t xml:space="preserve">Tabu</t>
  </si>
  <si>
    <t xml:space="preserve">الطابو</t>
  </si>
  <si>
    <t xml:space="preserve">Al-Daur</t>
  </si>
  <si>
    <t xml:space="preserve">Al Mujammaa Al Sakani</t>
  </si>
  <si>
    <t xml:space="preserve">Al-Khadhra area</t>
  </si>
  <si>
    <t xml:space="preserve">الدور حي الخضراء</t>
  </si>
  <si>
    <t xml:space="preserve">Door Al Gharbiya</t>
  </si>
  <si>
    <t xml:space="preserve">وادي جباش الغربية سكن متناثر</t>
  </si>
  <si>
    <t xml:space="preserve">Hay Al Qadisiah</t>
  </si>
  <si>
    <t xml:space="preserve">Hay Alsharqiah-Mahalla 112</t>
  </si>
  <si>
    <r>
      <rPr>
        <sz val="10"/>
        <color rgb="FF000000"/>
        <rFont val="Lohit Devanagari"/>
        <family val="2"/>
      </rPr>
      <t xml:space="preserve">حي الشرقية محلة </t>
    </r>
    <r>
      <rPr>
        <sz val="10"/>
        <color rgb="FF000000"/>
        <rFont val="Arial Narrow"/>
        <family val="2"/>
        <charset val="1"/>
      </rPr>
      <t xml:space="preserve">112</t>
    </r>
  </si>
  <si>
    <t xml:space="preserve">Hay Mohammad Aldorri-Mhalla 107</t>
  </si>
  <si>
    <r>
      <rPr>
        <sz val="10"/>
        <color rgb="FF000000"/>
        <rFont val="Lohit Devanagari"/>
        <family val="2"/>
      </rPr>
      <t xml:space="preserve">محمد الدري محلة </t>
    </r>
    <r>
      <rPr>
        <sz val="10"/>
        <color rgb="FF000000"/>
        <rFont val="Arial Narrow"/>
        <family val="2"/>
        <charset val="1"/>
      </rPr>
      <t xml:space="preserve">107</t>
    </r>
  </si>
  <si>
    <t xml:space="preserve">Hay Tal Al Banat</t>
  </si>
  <si>
    <t xml:space="preserve">حي تل البنات</t>
  </si>
  <si>
    <t xml:space="preserve">Al-Fares</t>
  </si>
  <si>
    <t xml:space="preserve">14 Ramadhan</t>
  </si>
  <si>
    <r>
      <rPr>
        <sz val="10"/>
        <color rgb="FF000000"/>
        <rFont val="Lohit Devanagari"/>
        <family val="2"/>
      </rPr>
      <t xml:space="preserve">قرية </t>
    </r>
    <r>
      <rPr>
        <sz val="10"/>
        <color rgb="FF000000"/>
        <rFont val="Arial Narrow"/>
        <family val="2"/>
        <charset val="1"/>
      </rPr>
      <t xml:space="preserve">14 </t>
    </r>
    <r>
      <rPr>
        <sz val="10"/>
        <color rgb="FF000000"/>
        <rFont val="Lohit Devanagari"/>
        <family val="2"/>
      </rPr>
      <t xml:space="preserve">رمضان</t>
    </r>
  </si>
  <si>
    <t xml:space="preserve">Al Sejla village</t>
  </si>
  <si>
    <t xml:space="preserve">قرية السجلة</t>
  </si>
  <si>
    <t xml:space="preserve">Al Zuheari Village</t>
  </si>
  <si>
    <t xml:space="preserve">قرية الزهيري</t>
  </si>
  <si>
    <t xml:space="preserve">Albu Mejwel Village</t>
  </si>
  <si>
    <t xml:space="preserve">قرية البو مجول</t>
  </si>
  <si>
    <t xml:space="preserve">Hay Al Hussien</t>
  </si>
  <si>
    <t xml:space="preserve">Hay Al Wihda Mahala 102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</si>
  <si>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102</t>
    </r>
  </si>
  <si>
    <t xml:space="preserve">Hay al Zahraa 204</t>
  </si>
  <si>
    <r>
      <rPr>
        <sz val="10"/>
        <color rgb="FF000000"/>
        <rFont val="Lohit Devanagari"/>
        <family val="2"/>
      </rPr>
      <t xml:space="preserve">حي الزهراء م</t>
    </r>
    <r>
      <rPr>
        <sz val="10"/>
        <color rgb="FF000000"/>
        <rFont val="Arial Narrow"/>
        <family val="2"/>
        <charset val="1"/>
      </rPr>
      <t xml:space="preserve">(9-</t>
    </r>
    <r>
      <rPr>
        <sz val="10"/>
        <color rgb="FF000000"/>
        <rFont val="Lohit Devanagari"/>
        <family val="2"/>
      </rPr>
      <t xml:space="preserve">تل مسكين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204</t>
    </r>
  </si>
  <si>
    <t xml:space="preserve">Markaz Al-Dujeel-Al Shabab village</t>
  </si>
  <si>
    <t xml:space="preserve">قرية الشباب</t>
  </si>
  <si>
    <t xml:space="preserve">Markaz Al-Dujeel-Hay Al Askari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</si>
  <si>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209</t>
    </r>
  </si>
  <si>
    <t xml:space="preserve">Markaz Al-Dujeel-Hay Al Wihda Mahala 101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</si>
  <si>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101</t>
    </r>
  </si>
  <si>
    <t xml:space="preserve">Markaz Al-Dujeel-Hay Al Wihda Mahala 103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</si>
  <si>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103</t>
    </r>
  </si>
  <si>
    <t xml:space="preserve">Al-Shirqat</t>
  </si>
  <si>
    <t xml:space="preserve">Al Fajir village(Al Tasni)</t>
  </si>
  <si>
    <t xml:space="preserve">قرية الفجر</t>
  </si>
  <si>
    <t xml:space="preserve">Al Jumiala village</t>
  </si>
  <si>
    <t xml:space="preserve">حي الجميلة</t>
  </si>
  <si>
    <t xml:space="preserve">Al Khadraniyah</t>
  </si>
  <si>
    <t xml:space="preserve">قرية الخضرانية</t>
  </si>
  <si>
    <t xml:space="preserve">Al Khasim Al-Jaded village-Al qlisat</t>
  </si>
  <si>
    <r>
      <rPr>
        <sz val="10"/>
        <color rgb="FF000000"/>
        <rFont val="Lohit Devanagari"/>
        <family val="2"/>
      </rPr>
      <t xml:space="preserve">قرية الخصم الجديدة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القليصات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</si>
  <si>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Al-Ayitha Village</t>
  </si>
  <si>
    <r>
      <rPr>
        <sz val="10"/>
        <color rgb="FF000000"/>
        <rFont val="Lohit Devanagari"/>
        <family val="2"/>
      </rPr>
      <t xml:space="preserve">قريةالعيثة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جرناف شرقي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</si>
  <si>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Al-Horya Al-Qadema village</t>
  </si>
  <si>
    <t xml:space="preserve">قرية الحورية القديمة</t>
  </si>
  <si>
    <t xml:space="preserve">Al-Khasim Al-Qadem village</t>
  </si>
  <si>
    <t xml:space="preserve">قرية الخصم القديمة</t>
  </si>
  <si>
    <t xml:space="preserve">Al-Qalaa Village</t>
  </si>
  <si>
    <t xml:space="preserve">Al-Qudus</t>
  </si>
  <si>
    <t xml:space="preserve">Al-Swedan Village</t>
  </si>
  <si>
    <t xml:space="preserve">قرية سويدان</t>
  </si>
  <si>
    <t xml:space="preserve">Hawi Baaja Hawi</t>
  </si>
  <si>
    <r>
      <rPr>
        <sz val="10"/>
        <color rgb="FF000000"/>
        <rFont val="Lohit Devanagari"/>
        <family val="2"/>
      </rPr>
      <t xml:space="preserve">حاوي بعاجه حاوي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حضر</t>
    </r>
  </si>
  <si>
    <t xml:space="preserve">Hay Al Qasbah</t>
  </si>
  <si>
    <t xml:space="preserve">حي القصبة</t>
  </si>
  <si>
    <t xml:space="preserve">Hay Al Ziraa</t>
  </si>
  <si>
    <t xml:space="preserve">حي الزراعه</t>
  </si>
  <si>
    <t xml:space="preserve">Hay Al-Baladyat</t>
  </si>
  <si>
    <t xml:space="preserve">Hay Tal Baajah</t>
  </si>
  <si>
    <t xml:space="preserve">حي تل بعاجة</t>
  </si>
  <si>
    <t xml:space="preserve">Huriyah al jazerah-Al-Aboud</t>
  </si>
  <si>
    <t xml:space="preserve">قرية العبود</t>
  </si>
  <si>
    <t xml:space="preserve">Qaryat Al Sabkha</t>
  </si>
  <si>
    <t xml:space="preserve">قرية الصبخة</t>
  </si>
  <si>
    <t xml:space="preserve">Tal Al Jumiala area</t>
  </si>
  <si>
    <r>
      <rPr>
        <sz val="10"/>
        <color rgb="FF000000"/>
        <rFont val="Lohit Devanagari"/>
        <family val="2"/>
      </rPr>
      <t xml:space="preserve">تل بعاجة </t>
    </r>
    <r>
      <rPr>
        <sz val="10"/>
        <color rgb="FF000000"/>
        <rFont val="Arial Narrow"/>
        <family val="2"/>
        <charset val="1"/>
      </rPr>
      <t xml:space="preserve">1 </t>
    </r>
    <r>
      <rPr>
        <sz val="10"/>
        <color rgb="FF000000"/>
        <rFont val="Lohit Devanagari"/>
        <family val="2"/>
      </rPr>
      <t xml:space="preserve">وتل اجميلة </t>
    </r>
  </si>
  <si>
    <t xml:space="preserve">Baiji</t>
  </si>
  <si>
    <t xml:space="preserve">Al Hamra village</t>
  </si>
  <si>
    <t xml:space="preserve">قرية الحمرة</t>
  </si>
  <si>
    <t xml:space="preserve">Al Hejaj Village-13</t>
  </si>
  <si>
    <t xml:space="preserve">قرية الحجاج</t>
  </si>
  <si>
    <t xml:space="preserve">Al Mazraa Village</t>
  </si>
  <si>
    <t xml:space="preserve">قرية المزرعة</t>
  </si>
  <si>
    <t xml:space="preserve">Al Mushhaq Village</t>
  </si>
  <si>
    <t xml:space="preserve">قرية المسحك</t>
  </si>
  <si>
    <t xml:space="preserve">Al Namel Village</t>
  </si>
  <si>
    <t xml:space="preserve">قرية النمل</t>
  </si>
  <si>
    <t xml:space="preserve">Albu-Tumah village-12</t>
  </si>
  <si>
    <t xml:space="preserve">قرية البوطعمه</t>
  </si>
  <si>
    <t xml:space="preserve">Jireesh village</t>
  </si>
  <si>
    <t xml:space="preserve">قرية جريش</t>
  </si>
  <si>
    <t xml:space="preserve">Maslakha Al Sufla(Shikh Abdula village)</t>
  </si>
  <si>
    <t xml:space="preserve">قرية الشيخ عبدالله</t>
  </si>
  <si>
    <t xml:space="preserve">Maslakha Al Ulya</t>
  </si>
  <si>
    <t xml:space="preserve">قرية المصلخة عليا</t>
  </si>
  <si>
    <t xml:space="preserve">Qaryat Al Sareen</t>
  </si>
  <si>
    <t xml:space="preserve">قرية الصرين</t>
  </si>
  <si>
    <t xml:space="preserve">Balad</t>
  </si>
  <si>
    <t xml:space="preserve">Al Hardaniyah</t>
  </si>
  <si>
    <t xml:space="preserve">قرية الحردانية </t>
  </si>
  <si>
    <t xml:space="preserve">Al Hardaniyah Camp</t>
  </si>
  <si>
    <t xml:space="preserve">مخيم الحردانية</t>
  </si>
  <si>
    <t xml:space="preserve">Al Mashrooa Village</t>
  </si>
  <si>
    <t xml:space="preserve">Al-Duloeyah-Hay Al Jubor</t>
  </si>
  <si>
    <t xml:space="preserve">محلة الجبور الاولى</t>
  </si>
  <si>
    <t xml:space="preserve">Al-Duloeyah-Hay khazraj</t>
  </si>
  <si>
    <t xml:space="preserve">محلة خزرج</t>
  </si>
  <si>
    <t xml:space="preserve">Al-Haweeja Al bahriya</t>
  </si>
  <si>
    <t xml:space="preserve">قرية الجبور والحويجة ا</t>
  </si>
  <si>
    <t xml:space="preserve">Albu Farraj Village</t>
  </si>
  <si>
    <t xml:space="preserve">قرية البو فراج</t>
  </si>
  <si>
    <t xml:space="preserve">Albu Jewari</t>
  </si>
  <si>
    <t xml:space="preserve">محلة البو جواري</t>
  </si>
  <si>
    <t xml:space="preserve">Beshakan village</t>
  </si>
  <si>
    <t xml:space="preserve">قرية بيشكان</t>
  </si>
  <si>
    <t xml:space="preserve">Eshaqi Camp</t>
  </si>
  <si>
    <t xml:space="preserve">مخيم الاسحاقي</t>
  </si>
  <si>
    <t xml:space="preserve">Gbeabah Village</t>
  </si>
  <si>
    <t xml:space="preserve">قرية كبيبه</t>
  </si>
  <si>
    <t xml:space="preserve">Hallub</t>
  </si>
  <si>
    <t xml:space="preserve">هلوب</t>
  </si>
  <si>
    <t xml:space="preserve">Mahalla-Abu Sefa-1</t>
  </si>
  <si>
    <r>
      <rPr>
        <sz val="10"/>
        <color rgb="FF000000"/>
        <rFont val="Lohit Devanagari"/>
        <family val="2"/>
      </rPr>
      <t xml:space="preserve">محلة ابو صفة م</t>
    </r>
    <r>
      <rPr>
        <sz val="10"/>
        <color rgb="FF000000"/>
        <rFont val="Arial Narrow"/>
        <family val="2"/>
        <charset val="1"/>
      </rPr>
      <t xml:space="preserve">(15)</t>
    </r>
    <r>
      <rPr>
        <sz val="10"/>
        <color rgb="FF000000"/>
        <rFont val="Lohit Devanagari"/>
        <family val="2"/>
      </rPr>
      <t xml:space="preserve">محلة ابو صفة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</si>
  <si>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Samarra</t>
  </si>
  <si>
    <t xml:space="preserve">Al Armushia(Mahala 332)</t>
  </si>
  <si>
    <r>
      <rPr>
        <sz val="10"/>
        <color rgb="FF000000"/>
        <rFont val="Lohit Devanagari"/>
        <family val="2"/>
      </rPr>
      <t xml:space="preserve">حي الشرطة 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332</t>
    </r>
  </si>
  <si>
    <t xml:space="preserve">Al Jibariya Mahala 316</t>
  </si>
  <si>
    <r>
      <rPr>
        <sz val="10"/>
        <color rgb="FF000000"/>
        <rFont val="Lohit Devanagari"/>
        <family val="2"/>
      </rPr>
      <t xml:space="preserve">حي الواثق</t>
    </r>
    <r>
      <rPr>
        <sz val="10"/>
        <color rgb="FF000000"/>
        <rFont val="Arial Narrow"/>
        <family val="2"/>
        <charset val="1"/>
      </rPr>
      <t xml:space="preserve">(22-</t>
    </r>
    <r>
      <rPr>
        <sz val="10"/>
        <color rgb="FF000000"/>
        <rFont val="Lohit Devanagari"/>
        <family val="2"/>
      </rPr>
      <t xml:space="preserve">جبيرية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316</t>
    </r>
  </si>
  <si>
    <t xml:space="preserve">Al Jubairiyah Al Thalitha</t>
  </si>
  <si>
    <r>
      <rPr>
        <sz val="10"/>
        <color rgb="FF000000"/>
        <rFont val="Lohit Devanagari"/>
        <family val="2"/>
      </rPr>
      <t xml:space="preserve">حي الواثق</t>
    </r>
    <r>
      <rPr>
        <sz val="10"/>
        <color rgb="FF000000"/>
        <rFont val="Arial Narrow"/>
        <family val="2"/>
        <charset val="1"/>
      </rPr>
      <t xml:space="preserve">(22-</t>
    </r>
    <r>
      <rPr>
        <sz val="10"/>
        <color rgb="FF000000"/>
        <rFont val="Lohit Devanagari"/>
        <family val="2"/>
      </rPr>
      <t xml:space="preserve">جبيرية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الجبيرية الثالثة</t>
    </r>
  </si>
  <si>
    <t xml:space="preserve">Al Mahalla Al Gharbiah</t>
  </si>
  <si>
    <t xml:space="preserve">المحلة الغربية</t>
  </si>
  <si>
    <t xml:space="preserve">Al Qala-Mahal 201</t>
  </si>
  <si>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4 </t>
    </r>
    <r>
      <rPr>
        <sz val="10"/>
        <color rgb="FF000000"/>
        <rFont val="Lohit Devanagari"/>
        <family val="2"/>
      </rPr>
      <t xml:space="preserve">القلعة محلة </t>
    </r>
    <r>
      <rPr>
        <sz val="10"/>
        <color rgb="FF000000"/>
        <rFont val="Arial Narrow"/>
        <family val="2"/>
        <charset val="1"/>
      </rPr>
      <t xml:space="preserve">201</t>
    </r>
  </si>
  <si>
    <t xml:space="preserve">Al Sayoya-Mahala 1</t>
  </si>
  <si>
    <r>
      <rPr>
        <sz val="10"/>
        <color rgb="FF000000"/>
        <rFont val="Lohit Devanagari"/>
        <family val="2"/>
      </rPr>
      <t xml:space="preserve">محلة الصعيوية م</t>
    </r>
    <r>
      <rPr>
        <sz val="10"/>
        <color rgb="FF000000"/>
        <rFont val="Arial Narrow"/>
        <family val="2"/>
        <charset val="1"/>
      </rPr>
      <t xml:space="preserve">(16)</t>
    </r>
    <r>
      <rPr>
        <sz val="10"/>
        <color rgb="FF000000"/>
        <rFont val="Lohit Devanagari"/>
        <family val="2"/>
      </rPr>
      <t xml:space="preserve">محلة الصعيوية</t>
    </r>
    <r>
      <rPr>
        <sz val="10"/>
        <color rgb="FF000000"/>
        <rFont val="Arial Narrow"/>
        <family val="2"/>
        <charset val="1"/>
      </rPr>
      <t xml:space="preserve">-1</t>
    </r>
  </si>
  <si>
    <t xml:space="preserve">Al-Abasiya Village</t>
  </si>
  <si>
    <t xml:space="preserve">قرية العباسية</t>
  </si>
  <si>
    <t xml:space="preserve">Al-Efraz area</t>
  </si>
  <si>
    <t xml:space="preserve">حي الافراز</t>
  </si>
  <si>
    <t xml:space="preserve">Al-Hewaish area</t>
  </si>
  <si>
    <t xml:space="preserve">Al-Jamiaa Area</t>
  </si>
  <si>
    <t xml:space="preserve">Al-Shuhadaa-Mahalla 324</t>
  </si>
  <si>
    <r>
      <rPr>
        <sz val="10"/>
        <color rgb="FF000000"/>
        <rFont val="Lohit Devanagari"/>
        <family val="2"/>
      </rPr>
      <t xml:space="preserve">حي الشهداءم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324</t>
    </r>
  </si>
  <si>
    <t xml:space="preserve">Al-Sikak-111</t>
  </si>
  <si>
    <r>
      <rPr>
        <sz val="10"/>
        <color rgb="FF000000"/>
        <rFont val="Lohit Devanagari"/>
        <family val="2"/>
      </rPr>
      <t xml:space="preserve">حي السكك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الشرقية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111</t>
    </r>
  </si>
  <si>
    <t xml:space="preserve">Al_Jazera</t>
  </si>
  <si>
    <r>
      <rPr>
        <sz val="10"/>
        <color rgb="FF000000"/>
        <rFont val="Lohit Devanagari"/>
        <family val="2"/>
      </rPr>
      <t xml:space="preserve">الجزيرة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الجزءالجنوبي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سكن متناثر</t>
    </r>
  </si>
  <si>
    <t xml:space="preserve">Hay Al Baladiya-104</t>
  </si>
  <si>
    <r>
      <rPr>
        <sz val="10"/>
        <color rgb="FF000000"/>
        <rFont val="Lohit Devanagari"/>
        <family val="2"/>
      </rPr>
      <t xml:space="preserve">م ق سامراء حي ابن سينا محلة </t>
    </r>
    <r>
      <rPr>
        <sz val="10"/>
        <color rgb="FF000000"/>
        <rFont val="Arial Narrow"/>
        <family val="2"/>
        <charset val="1"/>
      </rPr>
      <t xml:space="preserve">104</t>
    </r>
  </si>
  <si>
    <t xml:space="preserve">Hay Al Dhubbat-Mahalla 334</t>
  </si>
  <si>
    <r>
      <rPr>
        <sz val="10"/>
        <color rgb="FF000000"/>
        <rFont val="Lohit Devanagari"/>
        <family val="2"/>
      </rPr>
      <t xml:space="preserve">حي الضباط 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334</t>
    </r>
  </si>
  <si>
    <t xml:space="preserve">Hay Al Dubhat-Mahalla 336</t>
  </si>
  <si>
    <r>
      <rPr>
        <sz val="10"/>
        <color rgb="FF000000"/>
        <rFont val="Lohit Devanagari"/>
        <family val="2"/>
      </rPr>
      <t xml:space="preserve">حي الضباط 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336</t>
    </r>
  </si>
  <si>
    <t xml:space="preserve">Hay Al Gatol-Albu Nisan</t>
  </si>
  <si>
    <r>
      <rPr>
        <sz val="10"/>
        <color rgb="FF000000"/>
        <rFont val="Lohit Devanagari"/>
        <family val="2"/>
      </rPr>
      <t xml:space="preserve">حي القاطول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البو نيسان</t>
    </r>
  </si>
  <si>
    <t xml:space="preserve">Hay Al Hady 101</t>
  </si>
  <si>
    <r>
      <rPr>
        <sz val="10"/>
        <color rgb="FF000000"/>
        <rFont val="Lohit Devanagari"/>
        <family val="2"/>
      </rPr>
      <t xml:space="preserve">حي الهادي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غربية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101</t>
    </r>
  </si>
  <si>
    <t xml:space="preserve">Hay Al imam-103</t>
  </si>
  <si>
    <r>
      <rPr>
        <sz val="10"/>
        <color rgb="FF000000"/>
        <rFont val="Lohit Devanagari"/>
        <family val="2"/>
      </rPr>
      <t xml:space="preserve">حي الامام محلة </t>
    </r>
    <r>
      <rPr>
        <sz val="10"/>
        <color rgb="FF000000"/>
        <rFont val="Arial Narrow"/>
        <family val="2"/>
        <charset val="1"/>
      </rPr>
      <t xml:space="preserve">103</t>
    </r>
  </si>
  <si>
    <t xml:space="preserve">Hay Al Mulmeen-109</t>
  </si>
  <si>
    <r>
      <rPr>
        <sz val="10"/>
        <color rgb="FF000000"/>
        <rFont val="Lohit Devanagari"/>
        <family val="2"/>
      </rPr>
      <t xml:space="preserve">حي المعلمين</t>
    </r>
    <r>
      <rPr>
        <sz val="10"/>
        <color rgb="FF000000"/>
        <rFont val="Arial Narrow"/>
        <family val="2"/>
        <charset val="1"/>
      </rPr>
      <t xml:space="preserve">-109</t>
    </r>
  </si>
  <si>
    <t xml:space="preserve">Hay Al Mutasim-mahala 105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</si>
  <si>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105</t>
    </r>
  </si>
  <si>
    <t xml:space="preserve">Hay Al Muthanna-Mahalla 312</t>
  </si>
  <si>
    <r>
      <rPr>
        <sz val="10"/>
        <color rgb="FF000000"/>
        <rFont val="Lohit Devanagari"/>
        <family val="2"/>
      </rPr>
      <t xml:space="preserve">حي المثنى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312</t>
    </r>
  </si>
  <si>
    <t xml:space="preserve">Hay Al Rasheed-Mahalla 326</t>
  </si>
  <si>
    <r>
      <rPr>
        <sz val="10"/>
        <color rgb="FF000000"/>
        <rFont val="Lohit Devanagari"/>
        <family val="2"/>
      </rPr>
      <t xml:space="preserve">حي الرشيد م</t>
    </r>
    <r>
      <rPr>
        <sz val="10"/>
        <color rgb="FF000000"/>
        <rFont val="Arial Narrow"/>
        <family val="2"/>
        <charset val="1"/>
      </rPr>
      <t xml:space="preserve">(22-</t>
    </r>
    <r>
      <rPr>
        <sz val="10"/>
        <color rgb="FF000000"/>
        <rFont val="Lohit Devanagari"/>
        <family val="2"/>
      </rPr>
      <t xml:space="preserve">جبيرية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326</t>
    </r>
  </si>
  <si>
    <t xml:space="preserve">Hay Al Wathiq-Mahala 314</t>
  </si>
  <si>
    <r>
      <rPr>
        <sz val="10"/>
        <color rgb="FF000000"/>
        <rFont val="Lohit Devanagari"/>
        <family val="2"/>
      </rPr>
      <t xml:space="preserve">حي الواثق</t>
    </r>
    <r>
      <rPr>
        <sz val="10"/>
        <color rgb="FF000000"/>
        <rFont val="Arial Narrow"/>
        <family val="2"/>
        <charset val="1"/>
      </rPr>
      <t xml:space="preserve">(22-</t>
    </r>
    <r>
      <rPr>
        <sz val="10"/>
        <color rgb="FF000000"/>
        <rFont val="Lohit Devanagari"/>
        <family val="2"/>
      </rPr>
      <t xml:space="preserve">جبيرية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314</t>
    </r>
  </si>
  <si>
    <t xml:space="preserve">Hay Al Zuhoor(Al qala 4)Mahala 202</t>
  </si>
  <si>
    <r>
      <rPr>
        <sz val="10"/>
        <color rgb="FF000000"/>
        <rFont val="Lohit Devanagari"/>
        <family val="2"/>
      </rPr>
      <t xml:space="preserve">حي الزهور</t>
    </r>
    <r>
      <rPr>
        <sz val="10"/>
        <color rgb="FF000000"/>
        <rFont val="Arial Narrow"/>
        <family val="2"/>
        <charset val="1"/>
      </rPr>
      <t xml:space="preserve">(4-</t>
    </r>
    <r>
      <rPr>
        <sz val="10"/>
        <color rgb="FF000000"/>
        <rFont val="Lohit Devanagari"/>
        <family val="2"/>
      </rPr>
      <t xml:space="preserve">القلعة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202</t>
    </r>
  </si>
  <si>
    <t xml:space="preserve">Hay Al-Khathraa Mahala 322</t>
  </si>
  <si>
    <r>
      <rPr>
        <sz val="10"/>
        <color rgb="FF000000"/>
        <rFont val="Lohit Devanagari"/>
        <family val="2"/>
      </rPr>
      <t xml:space="preserve">حي الخضراء 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322</t>
    </r>
  </si>
  <si>
    <t xml:space="preserve">Hay Al-Ziraa(Sharqiyah)113</t>
  </si>
  <si>
    <r>
      <rPr>
        <sz val="10"/>
        <color rgb="FF000000"/>
        <rFont val="Lohit Devanagari"/>
        <family val="2"/>
      </rPr>
      <t xml:space="preserve">حي الزراعة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شرقية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113</t>
    </r>
  </si>
  <si>
    <t xml:space="preserve">Hay Albu Rahman</t>
  </si>
  <si>
    <t xml:space="preserve">حي البو رحمن</t>
  </si>
  <si>
    <t xml:space="preserve">Hay Alqadisiya-320</t>
  </si>
  <si>
    <r>
      <rPr>
        <sz val="10"/>
        <color rgb="FF000000"/>
        <rFont val="Lohit Devanagari"/>
        <family val="2"/>
      </rPr>
      <t xml:space="preserve">حي القادسية م</t>
    </r>
    <r>
      <rPr>
        <sz val="10"/>
        <color rgb="FF000000"/>
        <rFont val="Arial Narrow"/>
        <family val="2"/>
        <charset val="1"/>
      </rPr>
      <t xml:space="preserve">(25-</t>
    </r>
    <r>
      <rPr>
        <sz val="10"/>
        <color rgb="FF000000"/>
        <rFont val="Lohit Devanagari"/>
        <family val="2"/>
      </rPr>
      <t xml:space="preserve">عرموشية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320</t>
    </r>
  </si>
  <si>
    <t xml:space="preserve">Hay Salah Al-Din(Mahala 302)</t>
  </si>
  <si>
    <r>
      <rPr>
        <sz val="10"/>
        <color rgb="FF000000"/>
        <rFont val="Lohit Devanagari"/>
        <family val="2"/>
      </rPr>
      <t xml:space="preserve">حي صلاح الدين محلة </t>
    </r>
    <r>
      <rPr>
        <sz val="10"/>
        <color rgb="FF000000"/>
        <rFont val="Arial Narrow"/>
        <family val="2"/>
        <charset val="1"/>
      </rPr>
      <t xml:space="preserve">302</t>
    </r>
  </si>
  <si>
    <t xml:space="preserve">Mahalla Makeshfa</t>
  </si>
  <si>
    <t xml:space="preserve">محلة مكيشفه</t>
  </si>
  <si>
    <t xml:space="preserve">Tikrit</t>
  </si>
  <si>
    <t xml:space="preserve">(Al Qadissiya)-218-500</t>
  </si>
  <si>
    <r>
      <rPr>
        <sz val="10"/>
        <color rgb="FF000000"/>
        <rFont val="Lohit Devanagari"/>
        <family val="2"/>
      </rPr>
      <t xml:space="preserve">حي المطاردة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قادسية</t>
    </r>
    <r>
      <rPr>
        <sz val="10"/>
        <color rgb="FF000000"/>
        <rFont val="Arial Narrow"/>
        <family val="2"/>
        <charset val="1"/>
      </rPr>
      <t xml:space="preserve">2)</t>
    </r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7 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218 – </t>
    </r>
    <r>
      <rPr>
        <sz val="10"/>
        <color rgb="FF000000"/>
        <rFont val="Lohit Devanagari"/>
        <family val="2"/>
      </rPr>
      <t xml:space="preserve">قطعه </t>
    </r>
    <r>
      <rPr>
        <sz val="10"/>
        <color rgb="FF000000"/>
        <rFont val="Arial Narrow"/>
        <family val="2"/>
        <charset val="1"/>
      </rPr>
      <t xml:space="preserve">500</t>
    </r>
  </si>
  <si>
    <t xml:space="preserve">Al Ahad Al Jadid village</t>
  </si>
  <si>
    <t xml:space="preserve">قرية العهد الجديد</t>
  </si>
  <si>
    <t xml:space="preserve">Al Auja village </t>
  </si>
  <si>
    <t xml:space="preserve">قرية العوجة</t>
  </si>
  <si>
    <t xml:space="preserve">Al Bzikhah Village</t>
  </si>
  <si>
    <t xml:space="preserve">قرية البزيخة</t>
  </si>
  <si>
    <t xml:space="preserve">Al Haweja village-AlAbady</t>
  </si>
  <si>
    <r>
      <rPr>
        <sz val="10"/>
        <color rgb="FF000000"/>
        <rFont val="Lohit Devanagari"/>
        <family val="2"/>
      </rPr>
      <t xml:space="preserve">قرية الحويجة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العبادي</t>
    </r>
  </si>
  <si>
    <t xml:space="preserve">Al khuzamiya Village</t>
  </si>
  <si>
    <t xml:space="preserve">قرية الخزامية</t>
  </si>
  <si>
    <t xml:space="preserve">Al Mahzam village</t>
  </si>
  <si>
    <t xml:space="preserve">قرية المحزم</t>
  </si>
  <si>
    <t xml:space="preserve">Al Namah Al Janobiyah Village</t>
  </si>
  <si>
    <t xml:space="preserve">الناعمة الجنوبية قرية الناعمة</t>
  </si>
  <si>
    <t xml:space="preserve">Al Namah Al Shamaliyah Village</t>
  </si>
  <si>
    <t xml:space="preserve">الناعمة الشمالية قرية الناعمة الشمالية</t>
  </si>
  <si>
    <t xml:space="preserve">Al Shaheed Abdulla village</t>
  </si>
  <si>
    <t xml:space="preserve">قرية الشهيد عبدالله جباره</t>
  </si>
  <si>
    <t xml:space="preserve">Al Zallayah village</t>
  </si>
  <si>
    <t xml:space="preserve">قرية الزلاية</t>
  </si>
  <si>
    <t xml:space="preserve">Al-Dibsa Village</t>
  </si>
  <si>
    <t xml:space="preserve">قرية الدبسة</t>
  </si>
  <si>
    <t xml:space="preserve">Al-Karama Village</t>
  </si>
  <si>
    <t xml:space="preserve">قرية الكرامة</t>
  </si>
  <si>
    <t xml:space="preserve">Al-Muskarat</t>
  </si>
  <si>
    <t xml:space="preserve">منطقة المعسكرات</t>
  </si>
  <si>
    <t xml:space="preserve">Al-Mutaradah 204</t>
  </si>
  <si>
    <r>
      <rPr>
        <sz val="10"/>
        <color rgb="FF000000"/>
        <rFont val="Lohit Devanagari"/>
        <family val="2"/>
      </rPr>
      <t xml:space="preserve">حي الشهداء مقاطعة </t>
    </r>
    <r>
      <rPr>
        <sz val="10"/>
        <color rgb="FF000000"/>
        <rFont val="Arial Narrow"/>
        <family val="2"/>
        <charset val="1"/>
      </rPr>
      <t xml:space="preserve">7-</t>
    </r>
    <r>
      <rPr>
        <sz val="10"/>
        <color rgb="FF000000"/>
        <rFont val="Lohit Devanagari"/>
        <family val="2"/>
      </rPr>
      <t xml:space="preserve">المطاردة محلة </t>
    </r>
    <r>
      <rPr>
        <sz val="10"/>
        <color rgb="FF000000"/>
        <rFont val="Arial Narrow"/>
        <family val="2"/>
        <charset val="1"/>
      </rPr>
      <t xml:space="preserve">204</t>
    </r>
  </si>
  <si>
    <t xml:space="preserve">Al-Safia Village</t>
  </si>
  <si>
    <t xml:space="preserve">قرية الصافية</t>
  </si>
  <si>
    <t xml:space="preserve">Al-Shahama Village</t>
  </si>
  <si>
    <t xml:space="preserve">قرية الشهامة</t>
  </si>
  <si>
    <t xml:space="preserve">Awajealah Quarter</t>
  </si>
  <si>
    <r>
      <rPr>
        <sz val="10"/>
        <color rgb="FF000000"/>
        <rFont val="Lohit Devanagari"/>
        <family val="2"/>
      </rPr>
      <t xml:space="preserve">حي عويجيلية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</t>
    </r>
    <r>
      <rPr>
        <sz val="10"/>
        <color rgb="FF000000"/>
        <rFont val="Arial Narrow"/>
        <family val="2"/>
        <charset val="1"/>
      </rPr>
      <t xml:space="preserve">(27-</t>
    </r>
    <r>
      <rPr>
        <sz val="10"/>
        <color rgb="FF000000"/>
        <rFont val="Lohit Devanagari"/>
        <family val="2"/>
      </rPr>
      <t xml:space="preserve">الخرجة والعالي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</si>
  <si>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Ellmeabdi Al Shemaliya Village</t>
  </si>
  <si>
    <t xml:space="preserve">قرية المعيبدي الشمالية</t>
  </si>
  <si>
    <t xml:space="preserve">Hammad Shehab village</t>
  </si>
  <si>
    <t xml:space="preserve">قرية حماد شهاب</t>
  </si>
  <si>
    <t xml:space="preserve">Hay Al Anwaa-Mahalla 420</t>
  </si>
  <si>
    <r>
      <rPr>
        <sz val="10"/>
        <color rgb="FF000000"/>
        <rFont val="Lohit Devanagari"/>
        <family val="2"/>
      </rPr>
      <t xml:space="preserve">حي الانواء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420</t>
    </r>
  </si>
  <si>
    <t xml:space="preserve">Hay Al Arbaeen-Mahalla 414</t>
  </si>
  <si>
    <r>
      <rPr>
        <sz val="10"/>
        <color rgb="FF000000"/>
        <rFont val="Lohit Devanagari"/>
        <family val="2"/>
      </rPr>
      <t xml:space="preserve">حي الاربعين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414</t>
    </r>
  </si>
  <si>
    <t xml:space="preserve">Hay Al Askari village</t>
  </si>
  <si>
    <t xml:space="preserve">Hay Al Asry Al Jadid-404</t>
  </si>
  <si>
    <r>
      <rPr>
        <sz val="10"/>
        <color rgb="FF000000"/>
        <rFont val="Lohit Devanagari"/>
        <family val="2"/>
      </rPr>
      <t xml:space="preserve">حي العصري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مقاطعة</t>
    </r>
    <r>
      <rPr>
        <sz val="10"/>
        <color rgb="FF000000"/>
        <rFont val="Arial Narrow"/>
        <family val="2"/>
        <charset val="1"/>
      </rPr>
      <t xml:space="preserve">7-</t>
    </r>
    <r>
      <rPr>
        <sz val="10"/>
        <color rgb="FF000000"/>
        <rFont val="Lohit Devanagari"/>
        <family val="2"/>
      </rPr>
      <t xml:space="preserve">المطاردة محلة </t>
    </r>
    <r>
      <rPr>
        <sz val="10"/>
        <color rgb="FF000000"/>
        <rFont val="Arial Narrow"/>
        <family val="2"/>
        <charset val="1"/>
      </rPr>
      <t xml:space="preserve">404</t>
    </r>
  </si>
  <si>
    <t xml:space="preserve">Hay Al baladiyah</t>
  </si>
  <si>
    <r>
      <rPr>
        <sz val="10"/>
        <color rgb="FF000000"/>
        <rFont val="Lohit Devanagari"/>
        <family val="2"/>
      </rPr>
      <t xml:space="preserve">حي البلدية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</t>
    </r>
    <r>
      <rPr>
        <sz val="10"/>
        <color rgb="FF000000"/>
        <rFont val="Arial Narrow"/>
        <family val="2"/>
        <charset val="1"/>
      </rPr>
      <t xml:space="preserve">(27-</t>
    </r>
    <r>
      <rPr>
        <sz val="10"/>
        <color rgb="FF000000"/>
        <rFont val="Lohit Devanagari"/>
        <family val="2"/>
      </rPr>
      <t xml:space="preserve">الخرجة والعالي</t>
    </r>
    <r>
      <rPr>
        <sz val="10"/>
        <color rgb="FF000000"/>
        <rFont val="Arial Narrow"/>
        <family val="2"/>
        <charset val="1"/>
      </rPr>
      <t xml:space="preserve">)</t>
    </r>
  </si>
  <si>
    <t xml:space="preserve">Hay Al Baladiyat-Mahalla 402</t>
  </si>
  <si>
    <r>
      <rPr>
        <sz val="10"/>
        <color rgb="FF000000"/>
        <rFont val="Lohit Devanagari"/>
        <family val="2"/>
      </rPr>
      <t xml:space="preserve">البلدديات</t>
    </r>
    <r>
      <rPr>
        <sz val="10"/>
        <color rgb="FF000000"/>
        <rFont val="Arial Narrow"/>
        <family val="2"/>
        <charset val="1"/>
      </rPr>
      <t xml:space="preserve">-402</t>
    </r>
  </si>
  <si>
    <t xml:space="preserve">Hay Al Jamiyah</t>
  </si>
  <si>
    <r>
      <rPr>
        <sz val="10"/>
        <color rgb="FF000000"/>
        <rFont val="Lohit Devanagari"/>
        <family val="2"/>
      </rPr>
      <t xml:space="preserve">احي الجمعية</t>
    </r>
    <r>
      <rPr>
        <sz val="10"/>
        <color rgb="FF000000"/>
        <rFont val="Arial Narrow"/>
        <family val="2"/>
        <charset val="1"/>
      </rPr>
      <t xml:space="preserve">-2</t>
    </r>
  </si>
  <si>
    <t xml:space="preserve">Hay Al Jamiyah-Mahalla 418</t>
  </si>
  <si>
    <r>
      <rPr>
        <sz val="10"/>
        <color rgb="FF000000"/>
        <rFont val="Lohit Devanagari"/>
        <family val="2"/>
      </rPr>
      <t xml:space="preserve">حي الجمعية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418</t>
    </r>
  </si>
  <si>
    <t xml:space="preserve">Hay Al Mualimeen-Mahalla 406</t>
  </si>
  <si>
    <r>
      <rPr>
        <sz val="10"/>
        <color rgb="FF000000"/>
        <rFont val="Lohit Devanagari"/>
        <family val="2"/>
      </rPr>
      <t xml:space="preserve">حي المعلمين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406</t>
    </r>
  </si>
  <si>
    <t xml:space="preserve">Hay Al sinay-Al samad</t>
  </si>
  <si>
    <t xml:space="preserve">قرية الصمد</t>
  </si>
  <si>
    <t xml:space="preserve">Hay Al Zuhoor-Mahalla 422</t>
  </si>
  <si>
    <r>
      <rPr>
        <sz val="10"/>
        <color rgb="FF000000"/>
        <rFont val="Lohit Devanagari"/>
        <family val="2"/>
      </rPr>
      <t xml:space="preserve">حي الزهور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422</t>
    </r>
  </si>
  <si>
    <t xml:space="preserve">Hay Al-Quthat</t>
  </si>
  <si>
    <t xml:space="preserve">حي القضاة</t>
  </si>
  <si>
    <t xml:space="preserve">Hay Al-Sikak</t>
  </si>
  <si>
    <t xml:space="preserve">Hay Al-Suqoore</t>
  </si>
  <si>
    <t xml:space="preserve">Hay Al-Wihda</t>
  </si>
  <si>
    <t xml:space="preserve">Hay Aldiyoom</t>
  </si>
  <si>
    <r>
      <rPr>
        <sz val="10"/>
        <color rgb="FF000000"/>
        <rFont val="Lohit Devanagari"/>
        <family val="2"/>
      </rPr>
      <t xml:space="preserve">حي الديوم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21-</t>
    </r>
    <r>
      <rPr>
        <sz val="10"/>
        <color rgb="FF000000"/>
        <rFont val="Lohit Devanagari"/>
        <family val="2"/>
      </rPr>
      <t xml:space="preserve">ديوم تكريت</t>
    </r>
  </si>
  <si>
    <t xml:space="preserve">Hay Alfirdous</t>
  </si>
  <si>
    <r>
      <rPr>
        <sz val="10"/>
        <color rgb="FF000000"/>
        <rFont val="Lohit Devanagari"/>
        <family val="2"/>
      </rPr>
      <t xml:space="preserve">حي الفردوس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البو عبيد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مقاطعة</t>
    </r>
    <r>
      <rPr>
        <sz val="10"/>
        <color rgb="FF000000"/>
        <rFont val="Arial Narrow"/>
        <family val="2"/>
        <charset val="1"/>
      </rPr>
      <t xml:space="preserve">-5 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428</t>
    </r>
  </si>
  <si>
    <t xml:space="preserve">Hay Alkahrbaa</t>
  </si>
  <si>
    <t xml:space="preserve">حي الكهرباء</t>
  </si>
  <si>
    <t xml:space="preserve">Hay Alqalaa</t>
  </si>
  <si>
    <r>
      <rPr>
        <sz val="10"/>
        <color rgb="FF000000"/>
        <rFont val="Lohit Devanagari"/>
        <family val="2"/>
      </rPr>
      <t xml:space="preserve">حي القلعة</t>
    </r>
    <r>
      <rPr>
        <sz val="10"/>
        <color rgb="FF000000"/>
        <rFont val="Arial Narrow"/>
        <family val="2"/>
        <charset val="1"/>
      </rPr>
      <t xml:space="preserve">(6-</t>
    </r>
    <r>
      <rPr>
        <sz val="10"/>
        <color rgb="FF000000"/>
        <rFont val="Lohit Devanagari"/>
        <family val="2"/>
      </rPr>
      <t xml:space="preserve">تكريت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405</t>
    </r>
  </si>
  <si>
    <t xml:space="preserve">Hay Altajneed</t>
  </si>
  <si>
    <t xml:space="preserve">حي التجنيد</t>
  </si>
  <si>
    <t xml:space="preserve">Hay Alziraa</t>
  </si>
  <si>
    <t xml:space="preserve">Hay Alziraa-100 Dar</t>
  </si>
  <si>
    <r>
      <rPr>
        <sz val="10"/>
        <color rgb="FF000000"/>
        <rFont val="Lohit Devanagari"/>
        <family val="2"/>
      </rPr>
      <t xml:space="preserve">منطقة </t>
    </r>
    <r>
      <rPr>
        <sz val="10"/>
        <color rgb="FF000000"/>
        <rFont val="Arial Narrow"/>
        <family val="2"/>
        <charset val="1"/>
      </rPr>
      <t xml:space="preserve">100 </t>
    </r>
    <r>
      <rPr>
        <sz val="10"/>
        <color rgb="FF000000"/>
        <rFont val="Lohit Devanagari"/>
        <family val="2"/>
      </rPr>
      <t xml:space="preserve">دار</t>
    </r>
  </si>
  <si>
    <t xml:space="preserve">Hay Salma Al Taghlubiyah-Mahalla 401</t>
  </si>
  <si>
    <r>
      <rPr>
        <sz val="10"/>
        <color rgb="FF000000"/>
        <rFont val="Lohit Devanagari"/>
        <family val="2"/>
      </rPr>
      <t xml:space="preserve">حي سلمى التغلبيه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401</t>
    </r>
  </si>
  <si>
    <t xml:space="preserve">Hay Shishin-408</t>
  </si>
  <si>
    <r>
      <rPr>
        <sz val="10"/>
        <color rgb="FF000000"/>
        <rFont val="Lohit Devanagari"/>
        <family val="2"/>
      </rPr>
      <t xml:space="preserve">حي شيشين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5-</t>
    </r>
    <r>
      <rPr>
        <sz val="10"/>
        <color rgb="FF000000"/>
        <rFont val="Lohit Devanagari"/>
        <family val="2"/>
      </rPr>
      <t xml:space="preserve">وادي شيشين محلة </t>
    </r>
    <r>
      <rPr>
        <sz val="10"/>
        <color rgb="FF000000"/>
        <rFont val="Arial Narrow"/>
        <family val="2"/>
        <charset val="1"/>
      </rPr>
      <t xml:space="preserve">408</t>
    </r>
  </si>
  <si>
    <t xml:space="preserve">Mahalla Al Aed</t>
  </si>
  <si>
    <r>
      <rPr>
        <sz val="10"/>
        <color rgb="FF000000"/>
        <rFont val="Lohit Devanagari"/>
        <family val="2"/>
      </rPr>
      <t xml:space="preserve">حي العائد</t>
    </r>
    <r>
      <rPr>
        <sz val="10"/>
        <color rgb="FF000000"/>
        <rFont val="Arial Narrow"/>
        <family val="2"/>
        <charset val="1"/>
      </rPr>
      <t xml:space="preserve">(27-</t>
    </r>
    <r>
      <rPr>
        <sz val="10"/>
        <color rgb="FF000000"/>
        <rFont val="Lohit Devanagari"/>
        <family val="2"/>
      </rPr>
      <t xml:space="preserve">الخرجة والعالي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العائد</t>
    </r>
  </si>
  <si>
    <t xml:space="preserve">Mahalla Al muwadafeen</t>
  </si>
  <si>
    <r>
      <rPr>
        <sz val="10"/>
        <color rgb="FF000000"/>
        <rFont val="Lohit Devanagari"/>
        <family val="2"/>
      </rPr>
      <t xml:space="preserve">حي الموظفين</t>
    </r>
    <r>
      <rPr>
        <sz val="10"/>
        <color rgb="FF000000"/>
        <rFont val="Arial Narrow"/>
        <family val="2"/>
        <charset val="1"/>
      </rPr>
      <t xml:space="preserve">(27</t>
    </r>
    <r>
      <rPr>
        <sz val="10"/>
        <color rgb="FF000000"/>
        <rFont val="Lohit Devanagari"/>
        <family val="2"/>
      </rPr>
      <t xml:space="preserve">الخرجة والعالي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الموظفين</t>
    </r>
  </si>
  <si>
    <t xml:space="preserve">Qaryat Erbaidha</t>
  </si>
  <si>
    <t xml:space="preserve">قرية أربيضة</t>
  </si>
  <si>
    <t xml:space="preserve">Qdisiyah1-Mahalla 214</t>
  </si>
  <si>
    <r>
      <rPr>
        <sz val="10"/>
        <color rgb="FF000000"/>
        <rFont val="Lohit Devanagari"/>
        <family val="2"/>
      </rPr>
      <t xml:space="preserve">حي المطاردة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قادسية</t>
    </r>
    <r>
      <rPr>
        <sz val="10"/>
        <color rgb="FF000000"/>
        <rFont val="Arial Narrow"/>
        <family val="2"/>
        <charset val="1"/>
      </rPr>
      <t xml:space="preserve">1)</t>
    </r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7-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214</t>
    </r>
  </si>
  <si>
    <t xml:space="preserve">Qdisiyah2-Mahalla 216</t>
  </si>
  <si>
    <r>
      <rPr>
        <sz val="10"/>
        <color rgb="FF000000"/>
        <rFont val="Lohit Devanagari"/>
        <family val="2"/>
      </rPr>
      <t xml:space="preserve">حي المطاردة</t>
    </r>
    <r>
      <rPr>
        <sz val="10"/>
        <color rgb="FF000000"/>
        <rFont val="Arial Narrow"/>
        <family val="2"/>
        <charset val="1"/>
      </rPr>
      <t xml:space="preserve">(</t>
    </r>
    <r>
      <rPr>
        <sz val="10"/>
        <color rgb="FF000000"/>
        <rFont val="Lohit Devanagari"/>
        <family val="2"/>
      </rPr>
      <t xml:space="preserve">قادسية</t>
    </r>
    <r>
      <rPr>
        <sz val="10"/>
        <color rgb="FF000000"/>
        <rFont val="Arial Narrow"/>
        <family val="2"/>
        <charset val="1"/>
      </rPr>
      <t xml:space="preserve">2)</t>
    </r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7-</t>
    </r>
    <r>
      <rPr>
        <sz val="10"/>
        <color rgb="FF000000"/>
        <rFont val="Lohit Devanagari"/>
        <family val="2"/>
      </rPr>
      <t xml:space="preserve">محله </t>
    </r>
    <r>
      <rPr>
        <sz val="10"/>
        <color rgb="FF000000"/>
        <rFont val="Arial Narrow"/>
        <family val="2"/>
        <charset val="1"/>
      </rPr>
      <t xml:space="preserve">216</t>
    </r>
  </si>
  <si>
    <t xml:space="preserve">Sadayrat Abo Ajeel</t>
  </si>
  <si>
    <t xml:space="preserve">صديرة ابو عجيل</t>
  </si>
  <si>
    <t xml:space="preserve">Samrah Village</t>
  </si>
  <si>
    <t xml:space="preserve">قرية سمرة</t>
  </si>
  <si>
    <t xml:space="preserve">Tal-Al Sibaat Village</t>
  </si>
  <si>
    <t xml:space="preserve">قرية تل السيباط</t>
  </si>
  <si>
    <t xml:space="preserve">Uwainat</t>
  </si>
  <si>
    <t xml:space="preserve">عوينات</t>
  </si>
  <si>
    <t xml:space="preserve">Tooz</t>
  </si>
  <si>
    <t xml:space="preserve">Hay Al Sideeq Mahalla 105</t>
  </si>
  <si>
    <t xml:space="preserve">Hay Aqsu</t>
  </si>
  <si>
    <t xml:space="preserve">حي اقصو</t>
  </si>
  <si>
    <t xml:space="preserve">Hay Garmian</t>
  </si>
  <si>
    <t xml:space="preserve">حي كرميان</t>
  </si>
  <si>
    <t xml:space="preserve">Hay Komari-120</t>
  </si>
  <si>
    <r>
      <rPr>
        <sz val="10"/>
        <color rgb="FF000000"/>
        <rFont val="Lohit Devanagari"/>
        <family val="2"/>
      </rPr>
      <t xml:space="preserve">حي كوماري م</t>
    </r>
    <r>
      <rPr>
        <sz val="10"/>
        <color rgb="FF000000"/>
        <rFont val="Arial Narrow"/>
        <family val="2"/>
        <charset val="1"/>
      </rPr>
      <t xml:space="preserve">(5-</t>
    </r>
    <r>
      <rPr>
        <sz val="10"/>
        <color rgb="FF000000"/>
        <rFont val="Lohit Devanagari"/>
        <family val="2"/>
      </rPr>
      <t xml:space="preserve">الطوز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120</t>
    </r>
  </si>
  <si>
    <t xml:space="preserve">Hay Mula Safar-102</t>
  </si>
  <si>
    <r>
      <rPr>
        <sz val="10"/>
        <color rgb="FF000000"/>
        <rFont val="Lohit Devanagari"/>
        <family val="2"/>
      </rPr>
      <t xml:space="preserve">حي ملا صفر م</t>
    </r>
    <r>
      <rPr>
        <sz val="10"/>
        <color rgb="FF000000"/>
        <rFont val="Arial Narrow"/>
        <family val="2"/>
        <charset val="1"/>
      </rPr>
      <t xml:space="preserve">(5-</t>
    </r>
    <r>
      <rPr>
        <sz val="10"/>
        <color rgb="FF000000"/>
        <rFont val="Lohit Devanagari"/>
        <family val="2"/>
      </rPr>
      <t xml:space="preserve">الطوز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102</t>
    </r>
  </si>
  <si>
    <t xml:space="preserve">Hay Rizgari-114</t>
  </si>
  <si>
    <r>
      <rPr>
        <sz val="10"/>
        <color rgb="FF000000"/>
        <rFont val="Lohit Devanagari"/>
        <family val="2"/>
      </rPr>
      <t xml:space="preserve">حي رزكاري م</t>
    </r>
    <r>
      <rPr>
        <sz val="10"/>
        <color rgb="FF000000"/>
        <rFont val="Arial Narrow"/>
        <family val="2"/>
        <charset val="1"/>
      </rPr>
      <t xml:space="preserve">(5-</t>
    </r>
    <r>
      <rPr>
        <sz val="10"/>
        <color rgb="FF000000"/>
        <rFont val="Lohit Devanagari"/>
        <family val="2"/>
      </rPr>
      <t xml:space="preserve">الطوز</t>
    </r>
    <r>
      <rPr>
        <sz val="10"/>
        <color rgb="FF000000"/>
        <rFont val="Arial Narrow"/>
        <family val="2"/>
        <charset val="1"/>
      </rPr>
      <t xml:space="preserve">)</t>
    </r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114</t>
    </r>
  </si>
  <si>
    <t xml:space="preserve">Hay Shoraw-1</t>
  </si>
  <si>
    <r>
      <rPr>
        <sz val="10"/>
        <color rgb="FF000000"/>
        <rFont val="Lohit Devanagari"/>
        <family val="2"/>
      </rPr>
      <t xml:space="preserve">مقاطعة </t>
    </r>
    <r>
      <rPr>
        <sz val="10"/>
        <color rgb="FF000000"/>
        <rFont val="Arial Narrow"/>
        <family val="2"/>
        <charset val="1"/>
      </rPr>
      <t xml:space="preserve">1 </t>
    </r>
    <r>
      <rPr>
        <sz val="10"/>
        <color rgb="FF000000"/>
        <rFont val="Lohit Devanagari"/>
        <family val="2"/>
      </rPr>
      <t xml:space="preserve">شوراو</t>
    </r>
  </si>
  <si>
    <t xml:space="preserve">Markaz Tooz-Barbara village</t>
  </si>
  <si>
    <t xml:space="preserve">قرية بربارة</t>
  </si>
  <si>
    <t xml:space="preserve">Markaz Tooz-Hay Al Askari</t>
  </si>
  <si>
    <t xml:space="preserve">Markaz Tooz-Hay Al Hussien 124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</si>
  <si>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124 </t>
    </r>
    <r>
      <rPr>
        <sz val="10"/>
        <color rgb="FF000000"/>
        <rFont val="Lohit Devanagari"/>
        <family val="2"/>
      </rPr>
      <t xml:space="preserve">الحسين</t>
    </r>
  </si>
  <si>
    <t xml:space="preserve">Markaz Tooz-Hay Al Taiyar 122</t>
  </si>
  <si>
    <r>
      <rPr>
        <sz val="10"/>
        <color rgb="FF000000"/>
        <rFont val="Lohit Devanagari"/>
        <family val="2"/>
      </rPr>
      <t xml:space="preserve">محلة </t>
    </r>
    <r>
      <rPr>
        <sz val="10"/>
        <color rgb="FF000000"/>
        <rFont val="Arial Narrow"/>
        <family val="2"/>
        <charset val="1"/>
      </rPr>
      <t xml:space="preserve">122</t>
    </r>
  </si>
  <si>
    <t xml:space="preserve">Markaz Tooz-Hay Aurtah</t>
  </si>
  <si>
    <t xml:space="preserve">حي أورطة</t>
  </si>
  <si>
    <t xml:space="preserve">Markaz Tooz-Hay Brayati</t>
  </si>
  <si>
    <t xml:space="preserve">محلة برايتي</t>
  </si>
  <si>
    <t xml:space="preserve">Markaz Tooz-Hay Imam Ahmed</t>
  </si>
  <si>
    <t xml:space="preserve">حي امام احمد</t>
  </si>
  <si>
    <t xml:space="preserve">Markaz Tooz-Jesir Dara</t>
  </si>
  <si>
    <t xml:space="preserve">جسر دارا</t>
  </si>
  <si>
    <t xml:space="preserve">Nawjool area</t>
  </si>
  <si>
    <t xml:space="preserve">منطقة نوجول</t>
  </si>
  <si>
    <t xml:space="preserve">Sankur</t>
  </si>
  <si>
    <t xml:space="preserve">سنكور</t>
  </si>
  <si>
    <t xml:space="preserve">Shaikh Abd village</t>
  </si>
  <si>
    <t xml:space="preserve">قرية شيخ عبد</t>
  </si>
  <si>
    <t xml:space="preserve">Tal Al Naqqar</t>
  </si>
  <si>
    <t xml:space="preserve">تل النقار</t>
  </si>
  <si>
    <t xml:space="preserve">Tooz-Hay Al Teen</t>
  </si>
  <si>
    <t xml:space="preserve">حي الطين</t>
  </si>
  <si>
    <t xml:space="preserve">Unformal Shelter</t>
  </si>
  <si>
    <t xml:space="preserve">سكن غير رسمي</t>
  </si>
  <si>
    <t xml:space="preserve">Chamchamal</t>
  </si>
  <si>
    <t xml:space="preserve">Aghjalar</t>
  </si>
  <si>
    <t xml:space="preserve">أغجلر</t>
  </si>
  <si>
    <t xml:space="preserve">Asuda</t>
  </si>
  <si>
    <t xml:space="preserve">اسودة</t>
  </si>
  <si>
    <t xml:space="preserve">ازادى</t>
  </si>
  <si>
    <t xml:space="preserve">Bekas</t>
  </si>
  <si>
    <t xml:space="preserve">بيكس</t>
  </si>
  <si>
    <t xml:space="preserve">Chamchamal-Raparin</t>
  </si>
  <si>
    <r>
      <rPr>
        <sz val="10"/>
        <color rgb="FF000000"/>
        <rFont val="Lohit Devanagari"/>
        <family val="2"/>
      </rPr>
      <t xml:space="preserve">جمجمال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رابرين</t>
    </r>
  </si>
  <si>
    <t xml:space="preserve">Chamchamal-Rizgari</t>
  </si>
  <si>
    <r>
      <rPr>
        <sz val="10"/>
        <color rgb="FF000000"/>
        <rFont val="Lohit Devanagari"/>
        <family val="2"/>
      </rPr>
      <t xml:space="preserve">جمجمال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رزكاري</t>
    </r>
  </si>
  <si>
    <t xml:space="preserve">Farqanikan</t>
  </si>
  <si>
    <t xml:space="preserve">فرقانيكان</t>
  </si>
  <si>
    <t xml:space="preserve">Gurgai Fattah</t>
  </si>
  <si>
    <t xml:space="preserve">كوركى فتاح</t>
  </si>
  <si>
    <t xml:space="preserve">Handreen</t>
  </si>
  <si>
    <t xml:space="preserve">هندرين</t>
  </si>
  <si>
    <t xml:space="preserve">Harim</t>
  </si>
  <si>
    <t xml:space="preserve">Jarmo City</t>
  </si>
  <si>
    <t xml:space="preserve">جرمو ستى</t>
  </si>
  <si>
    <t xml:space="preserve">MOFARIAKAN</t>
  </si>
  <si>
    <t xml:space="preserve">موفريكان</t>
  </si>
  <si>
    <t xml:space="preserve">Piryadi</t>
  </si>
  <si>
    <t xml:space="preserve">بيريادى</t>
  </si>
  <si>
    <t xml:space="preserve">Pura Gulla</t>
  </si>
  <si>
    <t xml:space="preserve">بوره كوله</t>
  </si>
  <si>
    <t xml:space="preserve">Qadir Kir Mikan</t>
  </si>
  <si>
    <t xml:space="preserve">قادركرميكان</t>
  </si>
  <si>
    <t xml:space="preserve">Qarahanjiriakan</t>
  </si>
  <si>
    <t xml:space="preserve">قرهنجيريكان</t>
  </si>
  <si>
    <t xml:space="preserve">Sangaw</t>
  </si>
  <si>
    <t xml:space="preserve">سنكاو</t>
  </si>
  <si>
    <t xml:space="preserve">SANGAWIAKAN</t>
  </si>
  <si>
    <t xml:space="preserve">سنكاويكان</t>
  </si>
  <si>
    <t xml:space="preserve">Shekhanikan</t>
  </si>
  <si>
    <t xml:space="preserve">شيخانيكان</t>
  </si>
  <si>
    <t xml:space="preserve">Takya-Ashty</t>
  </si>
  <si>
    <r>
      <rPr>
        <sz val="10"/>
        <color rgb="FF000000"/>
        <rFont val="Lohit Devanagari"/>
        <family val="2"/>
      </rPr>
      <t xml:space="preserve">تكية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اشتى</t>
    </r>
  </si>
  <si>
    <t xml:space="preserve">Takya-Azadi</t>
  </si>
  <si>
    <r>
      <rPr>
        <sz val="10"/>
        <color rgb="FF000000"/>
        <rFont val="Lohit Devanagari"/>
        <family val="2"/>
      </rPr>
      <t xml:space="preserve">تكية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ازادى</t>
    </r>
  </si>
  <si>
    <t xml:space="preserve">Takya-Rizgari</t>
  </si>
  <si>
    <r>
      <rPr>
        <sz val="10"/>
        <color rgb="FF000000"/>
        <rFont val="Lohit Devanagari"/>
        <family val="2"/>
      </rPr>
      <t xml:space="preserve">تكية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رزكاري</t>
    </r>
  </si>
  <si>
    <t xml:space="preserve">Takya-Sharawny</t>
  </si>
  <si>
    <r>
      <rPr>
        <sz val="10"/>
        <color rgb="FF000000"/>
        <rFont val="Lohit Devanagari"/>
        <family val="2"/>
      </rPr>
      <t xml:space="preserve">تكية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شاروانى</t>
    </r>
  </si>
  <si>
    <t xml:space="preserve">Darbandikhan</t>
  </si>
  <si>
    <t xml:space="preserve">Campe khwarw</t>
  </si>
  <si>
    <t xml:space="preserve">كمبى خوارو</t>
  </si>
  <si>
    <t xml:space="preserve">Hawara barza</t>
  </si>
  <si>
    <t xml:space="preserve">هواربرزة</t>
  </si>
  <si>
    <t xml:space="preserve">Kanisard</t>
  </si>
  <si>
    <t xml:space="preserve">كانى سارد</t>
  </si>
  <si>
    <t xml:space="preserve">Kanito</t>
  </si>
  <si>
    <t xml:space="preserve">كانى توو</t>
  </si>
  <si>
    <t xml:space="preserve">Khelan</t>
  </si>
  <si>
    <t xml:space="preserve">خيلان</t>
  </si>
  <si>
    <t xml:space="preserve">Raparine</t>
  </si>
  <si>
    <t xml:space="preserve">Roshambiran</t>
  </si>
  <si>
    <t xml:space="preserve">روشمبيران</t>
  </si>
  <si>
    <t xml:space="preserve">Sara</t>
  </si>
  <si>
    <t xml:space="preserve">سرا</t>
  </si>
  <si>
    <t xml:space="preserve">Sharwani</t>
  </si>
  <si>
    <t xml:space="preserve">Shoresh</t>
  </si>
  <si>
    <t xml:space="preserve">Zarayan Kon</t>
  </si>
  <si>
    <t xml:space="preserve">زرايان كون</t>
  </si>
  <si>
    <t xml:space="preserve">Dokan</t>
  </si>
  <si>
    <t xml:space="preserve">Banwan</t>
  </si>
  <si>
    <t xml:space="preserve">بانوان</t>
  </si>
  <si>
    <t xml:space="preserve">Chawa spy</t>
  </si>
  <si>
    <t xml:space="preserve">جوسبى</t>
  </si>
  <si>
    <t xml:space="preserve">Dakani Suro</t>
  </si>
  <si>
    <t xml:space="preserve">دكانى سرو</t>
  </si>
  <si>
    <t xml:space="preserve">Farmanbaran</t>
  </si>
  <si>
    <t xml:space="preserve">فرمانبران</t>
  </si>
  <si>
    <t xml:space="preserve">Kani Khan</t>
  </si>
  <si>
    <t xml:space="preserve">كاني خان</t>
  </si>
  <si>
    <t xml:space="preserve">Khalakan</t>
  </si>
  <si>
    <t xml:space="preserve">خلكان</t>
  </si>
  <si>
    <t xml:space="preserve">Kotal</t>
  </si>
  <si>
    <t xml:space="preserve">كوتال</t>
  </si>
  <si>
    <t xml:space="preserve">Mughagh</t>
  </si>
  <si>
    <t xml:space="preserve">مغاغ</t>
  </si>
  <si>
    <t xml:space="preserve">Pishowa</t>
  </si>
  <si>
    <t xml:space="preserve">بيشوا</t>
  </si>
  <si>
    <t xml:space="preserve">Qamchugha</t>
  </si>
  <si>
    <t xml:space="preserve">قمجوغة</t>
  </si>
  <si>
    <t xml:space="preserve">سارا</t>
  </si>
  <si>
    <t xml:space="preserve">Sarcham</t>
  </si>
  <si>
    <t xml:space="preserve">سرجم</t>
  </si>
  <si>
    <t xml:space="preserve">Shaheedan</t>
  </si>
  <si>
    <t xml:space="preserve">شاروانى</t>
  </si>
  <si>
    <t xml:space="preserve">Surdash</t>
  </si>
  <si>
    <t xml:space="preserve">سورداش</t>
  </si>
  <si>
    <t xml:space="preserve">Timar</t>
  </si>
  <si>
    <t xml:space="preserve">تيمار</t>
  </si>
  <si>
    <t xml:space="preserve">Tokma</t>
  </si>
  <si>
    <t xml:space="preserve">توكمة</t>
  </si>
  <si>
    <t xml:space="preserve">Topzawa</t>
  </si>
  <si>
    <t xml:space="preserve">توبزاوا</t>
  </si>
  <si>
    <t xml:space="preserve">Halabja</t>
  </si>
  <si>
    <t xml:space="preserve">Ardalan</t>
  </si>
  <si>
    <t xml:space="preserve">اردلان</t>
  </si>
  <si>
    <t xml:space="preserve">Bakhtyari</t>
  </si>
  <si>
    <t xml:space="preserve">بختيارى</t>
  </si>
  <si>
    <t xml:space="preserve">Barkew</t>
  </si>
  <si>
    <t xml:space="preserve">بركيو</t>
  </si>
  <si>
    <t xml:space="preserve">Barzinja Camp</t>
  </si>
  <si>
    <t xml:space="preserve">برزنجا كمب</t>
  </si>
  <si>
    <t xml:space="preserve">Dalani</t>
  </si>
  <si>
    <t xml:space="preserve">دالاني</t>
  </si>
  <si>
    <t xml:space="preserve">Darwazay Shar</t>
  </si>
  <si>
    <t xml:space="preserve">دروازي شار</t>
  </si>
  <si>
    <t xml:space="preserve">Gamesh tapa village</t>
  </si>
  <si>
    <t xml:space="preserve">قرية كاميش تبه</t>
  </si>
  <si>
    <t xml:space="preserve">Goran City</t>
  </si>
  <si>
    <t xml:space="preserve">كوران ستي</t>
  </si>
  <si>
    <t xml:space="preserve">Grda naze village</t>
  </si>
  <si>
    <t xml:space="preserve">قرية كرد نازى</t>
  </si>
  <si>
    <t xml:space="preserve">Greza</t>
  </si>
  <si>
    <t xml:space="preserve">قرية كريزه</t>
  </si>
  <si>
    <t xml:space="preserve">كولان</t>
  </si>
  <si>
    <t xml:space="preserve">Hassar</t>
  </si>
  <si>
    <t xml:space="preserve">حسار</t>
  </si>
  <si>
    <t xml:space="preserve">Hawaran</t>
  </si>
  <si>
    <t xml:space="preserve">هواران</t>
  </si>
  <si>
    <t xml:space="preserve">Kani mil</t>
  </si>
  <si>
    <t xml:space="preserve">كاني ميل</t>
  </si>
  <si>
    <t xml:space="preserve">Kani panka village</t>
  </si>
  <si>
    <t xml:space="preserve">قرية كاني بانكه</t>
  </si>
  <si>
    <t xml:space="preserve">Kani Qulka</t>
  </si>
  <si>
    <t xml:space="preserve">كاني قولكه</t>
  </si>
  <si>
    <t xml:space="preserve">Mamostaian</t>
  </si>
  <si>
    <t xml:space="preserve">Marzboto</t>
  </si>
  <si>
    <t xml:space="preserve">مرزى بوتو</t>
  </si>
  <si>
    <t xml:space="preserve">Mordana</t>
  </si>
  <si>
    <t xml:space="preserve">موردانه</t>
  </si>
  <si>
    <t xml:space="preserve">Mwan village</t>
  </si>
  <si>
    <t xml:space="preserve">قرية موان</t>
  </si>
  <si>
    <t xml:space="preserve">Nasir</t>
  </si>
  <si>
    <t xml:space="preserve">نصر</t>
  </si>
  <si>
    <t xml:space="preserve">Qadafari</t>
  </si>
  <si>
    <t xml:space="preserve">قرية قدفري</t>
  </si>
  <si>
    <t xml:space="preserve">Qala</t>
  </si>
  <si>
    <t xml:space="preserve">قلا</t>
  </si>
  <si>
    <t xml:space="preserve">Qaragul</t>
  </si>
  <si>
    <t xml:space="preserve">قرة كول</t>
  </si>
  <si>
    <t xml:space="preserve">Qlija village</t>
  </si>
  <si>
    <t xml:space="preserve">قرية قليجه</t>
  </si>
  <si>
    <t xml:space="preserve">Rezgari</t>
  </si>
  <si>
    <t xml:space="preserve">رزكارى</t>
  </si>
  <si>
    <t xml:space="preserve">Saraw village</t>
  </si>
  <si>
    <t xml:space="preserve">قرية سراو</t>
  </si>
  <si>
    <t xml:space="preserve">Sarray</t>
  </si>
  <si>
    <t xml:space="preserve">ساراى</t>
  </si>
  <si>
    <t xml:space="preserve">Sharstani</t>
  </si>
  <si>
    <t xml:space="preserve">شارستانى</t>
  </si>
  <si>
    <t xml:space="preserve">Shikhan</t>
  </si>
  <si>
    <t xml:space="preserve">Sirwan</t>
  </si>
  <si>
    <t xml:space="preserve">سيروان</t>
  </si>
  <si>
    <t xml:space="preserve">Soreen</t>
  </si>
  <si>
    <t xml:space="preserve">سورين</t>
  </si>
  <si>
    <t xml:space="preserve">Kalar</t>
  </si>
  <si>
    <t xml:space="preserve">Ali Khalaf</t>
  </si>
  <si>
    <t xml:space="preserve">علي خلف</t>
  </si>
  <si>
    <t xml:space="preserve">Awbara</t>
  </si>
  <si>
    <t xml:space="preserve">اوبارة</t>
  </si>
  <si>
    <t xml:space="preserve">Ban Asiaw</t>
  </si>
  <si>
    <t xml:space="preserve">بان اسياو</t>
  </si>
  <si>
    <t xml:space="preserve">Ban sindooq</t>
  </si>
  <si>
    <t xml:space="preserve">بان سندوق</t>
  </si>
  <si>
    <t xml:space="preserve">Barda Sur</t>
  </si>
  <si>
    <t xml:space="preserve">بردسور</t>
  </si>
  <si>
    <t xml:space="preserve">Bingrd</t>
  </si>
  <si>
    <t xml:space="preserve">بنكرد</t>
  </si>
  <si>
    <t xml:space="preserve">Gazino</t>
  </si>
  <si>
    <t xml:space="preserve">كازينو</t>
  </si>
  <si>
    <t xml:space="preserve">Gomar</t>
  </si>
  <si>
    <t xml:space="preserve">كومار</t>
  </si>
  <si>
    <t xml:space="preserve">Grda Gozina</t>
  </si>
  <si>
    <t xml:space="preserve">كرده كوزينه</t>
  </si>
  <si>
    <t xml:space="preserve">Hamren</t>
  </si>
  <si>
    <t xml:space="preserve">حمرين</t>
  </si>
  <si>
    <t xml:space="preserve">Kalar Kon</t>
  </si>
  <si>
    <t xml:space="preserve">كلار كون</t>
  </si>
  <si>
    <t xml:space="preserve">Kalar-Rizgari</t>
  </si>
  <si>
    <r>
      <rPr>
        <sz val="10"/>
        <color rgb="FF000000"/>
        <rFont val="Lohit Devanagari"/>
        <family val="2"/>
      </rPr>
      <t xml:space="preserve">كلار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رزكاري</t>
    </r>
  </si>
  <si>
    <t xml:space="preserve">Kalari New</t>
  </si>
  <si>
    <t xml:space="preserve">كلارى نوى</t>
  </si>
  <si>
    <t xml:space="preserve">Kogiz</t>
  </si>
  <si>
    <t xml:space="preserve">كوكز</t>
  </si>
  <si>
    <t xml:space="preserve">Kulajo</t>
  </si>
  <si>
    <t xml:space="preserve">كلجو</t>
  </si>
  <si>
    <t xml:space="preserve">Pebaz</t>
  </si>
  <si>
    <t xml:space="preserve">بيباز</t>
  </si>
  <si>
    <t xml:space="preserve">Qarablagh</t>
  </si>
  <si>
    <t xml:space="preserve">قربلاغ</t>
  </si>
  <si>
    <t xml:space="preserve">Raparin</t>
  </si>
  <si>
    <t xml:space="preserve">Said midrey</t>
  </si>
  <si>
    <t xml:space="preserve">سيد مدري</t>
  </si>
  <si>
    <t xml:space="preserve">Sharawani</t>
  </si>
  <si>
    <t xml:space="preserve">Shaykh Lankar</t>
  </si>
  <si>
    <t xml:space="preserve">شيخ لنكر</t>
  </si>
  <si>
    <t xml:space="preserve">Sherwana</t>
  </si>
  <si>
    <t xml:space="preserve">شيروانة</t>
  </si>
  <si>
    <t xml:space="preserve">Taza shar</t>
  </si>
  <si>
    <t xml:space="preserve">تازة شار</t>
  </si>
  <si>
    <t xml:space="preserve">Tazade Camp</t>
  </si>
  <si>
    <t xml:space="preserve">تازة دي كمب</t>
  </si>
  <si>
    <t xml:space="preserve">Penjwin</t>
  </si>
  <si>
    <t xml:space="preserve">Alyasafra</t>
  </si>
  <si>
    <t xml:space="preserve">الياسفرة</t>
  </si>
  <si>
    <t xml:space="preserve">Pshdar</t>
  </si>
  <si>
    <t xml:space="preserve">Ashty-Qaladiza</t>
  </si>
  <si>
    <r>
      <rPr>
        <sz val="10"/>
        <color rgb="FF000000"/>
        <rFont val="Lohit Devanagari"/>
        <family val="2"/>
      </rPr>
      <t xml:space="preserve">اشتي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قلادزي</t>
    </r>
  </si>
  <si>
    <t xml:space="preserve">Khanaqa-Qaladiza</t>
  </si>
  <si>
    <r>
      <rPr>
        <sz val="10"/>
        <color rgb="FF000000"/>
        <rFont val="Lohit Devanagari"/>
        <family val="2"/>
      </rPr>
      <t xml:space="preserve">خانقا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قلادزي</t>
    </r>
  </si>
  <si>
    <t xml:space="preserve">Sangasar</t>
  </si>
  <si>
    <t xml:space="preserve">سنكسر</t>
  </si>
  <si>
    <t xml:space="preserve">Rania</t>
  </si>
  <si>
    <t xml:space="preserve">Chwarchra</t>
  </si>
  <si>
    <t xml:space="preserve">جوارجرا</t>
  </si>
  <si>
    <t xml:space="preserve">Kewa Rash</t>
  </si>
  <si>
    <t xml:space="preserve">كيوره ش</t>
  </si>
  <si>
    <t xml:space="preserve">Koling city</t>
  </si>
  <si>
    <t xml:space="preserve">كولين ستي</t>
  </si>
  <si>
    <t xml:space="preserve">kurdistan</t>
  </si>
  <si>
    <t xml:space="preserve">Makok</t>
  </si>
  <si>
    <t xml:space="preserve">ماكوك</t>
  </si>
  <si>
    <t xml:space="preserve">Peshawa</t>
  </si>
  <si>
    <t xml:space="preserve">Qandil</t>
  </si>
  <si>
    <t xml:space="preserve">قنديل</t>
  </si>
  <si>
    <t xml:space="preserve">Qula</t>
  </si>
  <si>
    <t xml:space="preserve">قولة</t>
  </si>
  <si>
    <t xml:space="preserve">Rozh City</t>
  </si>
  <si>
    <t xml:space="preserve">روز ستي</t>
  </si>
  <si>
    <t xml:space="preserve">Rozhhalat</t>
  </si>
  <si>
    <t xml:space="preserve">روزهلات</t>
  </si>
  <si>
    <t xml:space="preserve">Saraa</t>
  </si>
  <si>
    <t xml:space="preserve">سراا</t>
  </si>
  <si>
    <t xml:space="preserve">Sarkapkan</t>
  </si>
  <si>
    <t xml:space="preserve">سركبكان</t>
  </si>
  <si>
    <t xml:space="preserve">Sarseen</t>
  </si>
  <si>
    <t xml:space="preserve">سرسين</t>
  </si>
  <si>
    <t xml:space="preserve">Shishar</t>
  </si>
  <si>
    <t xml:space="preserve">شيشار</t>
  </si>
  <si>
    <t xml:space="preserve">Tekoshar</t>
  </si>
  <si>
    <t xml:space="preserve">تيكوشر</t>
  </si>
  <si>
    <t xml:space="preserve">Yakiati</t>
  </si>
  <si>
    <t xml:space="preserve">يكيتي</t>
  </si>
  <si>
    <t xml:space="preserve">Sharbazher</t>
  </si>
  <si>
    <t xml:space="preserve">Gapilon</t>
  </si>
  <si>
    <t xml:space="preserve">كابيلون</t>
  </si>
  <si>
    <t xml:space="preserve">Sitak</t>
  </si>
  <si>
    <t xml:space="preserve">سيتك</t>
  </si>
  <si>
    <t xml:space="preserve">Tagaran</t>
  </si>
  <si>
    <t xml:space="preserve">تكران</t>
  </si>
  <si>
    <t xml:space="preserve">Sulaymaniya</t>
  </si>
  <si>
    <t xml:space="preserve">Ablakh</t>
  </si>
  <si>
    <t xml:space="preserve">ابلاخ</t>
  </si>
  <si>
    <t xml:space="preserve">Alban</t>
  </si>
  <si>
    <t xml:space="preserve">البان</t>
  </si>
  <si>
    <t xml:space="preserve">Aqari</t>
  </si>
  <si>
    <t xml:space="preserve">عقارى</t>
  </si>
  <si>
    <t xml:space="preserve">Arbat IDP Camp</t>
  </si>
  <si>
    <t xml:space="preserve">عربت كمب للنازحين</t>
  </si>
  <si>
    <t xml:space="preserve">Arbat-Arbat Kon</t>
  </si>
  <si>
    <t xml:space="preserve">عربت كون</t>
  </si>
  <si>
    <t xml:space="preserve">Arbat-Ashty</t>
  </si>
  <si>
    <t xml:space="preserve">Arbat-Qalat</t>
  </si>
  <si>
    <t xml:space="preserve">Arbat-Shahidan</t>
  </si>
  <si>
    <t xml:space="preserve">Ashti IDP Camp</t>
  </si>
  <si>
    <t xml:space="preserve">اشتي كمب للنازحين</t>
  </si>
  <si>
    <t xml:space="preserve">اشتى</t>
  </si>
  <si>
    <t xml:space="preserve">Ashty-Bazyan</t>
  </si>
  <si>
    <r>
      <rPr>
        <sz val="10"/>
        <color rgb="FF000000"/>
        <rFont val="Lohit Devanagari"/>
        <family val="2"/>
      </rPr>
      <t xml:space="preserve">اشتي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بازيان</t>
    </r>
  </si>
  <si>
    <t xml:space="preserve">Azadi-Bazyan</t>
  </si>
  <si>
    <r>
      <rPr>
        <sz val="10"/>
        <color rgb="FF000000"/>
        <rFont val="Lohit Devanagari"/>
        <family val="2"/>
      </rPr>
      <t xml:space="preserve">ازادي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بازيان</t>
    </r>
  </si>
  <si>
    <t xml:space="preserve">Bakhtiyare</t>
  </si>
  <si>
    <t xml:space="preserve">Bakrajo</t>
  </si>
  <si>
    <t xml:space="preserve">بكرجو</t>
  </si>
  <si>
    <t xml:space="preserve">Bakrajo-Azadi</t>
  </si>
  <si>
    <t xml:space="preserve">Bakrajo-Qularaese Taza</t>
  </si>
  <si>
    <t xml:space="preserve">قولريسى تاره</t>
  </si>
  <si>
    <t xml:space="preserve">Bakrajo-Sardawa</t>
  </si>
  <si>
    <r>
      <rPr>
        <sz val="10"/>
        <color rgb="FF000000"/>
        <rFont val="Lohit Devanagari"/>
        <family val="2"/>
      </rPr>
      <t xml:space="preserve">بكرجو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سرداراوا</t>
    </r>
  </si>
  <si>
    <t xml:space="preserve">Bakrajoy Taza</t>
  </si>
  <si>
    <t xml:space="preserve">بكرجو تازه</t>
  </si>
  <si>
    <t xml:space="preserve">Baranan</t>
  </si>
  <si>
    <t xml:space="preserve">برانان</t>
  </si>
  <si>
    <t xml:space="preserve">Bardakar</t>
  </si>
  <si>
    <t xml:space="preserve">برده كر</t>
  </si>
  <si>
    <t xml:space="preserve">Bardaqaraman-Piramerd</t>
  </si>
  <si>
    <r>
      <rPr>
        <sz val="10"/>
        <color rgb="FF000000"/>
        <rFont val="Lohit Devanagari"/>
        <family val="2"/>
      </rPr>
      <t xml:space="preserve">بيرميرد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</si>
  <si>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Bardaqaraman-Sharawani</t>
  </si>
  <si>
    <r>
      <rPr>
        <sz val="10"/>
        <color rgb="FF000000"/>
        <rFont val="Lohit Devanagari"/>
        <family val="2"/>
      </rPr>
      <t xml:space="preserve">شارواني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</si>
  <si>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Bardaqarman-gopala</t>
  </si>
  <si>
    <r>
      <rPr>
        <sz val="10"/>
        <color rgb="FF000000"/>
        <rFont val="Lohit Devanagari"/>
        <family val="2"/>
      </rPr>
      <t xml:space="preserve">كوباله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</si>
  <si>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Bardaqarman-Kupala</t>
  </si>
  <si>
    <r>
      <rPr>
        <sz val="10"/>
        <color rgb="FF000000"/>
        <rFont val="Lohit Devanagari"/>
        <family val="2"/>
      </rPr>
      <t xml:space="preserve">كوبله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</si>
  <si>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Bardaqarman-Qala</t>
  </si>
  <si>
    <r>
      <rPr>
        <sz val="10"/>
        <color rgb="FF000000"/>
        <rFont val="Lohit Devanagari"/>
        <family val="2"/>
      </rPr>
      <t xml:space="preserve">قلا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</si>
  <si>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Bardaqarman-Tainal</t>
  </si>
  <si>
    <r>
      <rPr>
        <sz val="10"/>
        <color rgb="FF000000"/>
        <rFont val="Lohit Devanagari"/>
        <family val="2"/>
      </rPr>
      <t xml:space="preserve">تينال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بردةقارمان</t>
    </r>
  </si>
  <si>
    <t xml:space="preserve">Barez City</t>
  </si>
  <si>
    <t xml:space="preserve">بريز ستى</t>
  </si>
  <si>
    <t xml:space="preserve">Barika</t>
  </si>
  <si>
    <t xml:space="preserve">باريكه</t>
  </si>
  <si>
    <t xml:space="preserve">Bazian-Allaye</t>
  </si>
  <si>
    <t xml:space="preserve">اللاهى</t>
  </si>
  <si>
    <t xml:space="preserve">Bazian-Brayati</t>
  </si>
  <si>
    <t xml:space="preserve">برايتى</t>
  </si>
  <si>
    <t xml:space="preserve">Bazian-peshwa</t>
  </si>
  <si>
    <t xml:space="preserve">Bazian-Sharwani</t>
  </si>
  <si>
    <t xml:space="preserve">Bazian-Surgrma</t>
  </si>
  <si>
    <t xml:space="preserve">سركرما</t>
  </si>
  <si>
    <t xml:space="preserve">bekas</t>
  </si>
  <si>
    <t xml:space="preserve">Chwar Bakh</t>
  </si>
  <si>
    <t xml:space="preserve">جوارباخ</t>
  </si>
  <si>
    <t xml:space="preserve">Chwar Chra</t>
  </si>
  <si>
    <t xml:space="preserve">Damrkan</t>
  </si>
  <si>
    <t xml:space="preserve">دمركان</t>
  </si>
  <si>
    <t xml:space="preserve">Dargazen</t>
  </si>
  <si>
    <t xml:space="preserve">دركزين</t>
  </si>
  <si>
    <t xml:space="preserve">Dilan City</t>
  </si>
  <si>
    <t xml:space="preserve">ديلان ستى</t>
  </si>
  <si>
    <t xml:space="preserve">Diya City</t>
  </si>
  <si>
    <t xml:space="preserve">دييه ستى</t>
  </si>
  <si>
    <t xml:space="preserve">Goshan</t>
  </si>
  <si>
    <t xml:space="preserve">كوشان</t>
  </si>
  <si>
    <t xml:space="preserve">Goyzha City</t>
  </si>
  <si>
    <t xml:space="preserve">كويزة ستى</t>
  </si>
  <si>
    <t xml:space="preserve">Grdi Sarchnar</t>
  </si>
  <si>
    <t xml:space="preserve">كردى سرجنار</t>
  </si>
  <si>
    <t xml:space="preserve">Green City</t>
  </si>
  <si>
    <t xml:space="preserve">كرين ستي</t>
  </si>
  <si>
    <t xml:space="preserve">Guezhay Kun</t>
  </si>
  <si>
    <t xml:space="preserve">كويزة كون</t>
  </si>
  <si>
    <t xml:space="preserve">Gulli Shar</t>
  </si>
  <si>
    <t xml:space="preserve">كولي شار</t>
  </si>
  <si>
    <t xml:space="preserve">Gundy Almany</t>
  </si>
  <si>
    <t xml:space="preserve">كوندى المانى</t>
  </si>
  <si>
    <t xml:space="preserve">Haware Shar</t>
  </si>
  <si>
    <t xml:space="preserve">هوارى شار</t>
  </si>
  <si>
    <t xml:space="preserve">Hawari Taza</t>
  </si>
  <si>
    <t xml:space="preserve">هوارى تازة</t>
  </si>
  <si>
    <t xml:space="preserve">Hwana</t>
  </si>
  <si>
    <t xml:space="preserve">هوانة</t>
  </si>
  <si>
    <t xml:space="preserve">Ibrahim Ahmad</t>
  </si>
  <si>
    <t xml:space="preserve">ابراهيم احمد</t>
  </si>
  <si>
    <t xml:space="preserve">Ibrahim pasha</t>
  </si>
  <si>
    <t xml:space="preserve">ابراهيم باشا</t>
  </si>
  <si>
    <t xml:space="preserve">Iskan</t>
  </si>
  <si>
    <t xml:space="preserve">اسكان</t>
  </si>
  <si>
    <t xml:space="preserve">Kalakn</t>
  </si>
  <si>
    <t xml:space="preserve">كلكن</t>
  </si>
  <si>
    <t xml:space="preserve">Kanakawa</t>
  </si>
  <si>
    <t xml:space="preserve">كنكوة</t>
  </si>
  <si>
    <t xml:space="preserve">Kanda Sura</t>
  </si>
  <si>
    <t xml:space="preserve">كنه سوره</t>
  </si>
  <si>
    <t xml:space="preserve">Kani Goma</t>
  </si>
  <si>
    <t xml:space="preserve">كاني كومه</t>
  </si>
  <si>
    <t xml:space="preserve">Kani Iskan</t>
  </si>
  <si>
    <t xml:space="preserve">كانيسكان</t>
  </si>
  <si>
    <t xml:space="preserve">Kani Kurda</t>
  </si>
  <si>
    <t xml:space="preserve">كانى كوردة</t>
  </si>
  <si>
    <t xml:space="preserve">Kani shaitan-Kani Shaitan</t>
  </si>
  <si>
    <t xml:space="preserve">كاني شيطان</t>
  </si>
  <si>
    <t xml:space="preserve">Kani spika</t>
  </si>
  <si>
    <t xml:space="preserve">كانى سبيكة</t>
  </si>
  <si>
    <t xml:space="preserve">Karezawshk</t>
  </si>
  <si>
    <t xml:space="preserve">كاريزوشك</t>
  </si>
  <si>
    <t xml:space="preserve">kela spi</t>
  </si>
  <si>
    <t xml:space="preserve">كيلة سبي</t>
  </si>
  <si>
    <t xml:space="preserve">Khak</t>
  </si>
  <si>
    <t xml:space="preserve">خاك</t>
  </si>
  <si>
    <t xml:space="preserve">Kostay Cham</t>
  </si>
  <si>
    <t xml:space="preserve">كوستى جم</t>
  </si>
  <si>
    <t xml:space="preserve">Kurd city</t>
  </si>
  <si>
    <t xml:space="preserve">كورد ستى</t>
  </si>
  <si>
    <t xml:space="preserve">Kurdsat</t>
  </si>
  <si>
    <t xml:space="preserve">كوردسات</t>
  </si>
  <si>
    <t xml:space="preserve">Lebanon City</t>
  </si>
  <si>
    <t xml:space="preserve">لبنان ستي</t>
  </si>
  <si>
    <t xml:space="preserve">Majeed Bag</t>
  </si>
  <si>
    <t xml:space="preserve">مجيد بك</t>
  </si>
  <si>
    <t xml:space="preserve">Mala Dawud</t>
  </si>
  <si>
    <t xml:space="preserve">ملا داود</t>
  </si>
  <si>
    <t xml:space="preserve">Malkanidy</t>
  </si>
  <si>
    <t xml:space="preserve">ملكندى</t>
  </si>
  <si>
    <t xml:space="preserve">MAMOSTAYAN</t>
  </si>
  <si>
    <t xml:space="preserve">Mashkhalan</t>
  </si>
  <si>
    <t xml:space="preserve">مشخلان</t>
  </si>
  <si>
    <t xml:space="preserve">Muaskar Al-Salam</t>
  </si>
  <si>
    <t xml:space="preserve">معسكر سلام</t>
  </si>
  <si>
    <t xml:space="preserve">Naw Gardan</t>
  </si>
  <si>
    <t xml:space="preserve">ناوكردان</t>
  </si>
  <si>
    <t xml:space="preserve">Newroz</t>
  </si>
  <si>
    <t xml:space="preserve">Qalawa Camp</t>
  </si>
  <si>
    <t xml:space="preserve">قالاوة </t>
  </si>
  <si>
    <t xml:space="preserve">Qaradagh</t>
  </si>
  <si>
    <t xml:space="preserve">قرداغ</t>
  </si>
  <si>
    <t xml:space="preserve">Qaraman</t>
  </si>
  <si>
    <t xml:space="preserve">قارمان</t>
  </si>
  <si>
    <t xml:space="preserve">Qaratughan</t>
  </si>
  <si>
    <t xml:space="preserve">قرتوغان</t>
  </si>
  <si>
    <t xml:space="preserve">Qirga</t>
  </si>
  <si>
    <t xml:space="preserve">قركة</t>
  </si>
  <si>
    <t xml:space="preserve">Qliasan</t>
  </si>
  <si>
    <t xml:space="preserve">قلياسان</t>
  </si>
  <si>
    <t xml:space="preserve">Qularaese Kon</t>
  </si>
  <si>
    <t xml:space="preserve">قولريسى كون</t>
  </si>
  <si>
    <t xml:space="preserve">Raparin-Bawa Mrda</t>
  </si>
  <si>
    <r>
      <rPr>
        <sz val="10"/>
        <color rgb="FF000000"/>
        <rFont val="Lohit Devanagari"/>
        <family val="2"/>
      </rPr>
      <t xml:space="preserve">رابرين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باوه مرده</t>
    </r>
  </si>
  <si>
    <t xml:space="preserve">Raparrin</t>
  </si>
  <si>
    <t xml:space="preserve">Rizgare</t>
  </si>
  <si>
    <t xml:space="preserve">Rizgari-Arbat</t>
  </si>
  <si>
    <t xml:space="preserve">Roz city</t>
  </si>
  <si>
    <t xml:space="preserve">روز ستى</t>
  </si>
  <si>
    <t xml:space="preserve">Rozhlat</t>
  </si>
  <si>
    <t xml:space="preserve">Runaki City</t>
  </si>
  <si>
    <t xml:space="preserve">روناكى ستى</t>
  </si>
  <si>
    <t xml:space="preserve">Sabun karan Qt</t>
  </si>
  <si>
    <t xml:space="preserve">صابن كران</t>
  </si>
  <si>
    <t xml:space="preserve">Saib City</t>
  </si>
  <si>
    <t xml:space="preserve">صائب ستي</t>
  </si>
  <si>
    <t xml:space="preserve">Samawat</t>
  </si>
  <si>
    <t xml:space="preserve">سماوات</t>
  </si>
  <si>
    <t xml:space="preserve">Sarchnar</t>
  </si>
  <si>
    <t xml:space="preserve">سرجنار</t>
  </si>
  <si>
    <t xml:space="preserve">Sardam City</t>
  </si>
  <si>
    <t xml:space="preserve">سردم ستى</t>
  </si>
  <si>
    <t xml:space="preserve">Sardaw</t>
  </si>
  <si>
    <t xml:space="preserve">سارداو</t>
  </si>
  <si>
    <t xml:space="preserve">Sarkarez</t>
  </si>
  <si>
    <t xml:space="preserve">سركاريز</t>
  </si>
  <si>
    <t xml:space="preserve">Sarshaqam</t>
  </si>
  <si>
    <t xml:space="preserve">سرشقام</t>
  </si>
  <si>
    <t xml:space="preserve">Sarwary</t>
  </si>
  <si>
    <t xml:space="preserve">سرورى</t>
  </si>
  <si>
    <t xml:space="preserve">Saya City</t>
  </si>
  <si>
    <t xml:space="preserve">سايه ستى</t>
  </si>
  <si>
    <t xml:space="preserve">Sewsenan</t>
  </si>
  <si>
    <t xml:space="preserve">سيوسينان</t>
  </si>
  <si>
    <t xml:space="preserve">Shakraka</t>
  </si>
  <si>
    <t xml:space="preserve">شكركه</t>
  </si>
  <si>
    <t xml:space="preserve">Shekh Abbas</t>
  </si>
  <si>
    <t xml:space="preserve">شيخ عباس</t>
  </si>
  <si>
    <t xml:space="preserve">Shekh Muheden</t>
  </si>
  <si>
    <t xml:space="preserve">شيخ محى الدين</t>
  </si>
  <si>
    <t xml:space="preserve">Shniar City</t>
  </si>
  <si>
    <t xml:space="preserve">شنيار ستى</t>
  </si>
  <si>
    <t xml:space="preserve">Sulaymaniya-Sharawani</t>
  </si>
  <si>
    <t xml:space="preserve">Tanjaro 314</t>
  </si>
  <si>
    <r>
      <rPr>
        <sz val="10"/>
        <color rgb="FF000000"/>
        <rFont val="Lohit Devanagari"/>
        <family val="2"/>
      </rPr>
      <t xml:space="preserve">تانجرو </t>
    </r>
    <r>
      <rPr>
        <sz val="10"/>
        <color rgb="FF000000"/>
        <rFont val="Arial Narrow"/>
        <family val="2"/>
        <charset val="1"/>
      </rPr>
      <t xml:space="preserve">314</t>
    </r>
  </si>
  <si>
    <t xml:space="preserve">Tasluja</t>
  </si>
  <si>
    <t xml:space="preserve">طاسلوجة</t>
  </si>
  <si>
    <t xml:space="preserve">Toospy</t>
  </si>
  <si>
    <t xml:space="preserve">تووسبي</t>
  </si>
  <si>
    <t xml:space="preserve">Toy malik</t>
  </si>
  <si>
    <t xml:space="preserve">توملك</t>
  </si>
  <si>
    <t xml:space="preserve">Village 120</t>
  </si>
  <si>
    <r>
      <rPr>
        <sz val="10"/>
        <color rgb="FF000000"/>
        <rFont val="Lohit Devanagari"/>
        <family val="2"/>
      </rPr>
      <t xml:space="preserve">قرية </t>
    </r>
    <r>
      <rPr>
        <sz val="10"/>
        <color rgb="FF000000"/>
        <rFont val="Arial Narrow"/>
        <family val="2"/>
        <charset val="1"/>
      </rPr>
      <t xml:space="preserve">120</t>
    </r>
  </si>
  <si>
    <t xml:space="preserve">Wluba</t>
  </si>
  <si>
    <t xml:space="preserve">ولوبه</t>
  </si>
  <si>
    <t xml:space="preserve">Zargata</t>
  </si>
  <si>
    <t xml:space="preserve">زركتة</t>
  </si>
  <si>
    <t xml:space="preserve">Zargata Kon</t>
  </si>
  <si>
    <t xml:space="preserve">زركته كون</t>
  </si>
  <si>
    <t xml:space="preserve">Zerinok</t>
  </si>
  <si>
    <t xml:space="preserve">زيرينوك</t>
  </si>
  <si>
    <t xml:space="preserve">Al-Chibayish</t>
  </si>
  <si>
    <t xml:space="preserve">Al Fohod</t>
  </si>
  <si>
    <t xml:space="preserve">الفهود</t>
  </si>
  <si>
    <t xml:space="preserve">AL Hmar</t>
  </si>
  <si>
    <t xml:space="preserve">الحمار</t>
  </si>
  <si>
    <t xml:space="preserve">Al-Rifa'i</t>
  </si>
  <si>
    <t xml:space="preserve">Al-Moalemen</t>
  </si>
  <si>
    <t xml:space="preserve">An Nasr</t>
  </si>
  <si>
    <t xml:space="preserve">النصر</t>
  </si>
  <si>
    <t xml:space="preserve">Jiser Al Rifay</t>
  </si>
  <si>
    <t xml:space="preserve">جسر الرفاعي</t>
  </si>
  <si>
    <t xml:space="preserve">Qal at Sukhar</t>
  </si>
  <si>
    <t xml:space="preserve">قلعة سكر</t>
  </si>
  <si>
    <t xml:space="preserve">Refai</t>
  </si>
  <si>
    <t xml:space="preserve">مركز الرفاعي </t>
  </si>
  <si>
    <t xml:space="preserve">Al-Shatra</t>
  </si>
  <si>
    <t xml:space="preserve">14 Ramadan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</si>
  <si>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14 </t>
    </r>
    <r>
      <rPr>
        <sz val="10"/>
        <color rgb="FF000000"/>
        <rFont val="Lohit Devanagari"/>
        <family val="2"/>
      </rPr>
      <t xml:space="preserve">رمضان</t>
    </r>
  </si>
  <si>
    <t xml:space="preserve">Al awad</t>
  </si>
  <si>
    <t xml:space="preserve">ال عواد</t>
  </si>
  <si>
    <t xml:space="preserve">Al Dawaya</t>
  </si>
  <si>
    <t xml:space="preserve">الدواية</t>
  </si>
  <si>
    <t xml:space="preserve">Al Gharraf</t>
  </si>
  <si>
    <t xml:space="preserve">الغراف</t>
  </si>
  <si>
    <t xml:space="preserve">Al Mustashfa St</t>
  </si>
  <si>
    <t xml:space="preserve">شارع المستشفى</t>
  </si>
  <si>
    <t xml:space="preserve">Al Shomali</t>
  </si>
  <si>
    <t xml:space="preserve">الشوملي</t>
  </si>
  <si>
    <t xml:space="preserve">Al-fatahiyah</t>
  </si>
  <si>
    <t xml:space="preserve">حي الفتاحية</t>
  </si>
  <si>
    <t xml:space="preserve">Al-hawi</t>
  </si>
  <si>
    <t xml:space="preserve">حي الحاوي</t>
  </si>
  <si>
    <t xml:space="preserve">albedaa</t>
  </si>
  <si>
    <t xml:space="preserve">البدعة </t>
  </si>
  <si>
    <t xml:space="preserve">Hay al Zahraa</t>
  </si>
  <si>
    <t xml:space="preserve">Siddifa</t>
  </si>
  <si>
    <t xml:space="preserve">صديفه</t>
  </si>
  <si>
    <t xml:space="preserve">Nassriya</t>
  </si>
  <si>
    <t xml:space="preserve">Al Aker</t>
  </si>
  <si>
    <t xml:space="preserve">العكر</t>
  </si>
  <si>
    <t xml:space="preserve">Al Aoeh</t>
  </si>
  <si>
    <t xml:space="preserve">قرية العوية</t>
  </si>
  <si>
    <t xml:space="preserve">Al Asrriyah Village</t>
  </si>
  <si>
    <t xml:space="preserve">Al Batha</t>
  </si>
  <si>
    <t xml:space="preserve">البطحاء</t>
  </si>
  <si>
    <t xml:space="preserve">Al bohyaleh</t>
  </si>
  <si>
    <t xml:space="preserve">ال ابو حواله</t>
  </si>
  <si>
    <t xml:space="preserve">Al Dhubat</t>
  </si>
  <si>
    <t xml:space="preserve">Al Emarat</t>
  </si>
  <si>
    <t xml:space="preserve">العمارات</t>
  </si>
  <si>
    <t xml:space="preserve">Al Iskan Al Ssinaie</t>
  </si>
  <si>
    <t xml:space="preserve">الاسكان الصناعي</t>
  </si>
  <si>
    <t xml:space="preserve">Al Mahaliyah</t>
  </si>
  <si>
    <t xml:space="preserve">المحليه</t>
  </si>
  <si>
    <t xml:space="preserve">Al Saih</t>
  </si>
  <si>
    <t xml:space="preserve">منطقة السائح</t>
  </si>
  <si>
    <t xml:space="preserve">Al Sharqiya</t>
  </si>
  <si>
    <t xml:space="preserve">الشرقيه</t>
  </si>
  <si>
    <t xml:space="preserve">Al Shoula</t>
  </si>
  <si>
    <t xml:space="preserve">الشعلة</t>
  </si>
  <si>
    <t xml:space="preserve">Al Shumokh</t>
  </si>
  <si>
    <t xml:space="preserve">حي الشموخ</t>
  </si>
  <si>
    <t xml:space="preserve">Al-bashaier</t>
  </si>
  <si>
    <t xml:space="preserve">ال بوشاهر</t>
  </si>
  <si>
    <t xml:space="preserve">Al-Berid</t>
  </si>
  <si>
    <t xml:space="preserve">Al-khashab</t>
  </si>
  <si>
    <t xml:space="preserve">قرية الخشاب</t>
  </si>
  <si>
    <t xml:space="preserve">Al-Salhiya</t>
  </si>
  <si>
    <t xml:space="preserve">حي الصالحية</t>
  </si>
  <si>
    <t xml:space="preserve">Al-shofah</t>
  </si>
  <si>
    <t xml:space="preserve">قرية الشوفة</t>
  </si>
  <si>
    <t xml:space="preserve">Al-Thawrah</t>
  </si>
  <si>
    <t xml:space="preserve">الثوره</t>
  </si>
  <si>
    <t xml:space="preserve">Al-zielat</t>
  </si>
  <si>
    <t xml:space="preserve">الزعيلات</t>
  </si>
  <si>
    <t xml:space="preserve">Aredo</t>
  </si>
  <si>
    <t xml:space="preserve">حي اريدو</t>
  </si>
  <si>
    <t xml:space="preserve">Baghdad Street</t>
  </si>
  <si>
    <t xml:space="preserve">شارع بغداد</t>
  </si>
  <si>
    <t xml:space="preserve">Hay Al Al Ghadeer</t>
  </si>
  <si>
    <t xml:space="preserve">Hay Al Fidaa</t>
  </si>
  <si>
    <t xml:space="preserve">حي الفداء</t>
  </si>
  <si>
    <t xml:space="preserve">Hay Al Mualimeen</t>
  </si>
  <si>
    <t xml:space="preserve">Hay Al Shoula 1</t>
  </si>
  <si>
    <r>
      <rPr>
        <sz val="10"/>
        <color rgb="FF000000"/>
        <rFont val="Lohit Devanagari"/>
        <family val="2"/>
      </rPr>
      <t xml:space="preserve">حي الشعله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</si>
  <si>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Hay Al Tadhihiya</t>
  </si>
  <si>
    <t xml:space="preserve">حي التضحية</t>
  </si>
  <si>
    <t xml:space="preserve">Hay AL-Hussain</t>
  </si>
  <si>
    <t xml:space="preserve">حي الحسين </t>
  </si>
  <si>
    <t xml:space="preserve">Hay AL-Mansouria</t>
  </si>
  <si>
    <t xml:space="preserve">المنصورية </t>
  </si>
  <si>
    <t xml:space="preserve">Hay al-shohadaa</t>
  </si>
  <si>
    <t xml:space="preserve">Hay Mehidiya</t>
  </si>
  <si>
    <t xml:space="preserve">حي المهيديه</t>
  </si>
  <si>
    <t xml:space="preserve">Hey Al Amen Al Dakhlei 2</t>
  </si>
  <si>
    <r>
      <rPr>
        <sz val="10"/>
        <color rgb="FF000000"/>
        <rFont val="Lohit Devanagari"/>
        <family val="2"/>
      </rPr>
      <t xml:space="preserve">الامن الداخلي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</si>
  <si>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Hey Al-Ariml</t>
  </si>
  <si>
    <t xml:space="preserve">حي الارامل</t>
  </si>
  <si>
    <t xml:space="preserve">Hey Al-Mtanzh</t>
  </si>
  <si>
    <t xml:space="preserve">حي المتنزة</t>
  </si>
  <si>
    <t xml:space="preserve">Hey Al-Rafdeen</t>
  </si>
  <si>
    <t xml:space="preserve">Nassriya-Hey 400</t>
  </si>
  <si>
    <r>
      <rPr>
        <sz val="10"/>
        <color rgb="FF000000"/>
        <rFont val="Lohit Devanagari"/>
        <family val="2"/>
      </rPr>
      <t xml:space="preserve">حي </t>
    </r>
    <r>
      <rPr>
        <sz val="10"/>
        <color rgb="FF000000"/>
        <rFont val="Arial Narrow"/>
        <family val="2"/>
        <charset val="1"/>
      </rPr>
      <t xml:space="preserve">400</t>
    </r>
  </si>
  <si>
    <t xml:space="preserve">Sadir City</t>
  </si>
  <si>
    <t xml:space="preserve">حي مدينة الصدر</t>
  </si>
  <si>
    <t xml:space="preserve">Sayid khudair</t>
  </si>
  <si>
    <t xml:space="preserve">سيد خضير</t>
  </si>
  <si>
    <t xml:space="preserve">Sharaa Al-hklas</t>
  </si>
  <si>
    <t xml:space="preserve">شارع الاخلاص</t>
  </si>
  <si>
    <t xml:space="preserve">Share Eshreen</t>
  </si>
  <si>
    <t xml:space="preserve">شارع عشرين</t>
  </si>
  <si>
    <t xml:space="preserve">Sindaliyah-Sidenaweyah</t>
  </si>
  <si>
    <t xml:space="preserve">حي السديناويه</t>
  </si>
  <si>
    <t xml:space="preserve">Syied Dakhil</t>
  </si>
  <si>
    <t xml:space="preserve">سيد دخيل</t>
  </si>
  <si>
    <t xml:space="preserve">Syied Dakhil-Al-bjara</t>
  </si>
  <si>
    <r>
      <rPr>
        <sz val="10"/>
        <color rgb="FF000000"/>
        <rFont val="Lohit Devanagari"/>
        <family val="2"/>
      </rPr>
      <t xml:space="preserve">سيد دخيل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البجاري</t>
    </r>
  </si>
  <si>
    <t xml:space="preserve">Syied Dakhil-Al-hay al-askary</t>
  </si>
  <si>
    <r>
      <rPr>
        <sz val="10"/>
        <color rgb="FF000000"/>
        <rFont val="Lohit Devanagari"/>
        <family val="2"/>
      </rPr>
      <t xml:space="preserve">سيد دخيل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حي العسكري</t>
    </r>
  </si>
  <si>
    <t xml:space="preserve">The Abu Athm</t>
  </si>
  <si>
    <t xml:space="preserve">منطقة ال ابو عظم</t>
  </si>
  <si>
    <t xml:space="preserve">Um Al Dood</t>
  </si>
  <si>
    <t xml:space="preserve">ام الدود</t>
  </si>
  <si>
    <t xml:space="preserve">Ur</t>
  </si>
  <si>
    <t xml:space="preserve">حي اور</t>
  </si>
  <si>
    <t xml:space="preserve">Suq Al-Shoyokh</t>
  </si>
  <si>
    <t xml:space="preserve">Al Esmaelya 2</t>
  </si>
  <si>
    <r>
      <rPr>
        <sz val="10"/>
        <color rgb="FF000000"/>
        <rFont val="Lohit Devanagari"/>
        <family val="2"/>
      </rPr>
      <t xml:space="preserve">الاسماعيليه </t>
    </r>
    <r>
      <rPr>
        <sz val="10"/>
        <color rgb="FF000000"/>
        <rFont val="Arial Narrow"/>
        <family val="2"/>
        <charset val="1"/>
      </rPr>
      <t xml:space="preserve">2</t>
    </r>
  </si>
  <si>
    <t xml:space="preserve">Al Fadhliyah Al Barid Street</t>
  </si>
  <si>
    <t xml:space="preserve">الفضليه شارع البريد</t>
  </si>
  <si>
    <t xml:space="preserve">Al Kibla</t>
  </si>
  <si>
    <t xml:space="preserve">القبله</t>
  </si>
  <si>
    <t xml:space="preserve">الشموخ</t>
  </si>
  <si>
    <t xml:space="preserve">Al-akaekah</t>
  </si>
  <si>
    <t xml:space="preserve">ناحية العكيكه</t>
  </si>
  <si>
    <t xml:space="preserve">Al-hey Al-Askarey</t>
  </si>
  <si>
    <t xml:space="preserve">Hey Al Tahrear</t>
  </si>
  <si>
    <t xml:space="preserve">حي التحرير</t>
  </si>
  <si>
    <t xml:space="preserve">Hey al-chaoui</t>
  </si>
  <si>
    <t xml:space="preserve">حي الشاوي</t>
  </si>
  <si>
    <t xml:space="preserve">Hey al-ghadeir</t>
  </si>
  <si>
    <t xml:space="preserve">Hey al-zahraa</t>
  </si>
  <si>
    <t xml:space="preserve">Karmat Bani Said</t>
  </si>
  <si>
    <t xml:space="preserve">كرمة بني سعيد</t>
  </si>
  <si>
    <t xml:space="preserve">Al-Azezia</t>
  </si>
  <si>
    <t xml:space="preserve">Al Dawar Al Gharbi</t>
  </si>
  <si>
    <t xml:space="preserve">الدوار الغربي</t>
  </si>
  <si>
    <t xml:space="preserve">Al Murtadha village</t>
  </si>
  <si>
    <t xml:space="preserve">Al Sadoniyah</t>
  </si>
  <si>
    <t xml:space="preserve">السعدونية</t>
  </si>
  <si>
    <t xml:space="preserve">Al Shabab 1</t>
  </si>
  <si>
    <t xml:space="preserve">الشباب الاولى</t>
  </si>
  <si>
    <t xml:space="preserve">Al-Azezia 150 area</t>
  </si>
  <si>
    <r>
      <rPr>
        <sz val="10"/>
        <color rgb="FF000000"/>
        <rFont val="Lohit Devanagari"/>
        <family val="2"/>
      </rPr>
      <t xml:space="preserve">العزيزية </t>
    </r>
    <r>
      <rPr>
        <sz val="10"/>
        <color rgb="FF000000"/>
        <rFont val="Arial Narrow"/>
        <family val="2"/>
        <charset val="1"/>
      </rPr>
      <t xml:space="preserve">150</t>
    </r>
  </si>
  <si>
    <t xml:space="preserve">Al-Dair al-Aala</t>
  </si>
  <si>
    <t xml:space="preserve">الدير الاعلى</t>
  </si>
  <si>
    <t xml:space="preserve">Al-Debooni City Center</t>
  </si>
  <si>
    <t xml:space="preserve">مركز الدبوني </t>
  </si>
  <si>
    <t xml:space="preserve">Al-Dir Al Aala 2</t>
  </si>
  <si>
    <t xml:space="preserve">الدير الاعلى الثانية</t>
  </si>
  <si>
    <t xml:space="preserve">Al-Hardan Village</t>
  </si>
  <si>
    <t xml:space="preserve">قرية الحردان</t>
  </si>
  <si>
    <t xml:space="preserve">Al-Jadida</t>
  </si>
  <si>
    <t xml:space="preserve">Al-Karama village</t>
  </si>
  <si>
    <t xml:space="preserve">Al-Khamas 2</t>
  </si>
  <si>
    <t xml:space="preserve">حي الخماس الثانية</t>
  </si>
  <si>
    <t xml:space="preserve">Al-Khamas 3</t>
  </si>
  <si>
    <t xml:space="preserve">حي الخماس الثالثة</t>
  </si>
  <si>
    <t xml:space="preserve">Al-Khamas1</t>
  </si>
  <si>
    <t xml:space="preserve">الخماس الاولى</t>
  </si>
  <si>
    <t xml:space="preserve">Al-Manseya</t>
  </si>
  <si>
    <t xml:space="preserve">المنسية</t>
  </si>
  <si>
    <t xml:space="preserve">Al-Mazraa</t>
  </si>
  <si>
    <t xml:space="preserve">المزرعة</t>
  </si>
  <si>
    <t xml:space="preserve">Al-Nedhal village</t>
  </si>
  <si>
    <t xml:space="preserve">قرية النضال</t>
  </si>
  <si>
    <t xml:space="preserve">Al-Qutniya al Sharqiya</t>
  </si>
  <si>
    <t xml:space="preserve">القطنية الشرقية</t>
  </si>
  <si>
    <t xml:space="preserve">Al-Rafidain</t>
  </si>
  <si>
    <t xml:space="preserve">Al-Sarai</t>
  </si>
  <si>
    <t xml:space="preserve">السراي</t>
  </si>
  <si>
    <t xml:space="preserve">Al-Shabab 2</t>
  </si>
  <si>
    <t xml:space="preserve">الشباب الثانية</t>
  </si>
  <si>
    <t xml:space="preserve">Al-Sharif Alradhi</t>
  </si>
  <si>
    <t xml:space="preserve">الشريف الرضي</t>
  </si>
  <si>
    <t xml:space="preserve">Al-Tanmeya</t>
  </si>
  <si>
    <t xml:space="preserve">التنمية</t>
  </si>
  <si>
    <t xml:space="preserve">Bader Al-Kubra</t>
  </si>
  <si>
    <t xml:space="preserve">بدر الكبرى</t>
  </si>
  <si>
    <t xml:space="preserve">City Center</t>
  </si>
  <si>
    <t xml:space="preserve">المركز</t>
  </si>
  <si>
    <t xml:space="preserve">Hay Al Quds</t>
  </si>
  <si>
    <t xml:space="preserve">Hay Al-Askari 1</t>
  </si>
  <si>
    <t xml:space="preserve">الحي العسكري الاولى</t>
  </si>
  <si>
    <t xml:space="preserve">Hay Al-Askari 3</t>
  </si>
  <si>
    <t xml:space="preserve">الحي العسكري الثالثة</t>
  </si>
  <si>
    <t xml:space="preserve">Hay Al-Hashimy</t>
  </si>
  <si>
    <t xml:space="preserve">حي الهاشمي</t>
  </si>
  <si>
    <t xml:space="preserve">Hay Al-Oroba 1</t>
  </si>
  <si>
    <t xml:space="preserve">حي العروبة الاولى</t>
  </si>
  <si>
    <t xml:space="preserve">Hay Al-Oroba 2</t>
  </si>
  <si>
    <t xml:space="preserve">حي العروبة الثانية</t>
  </si>
  <si>
    <t xml:space="preserve">Hay Fadek</t>
  </si>
  <si>
    <t xml:space="preserve">حي فدك</t>
  </si>
  <si>
    <t xml:space="preserve">Saloomi village</t>
  </si>
  <si>
    <t xml:space="preserve">قرية سلومي</t>
  </si>
  <si>
    <t xml:space="preserve">Tabaruk village</t>
  </si>
  <si>
    <t xml:space="preserve">قرية تبارك</t>
  </si>
  <si>
    <t xml:space="preserve">Taj al-dien</t>
  </si>
  <si>
    <t xml:space="preserve">تاج الدين</t>
  </si>
  <si>
    <t xml:space="preserve">Taj al-dien center 1</t>
  </si>
  <si>
    <r>
      <rPr>
        <sz val="10"/>
        <color rgb="FF000000"/>
        <rFont val="Lohit Devanagari"/>
        <family val="2"/>
      </rPr>
      <t xml:space="preserve">مركز تاج الدين </t>
    </r>
    <r>
      <rPr>
        <sz val="10"/>
        <color rgb="FF000000"/>
        <rFont val="Arial Narrow"/>
        <family val="2"/>
        <charset val="1"/>
      </rPr>
      <t xml:space="preserve">1</t>
    </r>
  </si>
  <si>
    <t xml:space="preserve">Tuliha</t>
  </si>
  <si>
    <t xml:space="preserve">طليحة</t>
  </si>
  <si>
    <t xml:space="preserve">Utba Al-Kawaled Village</t>
  </si>
  <si>
    <t xml:space="preserve">قرية عتبة الخوالد</t>
  </si>
  <si>
    <t xml:space="preserve">Al-Hai</t>
  </si>
  <si>
    <t xml:space="preserve">Al Bashaer sub-district</t>
  </si>
  <si>
    <t xml:space="preserve">ناحية البشائر </t>
  </si>
  <si>
    <t xml:space="preserve">Al Bashaer-Al-Qudis 1</t>
  </si>
  <si>
    <r>
      <rPr>
        <sz val="10"/>
        <color rgb="FF000000"/>
        <rFont val="Lohit Devanagari"/>
        <family val="2"/>
      </rPr>
      <t xml:space="preserve">ناحية البشائر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القدس الأولى</t>
    </r>
  </si>
  <si>
    <t xml:space="preserve">Al Bashaer-Al-Qudis 2</t>
  </si>
  <si>
    <r>
      <rPr>
        <sz val="10"/>
        <color rgb="FF000000"/>
        <rFont val="Lohit Devanagari"/>
        <family val="2"/>
      </rPr>
      <t xml:space="preserve">ناحية البشائر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القدس الثانيه</t>
    </r>
  </si>
  <si>
    <t xml:space="preserve">Al Muwaffaqiyah</t>
  </si>
  <si>
    <t xml:space="preserve">الموفقية</t>
  </si>
  <si>
    <t xml:space="preserve">Al-Askari Al-Thania</t>
  </si>
  <si>
    <t xml:space="preserve">حي العسكري الثانية</t>
  </si>
  <si>
    <t xml:space="preserve">Al-Askari Al-Uwla</t>
  </si>
  <si>
    <t xml:space="preserve">حي العسكري الاولى</t>
  </si>
  <si>
    <t xml:space="preserve">Al-hay al-asri</t>
  </si>
  <si>
    <t xml:space="preserve">Al-Hay Al-Asri Al-Thalitha</t>
  </si>
  <si>
    <t xml:space="preserve">الحي العصري الثالثة</t>
  </si>
  <si>
    <t xml:space="preserve">Al-Hurria Al-Thania</t>
  </si>
  <si>
    <t xml:space="preserve">حي الحرية الثانية</t>
  </si>
  <si>
    <t xml:space="preserve">Al-Zaiton Neighborhood</t>
  </si>
  <si>
    <t xml:space="preserve">Bashaeer-Al-Imam Al-Sadiq Village</t>
  </si>
  <si>
    <r>
      <rPr>
        <sz val="10"/>
        <color rgb="FF000000"/>
        <rFont val="Lohit Devanagari"/>
        <family val="2"/>
      </rPr>
      <t xml:space="preserve">ناحية البشائر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الأمام الصادق</t>
    </r>
  </si>
  <si>
    <t xml:space="preserve">Hay Al Ghadeer</t>
  </si>
  <si>
    <t xml:space="preserve">Hay Al-Imam Al-Sadiq</t>
  </si>
  <si>
    <t xml:space="preserve">حي الأمام الصادق</t>
  </si>
  <si>
    <t xml:space="preserve">Hay al-muaalimen al-thaniyah</t>
  </si>
  <si>
    <t xml:space="preserve">حي المعلمين الثانية</t>
  </si>
  <si>
    <t xml:space="preserve">Hay Al-Rasol</t>
  </si>
  <si>
    <t xml:space="preserve">Hay Al-Saray</t>
  </si>
  <si>
    <t xml:space="preserve">Hay Al-Wehda(Mahala al-arab)</t>
  </si>
  <si>
    <r>
      <rPr>
        <sz val="10"/>
        <color rgb="FF000000"/>
        <rFont val="Lohit Devanagari"/>
        <family val="2"/>
      </rPr>
      <t xml:space="preserve">حي الوحدة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محلة العرب</t>
    </r>
  </si>
  <si>
    <t xml:space="preserve">Hay Emam Ali</t>
  </si>
  <si>
    <t xml:space="preserve">حي الامام علي</t>
  </si>
  <si>
    <t xml:space="preserve">Hay Saed Al-Thania</t>
  </si>
  <si>
    <t xml:space="preserve">حي سعيد الثانية</t>
  </si>
  <si>
    <t xml:space="preserve">Al-Na'maniya</t>
  </si>
  <si>
    <t xml:space="preserve">Al-Ahrar city center</t>
  </si>
  <si>
    <t xml:space="preserve">الاحرار المركز</t>
  </si>
  <si>
    <t xml:space="preserve">Al-Baqaratain Village</t>
  </si>
  <si>
    <t xml:space="preserve">قرية البقرتين</t>
  </si>
  <si>
    <t xml:space="preserve">Al-Hakeem villge</t>
  </si>
  <si>
    <t xml:space="preserve">قرية الحكيم</t>
  </si>
  <si>
    <t xml:space="preserve">Al-Jameiah-1</t>
  </si>
  <si>
    <t xml:space="preserve">الجمعية الاولى</t>
  </si>
  <si>
    <t xml:space="preserve">Al-Shomali Road-Shadhi Al-Gherbi</t>
  </si>
  <si>
    <r>
      <rPr>
        <sz val="10"/>
        <color rgb="FF000000"/>
        <rFont val="Lohit Devanagari"/>
        <family val="2"/>
      </rPr>
      <t xml:space="preserve">طريق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شاذي الغربي</t>
    </r>
  </si>
  <si>
    <t xml:space="preserve">Al-Shomali Road-Shadhi Al-Sharki</t>
  </si>
  <si>
    <r>
      <rPr>
        <sz val="10"/>
        <color rgb="FF000000"/>
        <rFont val="Lohit Devanagari"/>
        <family val="2"/>
      </rPr>
      <t xml:space="preserve">طريق الشوملي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شاذي الشرقي</t>
    </r>
  </si>
  <si>
    <t xml:space="preserve">Hay Al-Shraqia</t>
  </si>
  <si>
    <t xml:space="preserve">حي الشرقية</t>
  </si>
  <si>
    <t xml:space="preserve">Imam Rudha</t>
  </si>
  <si>
    <t xml:space="preserve">حي الأمام الرضا</t>
  </si>
  <si>
    <t xml:space="preserve">Misarhad village</t>
  </si>
  <si>
    <t xml:space="preserve">قرية مسرهد</t>
  </si>
  <si>
    <t xml:space="preserve">Said Habeeb Village</t>
  </si>
  <si>
    <t xml:space="preserve">قرية سيد حبيب</t>
  </si>
  <si>
    <t xml:space="preserve">Said malik village</t>
  </si>
  <si>
    <t xml:space="preserve">قرية سيد مالك</t>
  </si>
  <si>
    <t xml:space="preserve">Al-Suwaira</t>
  </si>
  <si>
    <t xml:space="preserve">Al Shihaimiya city center</t>
  </si>
  <si>
    <t xml:space="preserve">مركز الشحيمية</t>
  </si>
  <si>
    <t xml:space="preserve">Al-Firdos Village</t>
  </si>
  <si>
    <t xml:space="preserve">قرية الفردوس</t>
  </si>
  <si>
    <t xml:space="preserve">Al-Jisir village</t>
  </si>
  <si>
    <t xml:space="preserve">قرية الجسر</t>
  </si>
  <si>
    <t xml:space="preserve">Al-Rujaibia Village</t>
  </si>
  <si>
    <t xml:space="preserve">قرية الرجيبية</t>
  </si>
  <si>
    <t xml:space="preserve">Al-Sudor Village</t>
  </si>
  <si>
    <t xml:space="preserve">قرية الصدور</t>
  </si>
  <si>
    <t xml:space="preserve">Al-Suwaira City Center</t>
  </si>
  <si>
    <t xml:space="preserve">مركز الصويره</t>
  </si>
  <si>
    <t xml:space="preserve">مركز الصويرة</t>
  </si>
  <si>
    <t xml:space="preserve">Al-Zubaidiya city center</t>
  </si>
  <si>
    <t xml:space="preserve">مركز الزبيدية</t>
  </si>
  <si>
    <t xml:space="preserve">Hai Al-Askari-5 Dunam</t>
  </si>
  <si>
    <r>
      <rPr>
        <sz val="10"/>
        <color rgb="FF000000"/>
        <rFont val="Lohit Devanagari"/>
        <family val="2"/>
      </rPr>
      <t xml:space="preserve">حي العسكري</t>
    </r>
    <r>
      <rPr>
        <sz val="10"/>
        <color rgb="FF000000"/>
        <rFont val="Arial Narrow"/>
        <family val="2"/>
        <charset val="1"/>
      </rPr>
      <t xml:space="preserve">-5 </t>
    </r>
    <r>
      <rPr>
        <sz val="10"/>
        <color rgb="FF000000"/>
        <rFont val="Lohit Devanagari"/>
        <family val="2"/>
      </rPr>
      <t xml:space="preserve">دونم</t>
    </r>
  </si>
  <si>
    <t xml:space="preserve">Hay Al-Amer</t>
  </si>
  <si>
    <t xml:space="preserve">Hay Al-askary</t>
  </si>
  <si>
    <t xml:space="preserve">Hay Al-Furat</t>
  </si>
  <si>
    <t xml:space="preserve">Hay Al-Jameya</t>
  </si>
  <si>
    <t xml:space="preserve">Hay Al-Jihad</t>
  </si>
  <si>
    <t xml:space="preserve">Hay Al-Maghrib</t>
  </si>
  <si>
    <t xml:space="preserve">حي المغرب</t>
  </si>
  <si>
    <t xml:space="preserve">Qatae Dejla</t>
  </si>
  <si>
    <t xml:space="preserve">قطاع دجلة</t>
  </si>
  <si>
    <t xml:space="preserve">Badra</t>
  </si>
  <si>
    <t xml:space="preserve">Al-Akar Wil-Atriba village</t>
  </si>
  <si>
    <t xml:space="preserve">قرية العقر والأتربة</t>
  </si>
  <si>
    <t xml:space="preserve">Al-Shuhadaa Village</t>
  </si>
  <si>
    <t xml:space="preserve">قرية الشهداء</t>
  </si>
  <si>
    <t xml:space="preserve">Dahnok Village</t>
  </si>
  <si>
    <t xml:space="preserve">قرية دهنوك</t>
  </si>
  <si>
    <t xml:space="preserve">Hay Al-Imam Al-Hussein</t>
  </si>
  <si>
    <t xml:space="preserve">حي الأمام الحسين</t>
  </si>
  <si>
    <t xml:space="preserve">Jassan center</t>
  </si>
  <si>
    <t xml:space="preserve">مركز جصان</t>
  </si>
  <si>
    <t xml:space="preserve">Kut</t>
  </si>
  <si>
    <t xml:space="preserve">Al Batar village</t>
  </si>
  <si>
    <t xml:space="preserve">قرية البتار</t>
  </si>
  <si>
    <t xml:space="preserve">Al Dujily-Al zahraa</t>
  </si>
  <si>
    <r>
      <rPr>
        <sz val="10"/>
        <color rgb="FF000000"/>
        <rFont val="Lohit Devanagari"/>
        <family val="2"/>
      </rPr>
      <t xml:space="preserve">الدجيلي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الزهراء</t>
    </r>
  </si>
  <si>
    <t xml:space="preserve">Al Gardhia</t>
  </si>
  <si>
    <t xml:space="preserve">الكارضية</t>
  </si>
  <si>
    <t xml:space="preserve">Al Hakeem Al-Khdhra</t>
  </si>
  <si>
    <t xml:space="preserve">الحكيم الخضراء</t>
  </si>
  <si>
    <t xml:space="preserve">Al Hakeem Al-Thania</t>
  </si>
  <si>
    <t xml:space="preserve">الحكيم الثانيه</t>
  </si>
  <si>
    <t xml:space="preserve">Al Hakeem Al-Ula</t>
  </si>
  <si>
    <t xml:space="preserve">الحكيم الأولى</t>
  </si>
  <si>
    <t xml:space="preserve">Al Hasan Al Askari</t>
  </si>
  <si>
    <t xml:space="preserve">الحسن العسكري</t>
  </si>
  <si>
    <t xml:space="preserve">Al Hindiyah</t>
  </si>
  <si>
    <t xml:space="preserve">الهندية</t>
  </si>
  <si>
    <t xml:space="preserve">Al Hoqoqein</t>
  </si>
  <si>
    <t xml:space="preserve">الحقوقيين</t>
  </si>
  <si>
    <t xml:space="preserve">Al Maimoon</t>
  </si>
  <si>
    <t xml:space="preserve">الميمون</t>
  </si>
  <si>
    <t xml:space="preserve">Al Mantaqa Al qadima</t>
  </si>
  <si>
    <t xml:space="preserve">المنطقة القديمة</t>
  </si>
  <si>
    <t xml:space="preserve">Al Muhandseen-Al Amarat Al Sakaniyah</t>
  </si>
  <si>
    <r>
      <rPr>
        <sz val="10"/>
        <color rgb="FF000000"/>
        <rFont val="Lohit Devanagari"/>
        <family val="2"/>
      </rPr>
      <t xml:space="preserve">المهندسين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العمارات السكنية</t>
    </r>
  </si>
  <si>
    <t xml:space="preserve">Al Nahalat</t>
  </si>
  <si>
    <t xml:space="preserve">النحالات</t>
  </si>
  <si>
    <t xml:space="preserve">Al Uroba 1</t>
  </si>
  <si>
    <t xml:space="preserve">العروبة الاولى</t>
  </si>
  <si>
    <t xml:space="preserve">Al-Ansar Village</t>
  </si>
  <si>
    <t xml:space="preserve">قرية الأنصار</t>
  </si>
  <si>
    <t xml:space="preserve">Al-Badreya village</t>
  </si>
  <si>
    <t xml:space="preserve">قرية البدرية</t>
  </si>
  <si>
    <t xml:space="preserve">Al-chabab</t>
  </si>
  <si>
    <t xml:space="preserve">قرية الجباب</t>
  </si>
  <si>
    <t xml:space="preserve">Al-Dujaily-Al-Zahra 1</t>
  </si>
  <si>
    <r>
      <rPr>
        <sz val="10"/>
        <color rgb="FF000000"/>
        <rFont val="Lohit Devanagari"/>
        <family val="2"/>
      </rPr>
      <t xml:space="preserve">الدجيلي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الزهراء الأولى</t>
    </r>
  </si>
  <si>
    <t xml:space="preserve">Al-Eza Al-Jadida</t>
  </si>
  <si>
    <t xml:space="preserve">العزة الجديدة</t>
  </si>
  <si>
    <t xml:space="preserve">Al-Eza Al-Qadima</t>
  </si>
  <si>
    <t xml:space="preserve">العزة القديمة</t>
  </si>
  <si>
    <t xml:space="preserve">Al-Hassan Al-Askari Al-Thania</t>
  </si>
  <si>
    <t xml:space="preserve">الحسن العسكري الثانيه</t>
  </si>
  <si>
    <t xml:space="preserve">Al-Jihad Al-Zahraa</t>
  </si>
  <si>
    <t xml:space="preserve">الجهاد الزهراء</t>
  </si>
  <si>
    <t xml:space="preserve">Al-Jihad-Al Shaheed Dawood</t>
  </si>
  <si>
    <r>
      <rPr>
        <sz val="10"/>
        <color rgb="FF000000"/>
        <rFont val="Lohit Devanagari"/>
        <family val="2"/>
      </rPr>
      <t xml:space="preserve">الجهاد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الشهيد داود</t>
    </r>
  </si>
  <si>
    <t xml:space="preserve">Al-Jihad-Al Thaqalain</t>
  </si>
  <si>
    <r>
      <rPr>
        <sz val="10"/>
        <color rgb="FF000000"/>
        <rFont val="Lohit Devanagari"/>
        <family val="2"/>
      </rPr>
      <t xml:space="preserve">الجهاد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الثقلين</t>
    </r>
  </si>
  <si>
    <t xml:space="preserve">Al-Jihad-Al-Sajad</t>
  </si>
  <si>
    <r>
      <rPr>
        <sz val="10"/>
        <color rgb="FF000000"/>
        <rFont val="Lohit Devanagari"/>
        <family val="2"/>
      </rPr>
      <t xml:space="preserve">الجهاد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السجاد</t>
    </r>
  </si>
  <si>
    <t xml:space="preserve">Al-Jihad-Al-Zanabra</t>
  </si>
  <si>
    <r>
      <rPr>
        <sz val="10"/>
        <color rgb="FF000000"/>
        <rFont val="Lohit Devanagari"/>
        <family val="2"/>
      </rPr>
      <t xml:space="preserve">الجهاد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الزنابرة</t>
    </r>
  </si>
  <si>
    <t xml:space="preserve">Al-Oroba 2</t>
  </si>
  <si>
    <t xml:space="preserve">العروبة الثانية</t>
  </si>
  <si>
    <t xml:space="preserve">Al-Oroba-Hay Al-Ansar</t>
  </si>
  <si>
    <t xml:space="preserve">العروبة حي الانصار</t>
  </si>
  <si>
    <t xml:space="preserve">Al-Sebtain W Al-Maamel</t>
  </si>
  <si>
    <t xml:space="preserve">السبطين والمعامل</t>
  </si>
  <si>
    <t xml:space="preserve">Al-Shuhadaa 3</t>
  </si>
  <si>
    <t xml:space="preserve">الشهداء الثالثة</t>
  </si>
  <si>
    <t xml:space="preserve">Al-Shuhadaa 4</t>
  </si>
  <si>
    <t xml:space="preserve">الشهداء الرابعة</t>
  </si>
  <si>
    <t xml:space="preserve">Al-Umarat-Al-Mutamaizeen</t>
  </si>
  <si>
    <t xml:space="preserve">العمارات المتميزين</t>
  </si>
  <si>
    <t xml:space="preserve">Al-Wafdin Al-Sadrain</t>
  </si>
  <si>
    <t xml:space="preserve">الوافدين الصدرين</t>
  </si>
  <si>
    <t xml:space="preserve">Al-Zahra 2</t>
  </si>
  <si>
    <t xml:space="preserve">الزهراء الثانية</t>
  </si>
  <si>
    <t xml:space="preserve">Al-Zahra Al-Karavanat</t>
  </si>
  <si>
    <t xml:space="preserve">الزهراء الكرفانات</t>
  </si>
  <si>
    <t xml:space="preserve">Anwar Al Sadur</t>
  </si>
  <si>
    <t xml:space="preserve">انوار الصدر</t>
  </si>
  <si>
    <t xml:space="preserve">Anwar Al Sadur-Al-Ghader</t>
  </si>
  <si>
    <r>
      <rPr>
        <sz val="10"/>
        <color rgb="FF000000"/>
        <rFont val="Lohit Devanagari"/>
        <family val="2"/>
      </rPr>
      <t xml:space="preserve">انوار الصدر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الغدير</t>
    </r>
  </si>
  <si>
    <t xml:space="preserve">Damook 150</t>
  </si>
  <si>
    <r>
      <rPr>
        <sz val="10"/>
        <color rgb="FF000000"/>
        <rFont val="Lohit Devanagari"/>
        <family val="2"/>
      </rPr>
      <t xml:space="preserve">داموك </t>
    </r>
    <r>
      <rPr>
        <sz val="10"/>
        <color rgb="FF000000"/>
        <rFont val="Arial Narrow"/>
        <family val="2"/>
        <charset val="1"/>
      </rPr>
      <t xml:space="preserve">150</t>
    </r>
  </si>
  <si>
    <t xml:space="preserve">Damook Al-Dhbat</t>
  </si>
  <si>
    <t xml:space="preserve">داموك الضباط</t>
  </si>
  <si>
    <t xml:space="preserve">Damook-Al-Hurriya</t>
  </si>
  <si>
    <t xml:space="preserve">داموك الحرية</t>
  </si>
  <si>
    <t xml:space="preserve">Door al-Umal</t>
  </si>
  <si>
    <t xml:space="preserve">دور العمال</t>
  </si>
  <si>
    <t xml:space="preserve">Hay Al Jawadeen Al-Thalitha</t>
  </si>
  <si>
    <t xml:space="preserve">حي الجوادين الثالثه</t>
  </si>
  <si>
    <t xml:space="preserve">Hay Al Jawadeen Al-Ula</t>
  </si>
  <si>
    <t xml:space="preserve">حي الجوادين الاولى</t>
  </si>
  <si>
    <t xml:space="preserve">Hay Al Wehda</t>
  </si>
  <si>
    <t xml:space="preserve">Hay Al Zahraa 1</t>
  </si>
  <si>
    <t xml:space="preserve">الزهراء الاولى</t>
  </si>
  <si>
    <t xml:space="preserve">Hay Al-Abassya</t>
  </si>
  <si>
    <t xml:space="preserve">حي العباسية</t>
  </si>
  <si>
    <t xml:space="preserve">Hay Al-Emam Ali-2</t>
  </si>
  <si>
    <t xml:space="preserve">حي الامام علي الثانيه</t>
  </si>
  <si>
    <t xml:space="preserve">Hay Al-Hawaraa 3</t>
  </si>
  <si>
    <t xml:space="preserve">حي الحوراء الثالثة</t>
  </si>
  <si>
    <t xml:space="preserve">Hay Al-Kadhraa</t>
  </si>
  <si>
    <t xml:space="preserve">Hay Al-khawarnaq</t>
  </si>
  <si>
    <t xml:space="preserve">حي الخورنق</t>
  </si>
  <si>
    <t xml:space="preserve">Hay al-mualimen</t>
  </si>
  <si>
    <t xml:space="preserve">Hay al-zahraa</t>
  </si>
  <si>
    <t xml:space="preserve">Hay Askari-1</t>
  </si>
  <si>
    <t xml:space="preserve">Khajia –Hay Al Rassol</t>
  </si>
  <si>
    <t xml:space="preserve">الخاجية حي الرسول</t>
  </si>
  <si>
    <t xml:space="preserve">Said Naji village</t>
  </si>
  <si>
    <t xml:space="preserve">قرية سيد ناجي</t>
  </si>
  <si>
    <t xml:space="preserve">Sewada Said Shati</t>
  </si>
  <si>
    <t xml:space="preserve">سوادة وسيد شاطي</t>
  </si>
  <si>
    <t xml:space="preserve">Sewada-Al-Baydhaa village</t>
  </si>
  <si>
    <r>
      <rPr>
        <sz val="10"/>
        <color rgb="FF000000"/>
        <rFont val="Lohit Devanagari"/>
        <family val="2"/>
      </rPr>
      <t xml:space="preserve">السوادة</t>
    </r>
    <r>
      <rPr>
        <sz val="10"/>
        <color rgb="FF000000"/>
        <rFont val="Arial Narrow"/>
        <family val="2"/>
        <charset val="1"/>
      </rPr>
      <t xml:space="preserve">-</t>
    </r>
    <r>
      <rPr>
        <sz val="10"/>
        <color rgb="FF000000"/>
        <rFont val="Lohit Devanagari"/>
        <family val="2"/>
      </rPr>
      <t xml:space="preserve">قرية البيضاء</t>
    </r>
  </si>
  <si>
    <t xml:space="preserve">Shaikh Saad</t>
  </si>
  <si>
    <t xml:space="preserve">شيخ سعد</t>
  </si>
  <si>
    <t xml:space="preserve">Technical Institute</t>
  </si>
  <si>
    <t xml:space="preserve">معهد فني </t>
  </si>
  <si>
    <t xml:space="preserve">Um Hulail Village</t>
  </si>
  <si>
    <t xml:space="preserve">ام هليل</t>
  </si>
  <si>
    <t xml:space="preserve">Summary</t>
  </si>
  <si>
    <t xml:space="preserve"># Locations</t>
  </si>
  <si>
    <t xml:space="preserve">IDP Families </t>
  </si>
  <si>
    <t xml:space="preserve">IDP Individuals</t>
  </si>
  <si>
    <t xml:space="preserve">%</t>
  </si>
  <si>
    <t xml:space="preserve">#Districts</t>
  </si>
  <si>
    <t xml:space="preserve">#Locations</t>
  </si>
  <si>
    <t xml:space="preserve">#IDP Families</t>
  </si>
  <si>
    <t xml:space="preserve">#Individuals</t>
  </si>
  <si>
    <t xml:space="preserve">Post Mar2016</t>
  </si>
  <si>
    <t xml:space="preserve">Post 17Oct 2016</t>
  </si>
  <si>
    <t xml:space="preserve">Shelter Type</t>
  </si>
  <si>
    <t xml:space="preserve">Governorate of displacement</t>
  </si>
  <si>
    <t xml:space="preserve">Total</t>
  </si>
  <si>
    <t xml:space="preserve">    Total</t>
  </si>
  <si>
    <t xml:space="preserve">Post March16 </t>
  </si>
  <si>
    <t xml:space="preserve">Post
 October 16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</si>
</sst>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#"/>
    <numFmt numFmtId="167" formatCode="#,##0.00%"/>
    <numFmt numFmtId="168" formatCode="#,##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8"/>
      <color rgb="FF4682B4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0"/>
      <color rgb="FF000000"/>
      <name val="Lohit Devanagari"/>
      <family val="2"/>
    </font>
    <font>
      <u val="single"/>
      <sz val="10"/>
      <color rgb="FF0070C0"/>
      <name val="Arial Narrow"/>
      <family val="2"/>
      <charset val="1"/>
    </font>
    <font>
      <b val="true"/>
      <sz val="10"/>
      <color rgb="FF000000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800000"/>
        <bgColor rgb="FF800000"/>
      </patternFill>
    </fill>
    <fill>
      <patternFill patternType="solid">
        <fgColor rgb="FF92D050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/>
      <diagonal/>
    </border>
    <border diagonalUp="false" diagonalDown="false">
      <left/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3D3D3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  <cellStyle name="Normal 4" xfId="23" builtinId="53" customBuiltin="true"/>
    <cellStyle name="Normal 5" xfId="24" builtinId="53" customBuiltin="true"/>
    <cellStyle name="Normal 6" xfId="25" builtinId="53" customBuiltin="true"/>
    <cellStyle name="Style 1" xfId="26" builtinId="53" customBuiltin="true"/>
    <cellStyle name="Style 3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665"/>
  <sheetViews>
    <sheetView windowProtection="false" showFormulas="false" showGridLines="fals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" min="1" style="0" width="11.2040816326531"/>
    <col collapsed="false" hidden="false" max="2" min="2" style="0" width="14.5816326530612"/>
    <col collapsed="false" hidden="false" max="3" min="3" style="0" width="12.4183673469388"/>
    <col collapsed="false" hidden="false" max="4" min="4" style="0" width="19.1683673469388"/>
    <col collapsed="false" hidden="false" max="5" min="5" style="0" width="18.6275510204082"/>
    <col collapsed="false" hidden="false" max="6" min="6" style="0" width="11.6071428571429"/>
    <col collapsed="false" hidden="false" max="7" min="7" style="0" width="13.2295918367347"/>
    <col collapsed="false" hidden="false" max="8" min="8" style="0" width="11.4744897959184"/>
    <col collapsed="false" hidden="false" max="9" min="9" style="0" width="13.7704081632653"/>
    <col collapsed="false" hidden="false" max="10" min="10" style="0" width="9.85204081632653"/>
    <col collapsed="false" hidden="false" max="11" min="11" style="0" width="11.6071428571429"/>
    <col collapsed="false" hidden="false" max="12" min="12" style="0" width="12.2857142857143"/>
    <col collapsed="false" hidden="false" max="13" min="13" style="0" width="10.6632653061225"/>
    <col collapsed="false" hidden="false" max="14" min="14" style="0" width="10.2602040816327"/>
    <col collapsed="false" hidden="false" max="15" min="15" style="0" width="9.98979591836735"/>
    <col collapsed="false" hidden="false" max="16" min="16" style="0" width="8.77551020408163"/>
    <col collapsed="false" hidden="false" max="17" min="17" style="0" width="11.0714285714286"/>
    <col collapsed="false" hidden="false" max="18" min="18" style="0" width="10.2602040816327"/>
    <col collapsed="false" hidden="false" max="19" min="19" style="0" width="10.6632653061225"/>
    <col collapsed="false" hidden="false" max="20" min="20" style="0" width="12.9591836734694"/>
    <col collapsed="false" hidden="false" max="21" min="21" style="0" width="9.31632653061224"/>
    <col collapsed="false" hidden="false" max="22" min="22" style="0" width="10.8010204081633"/>
    <col collapsed="false" hidden="false" max="23" min="23" style="0" width="12.6887755102041"/>
    <col collapsed="false" hidden="false" max="24" min="24" style="0" width="14.4438775510204"/>
    <col collapsed="false" hidden="false" max="25" min="25" style="0" width="14.8469387755102"/>
    <col collapsed="false" hidden="false" max="26" min="26" style="0" width="10.8010204081633"/>
    <col collapsed="false" hidden="false" max="27" min="27" style="0" width="10.530612244898"/>
    <col collapsed="false" hidden="false" max="28" min="28" style="0" width="9.71938775510204"/>
    <col collapsed="false" hidden="false" max="29" min="29" style="0" width="11.0714285714286"/>
    <col collapsed="false" hidden="false" max="30" min="30" style="0" width="13.9030612244898"/>
    <col collapsed="false" hidden="false" max="31" min="31" style="0" width="14.0408163265306"/>
    <col collapsed="false" hidden="false" max="32" min="32" style="0" width="14.1734693877551"/>
    <col collapsed="false" hidden="false" max="33" min="33" style="0" width="12.9591836734694"/>
    <col collapsed="false" hidden="false" max="34" min="34" style="0" width="11.2040816326531"/>
    <col collapsed="false" hidden="false" max="35" min="35" style="0" width="11.6071428571429"/>
    <col collapsed="false" hidden="false" max="36" min="36" style="0" width="22.0051020408163"/>
    <col collapsed="false" hidden="false" max="38" min="37" style="0" width="14.1734693877551"/>
    <col collapsed="false" hidden="false" max="39" min="39" style="0" width="14.7142857142857"/>
    <col collapsed="false" hidden="false" max="40" min="40" style="0" width="12.9591836734694"/>
    <col collapsed="false" hidden="false" max="41" min="41" style="0" width="19.5714285714286"/>
    <col collapsed="false" hidden="false" max="42" min="42" style="0" width="14.7142857142857"/>
    <col collapsed="false" hidden="false" max="44" min="43" style="1" width="14.7142857142857"/>
    <col collapsed="false" hidden="false" max="45" min="45" style="0" width="13.5"/>
    <col collapsed="false" hidden="false" max="46" min="46" style="0" width="11.2040816326531"/>
    <col collapsed="false" hidden="false" max="47" min="47" style="0" width="12.5561224489796"/>
    <col collapsed="false" hidden="false" max="1025" min="48" style="0" width="8.50510204081633"/>
  </cols>
  <sheetData>
    <row r="1" customFormat="false" ht="25.9" hidden="false" customHeight="true" outlineLevel="0" collapsed="false">
      <c r="A1" s="2" t="s">
        <v>0</v>
      </c>
      <c r="B1" s="2"/>
      <c r="C1" s="2"/>
      <c r="D1" s="2"/>
      <c r="E1" s="2"/>
      <c r="AQ1" s="0"/>
      <c r="AR1" s="0"/>
    </row>
    <row r="2" customFormat="false" ht="10.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0"/>
      <c r="AR2" s="0"/>
    </row>
    <row r="3" customFormat="false" ht="1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4"/>
      <c r="I3" s="4"/>
      <c r="J3" s="5" t="s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 t="s">
        <v>3</v>
      </c>
      <c r="AC3" s="6"/>
      <c r="AD3" s="6"/>
      <c r="AE3" s="6"/>
      <c r="AF3" s="6"/>
      <c r="AG3" s="6"/>
      <c r="AH3" s="6"/>
      <c r="AI3" s="6"/>
      <c r="AJ3" s="6"/>
      <c r="AK3" s="6"/>
      <c r="AL3" s="7" t="s">
        <v>4</v>
      </c>
      <c r="AM3" s="7"/>
      <c r="AN3" s="7"/>
      <c r="AO3" s="7"/>
      <c r="AP3" s="7"/>
      <c r="AQ3" s="7"/>
      <c r="AR3" s="8"/>
      <c r="AS3" s="9" t="s">
        <v>5</v>
      </c>
      <c r="AT3" s="9"/>
      <c r="AU3" s="9"/>
      <c r="AV3" s="1"/>
    </row>
    <row r="4" customFormat="false" ht="30.75" hidden="false" customHeight="tru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10" t="s">
        <v>13</v>
      </c>
      <c r="I4" s="10" t="s">
        <v>14</v>
      </c>
      <c r="J4" s="11" t="s">
        <v>15</v>
      </c>
      <c r="K4" s="11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11" t="s">
        <v>25</v>
      </c>
      <c r="U4" s="11" t="s">
        <v>26</v>
      </c>
      <c r="V4" s="11" t="s">
        <v>27</v>
      </c>
      <c r="W4" s="11" t="s">
        <v>28</v>
      </c>
      <c r="X4" s="11" t="s">
        <v>29</v>
      </c>
      <c r="Y4" s="11" t="s">
        <v>30</v>
      </c>
      <c r="Z4" s="11" t="s">
        <v>31</v>
      </c>
      <c r="AA4" s="11" t="s">
        <v>32</v>
      </c>
      <c r="AB4" s="12" t="s">
        <v>33</v>
      </c>
      <c r="AC4" s="12" t="s">
        <v>34</v>
      </c>
      <c r="AD4" s="12" t="s">
        <v>35</v>
      </c>
      <c r="AE4" s="12" t="s">
        <v>36</v>
      </c>
      <c r="AF4" s="12" t="s">
        <v>37</v>
      </c>
      <c r="AG4" s="12" t="s">
        <v>38</v>
      </c>
      <c r="AH4" s="12" t="s">
        <v>39</v>
      </c>
      <c r="AI4" s="12" t="s">
        <v>40</v>
      </c>
      <c r="AJ4" s="12" t="s">
        <v>41</v>
      </c>
      <c r="AK4" s="12" t="s">
        <v>42</v>
      </c>
      <c r="AL4" s="13" t="s">
        <v>43</v>
      </c>
      <c r="AM4" s="13" t="s">
        <v>44</v>
      </c>
      <c r="AN4" s="13" t="s">
        <v>45</v>
      </c>
      <c r="AO4" s="13" t="s">
        <v>46</v>
      </c>
      <c r="AP4" s="13" t="s">
        <v>47</v>
      </c>
      <c r="AQ4" s="13" t="s">
        <v>48</v>
      </c>
      <c r="AR4" s="13" t="s">
        <v>49</v>
      </c>
      <c r="AS4" s="14" t="s">
        <v>50</v>
      </c>
      <c r="AT4" s="14" t="s">
        <v>51</v>
      </c>
      <c r="AU4" s="14" t="s">
        <v>52</v>
      </c>
      <c r="AV4" s="1"/>
    </row>
    <row r="5" customFormat="false" ht="15" hidden="false" customHeight="true" outlineLevel="0" collapsed="false">
      <c r="A5" s="15" t="n">
        <v>23647</v>
      </c>
      <c r="B5" s="16" t="s">
        <v>15</v>
      </c>
      <c r="C5" s="16" t="s">
        <v>53</v>
      </c>
      <c r="D5" s="16" t="s">
        <v>54</v>
      </c>
      <c r="E5" s="17" t="s">
        <v>55</v>
      </c>
      <c r="F5" s="16" t="n">
        <v>34.421411</v>
      </c>
      <c r="G5" s="16" t="n">
        <v>41.202051</v>
      </c>
      <c r="H5" s="18" t="n">
        <v>161</v>
      </c>
      <c r="I5" s="18" t="n">
        <v>966</v>
      </c>
      <c r="J5" s="19" t="n">
        <v>161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n">
        <v>35</v>
      </c>
      <c r="AD5" s="19"/>
      <c r="AE5" s="19" t="n">
        <v>17</v>
      </c>
      <c r="AF5" s="19"/>
      <c r="AG5" s="19"/>
      <c r="AH5" s="19" t="n">
        <v>67</v>
      </c>
      <c r="AI5" s="19" t="n">
        <v>14</v>
      </c>
      <c r="AJ5" s="19" t="n">
        <v>28</v>
      </c>
      <c r="AK5" s="19"/>
      <c r="AL5" s="19" t="n">
        <v>161</v>
      </c>
      <c r="AM5" s="19"/>
      <c r="AN5" s="19"/>
      <c r="AO5" s="19"/>
      <c r="AP5" s="19"/>
      <c r="AQ5" s="19"/>
      <c r="AR5" s="19"/>
      <c r="AS5" s="20" t="str">
        <f aca="false">HYPERLINK("http://www.openstreetmap.org/?mlat=34.4214&amp;mlon=41.2021&amp;zoom=12#map=12/34.4214/41.2021","Maplink1")</f>
        <v>Maplink1</v>
      </c>
      <c r="AT5" s="20" t="str">
        <f aca="false">HYPERLINK("https://www.google.iq/maps/search/+34.4214,41.2021/@34.4214,41.2021,14z?hl=en","Maplink2")</f>
        <v>Maplink2</v>
      </c>
      <c r="AU5" s="20" t="str">
        <f aca="false">HYPERLINK("http://www.bing.com/maps/?lvl=14&amp;sty=h&amp;cp=34.4214~41.2021&amp;sp=point.34.4214_41.2021","Maplink3")</f>
        <v>Maplink3</v>
      </c>
      <c r="AV5" s="1"/>
    </row>
    <row r="6" customFormat="false" ht="15" hidden="false" customHeight="true" outlineLevel="0" collapsed="false">
      <c r="A6" s="15" t="n">
        <v>23791</v>
      </c>
      <c r="B6" s="16" t="s">
        <v>15</v>
      </c>
      <c r="C6" s="16" t="s">
        <v>53</v>
      </c>
      <c r="D6" s="16" t="s">
        <v>56</v>
      </c>
      <c r="E6" s="17" t="s">
        <v>57</v>
      </c>
      <c r="F6" s="16" t="n">
        <v>34.372736</v>
      </c>
      <c r="G6" s="16" t="n">
        <v>41.057071</v>
      </c>
      <c r="H6" s="18" t="n">
        <v>60</v>
      </c>
      <c r="I6" s="18" t="n">
        <v>360</v>
      </c>
      <c r="J6" s="19" t="n">
        <v>60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n">
        <v>24</v>
      </c>
      <c r="AD6" s="19"/>
      <c r="AE6" s="19"/>
      <c r="AF6" s="19"/>
      <c r="AG6" s="19"/>
      <c r="AH6" s="19" t="n">
        <v>36</v>
      </c>
      <c r="AI6" s="19"/>
      <c r="AJ6" s="19"/>
      <c r="AK6" s="19"/>
      <c r="AL6" s="19" t="n">
        <v>55</v>
      </c>
      <c r="AM6" s="19"/>
      <c r="AN6" s="19"/>
      <c r="AO6" s="19" t="n">
        <v>5</v>
      </c>
      <c r="AP6" s="19"/>
      <c r="AQ6" s="19"/>
      <c r="AR6" s="19"/>
      <c r="AS6" s="20" t="str">
        <f aca="false">HYPERLINK("http://www.openstreetmap.org/?mlat=34.3727&amp;mlon=41.0571&amp;zoom=12#map=12/34.3727/41.0571","Maplink1")</f>
        <v>Maplink1</v>
      </c>
      <c r="AT6" s="20" t="str">
        <f aca="false">HYPERLINK("https://www.google.iq/maps/search/+34.3727,41.0571/@34.3727,41.0571,14z?hl=en","Maplink2")</f>
        <v>Maplink2</v>
      </c>
      <c r="AU6" s="20" t="str">
        <f aca="false">HYPERLINK("http://www.bing.com/maps/?lvl=14&amp;sty=h&amp;cp=34.3727~41.0571&amp;sp=point.34.3727_41.0571","Maplink3")</f>
        <v>Maplink3</v>
      </c>
      <c r="AV6" s="1"/>
    </row>
    <row r="7" customFormat="false" ht="15" hidden="false" customHeight="true" outlineLevel="0" collapsed="false">
      <c r="A7" s="15" t="n">
        <v>23795</v>
      </c>
      <c r="B7" s="16" t="s">
        <v>15</v>
      </c>
      <c r="C7" s="16" t="s">
        <v>53</v>
      </c>
      <c r="D7" s="16" t="s">
        <v>58</v>
      </c>
      <c r="E7" s="17" t="s">
        <v>59</v>
      </c>
      <c r="F7" s="16" t="n">
        <v>34.416826</v>
      </c>
      <c r="G7" s="16" t="n">
        <v>41.04717</v>
      </c>
      <c r="H7" s="18" t="n">
        <v>67</v>
      </c>
      <c r="I7" s="18" t="n">
        <v>402</v>
      </c>
      <c r="J7" s="19" t="n">
        <v>67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 t="n">
        <v>30</v>
      </c>
      <c r="AD7" s="19"/>
      <c r="AE7" s="19"/>
      <c r="AF7" s="19"/>
      <c r="AG7" s="19"/>
      <c r="AH7" s="19" t="n">
        <v>37</v>
      </c>
      <c r="AI7" s="19"/>
      <c r="AJ7" s="19"/>
      <c r="AK7" s="19"/>
      <c r="AL7" s="19" t="n">
        <v>59</v>
      </c>
      <c r="AM7" s="19"/>
      <c r="AN7" s="19"/>
      <c r="AO7" s="19" t="n">
        <v>8</v>
      </c>
      <c r="AP7" s="19"/>
      <c r="AQ7" s="19"/>
      <c r="AR7" s="19"/>
      <c r="AS7" s="20" t="str">
        <f aca="false">HYPERLINK("http://www.openstreetmap.org/?mlat=34.4168&amp;mlon=41.0472&amp;zoom=12#map=12/34.4168/41.0472","Maplink1")</f>
        <v>Maplink1</v>
      </c>
      <c r="AT7" s="20" t="str">
        <f aca="false">HYPERLINK("https://www.google.iq/maps/search/+34.4168,41.0472/@34.4168,41.0472,14z?hl=en","Maplink2")</f>
        <v>Maplink2</v>
      </c>
      <c r="AU7" s="20" t="str">
        <f aca="false">HYPERLINK("http://www.bing.com/maps/?lvl=14&amp;sty=h&amp;cp=34.4168~41.0472&amp;sp=point.34.4168_41.0472","Maplink3")</f>
        <v>Maplink3</v>
      </c>
      <c r="AV7" s="1"/>
    </row>
    <row r="8" customFormat="false" ht="15" hidden="false" customHeight="true" outlineLevel="0" collapsed="false">
      <c r="A8" s="15" t="n">
        <v>23796</v>
      </c>
      <c r="B8" s="16" t="s">
        <v>15</v>
      </c>
      <c r="C8" s="16" t="s">
        <v>53</v>
      </c>
      <c r="D8" s="16" t="s">
        <v>60</v>
      </c>
      <c r="E8" s="17" t="s">
        <v>61</v>
      </c>
      <c r="F8" s="16" t="n">
        <v>34.398681</v>
      </c>
      <c r="G8" s="16" t="n">
        <v>41.098951</v>
      </c>
      <c r="H8" s="18" t="n">
        <v>79</v>
      </c>
      <c r="I8" s="18" t="n">
        <v>474</v>
      </c>
      <c r="J8" s="19" t="n">
        <v>79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n">
        <v>34</v>
      </c>
      <c r="AD8" s="19"/>
      <c r="AE8" s="19"/>
      <c r="AF8" s="19"/>
      <c r="AG8" s="19"/>
      <c r="AH8" s="19" t="n">
        <v>32</v>
      </c>
      <c r="AI8" s="19"/>
      <c r="AJ8" s="19" t="n">
        <v>13</v>
      </c>
      <c r="AK8" s="19"/>
      <c r="AL8" s="19" t="n">
        <v>72</v>
      </c>
      <c r="AM8" s="19"/>
      <c r="AN8" s="19"/>
      <c r="AO8" s="19" t="n">
        <v>7</v>
      </c>
      <c r="AP8" s="19"/>
      <c r="AQ8" s="19"/>
      <c r="AR8" s="19"/>
      <c r="AS8" s="20" t="str">
        <f aca="false">HYPERLINK("http://www.openstreetmap.org/?mlat=34.3987&amp;mlon=41.099&amp;zoom=12#map=12/34.3987/41.099","Maplink1")</f>
        <v>Maplink1</v>
      </c>
      <c r="AT8" s="20" t="str">
        <f aca="false">HYPERLINK("https://www.google.iq/maps/search/+34.3987,41.099/@34.3987,41.099,14z?hl=en","Maplink2")</f>
        <v>Maplink2</v>
      </c>
      <c r="AU8" s="20" t="str">
        <f aca="false">HYPERLINK("http://www.bing.com/maps/?lvl=14&amp;sty=h&amp;cp=34.3987~41.099&amp;sp=point.34.3987_41.099","Maplink3")</f>
        <v>Maplink3</v>
      </c>
      <c r="AV8" s="1"/>
    </row>
    <row r="9" customFormat="false" ht="15" hidden="false" customHeight="true" outlineLevel="0" collapsed="false">
      <c r="A9" s="15" t="n">
        <v>90</v>
      </c>
      <c r="B9" s="16" t="s">
        <v>15</v>
      </c>
      <c r="C9" s="16" t="s">
        <v>53</v>
      </c>
      <c r="D9" s="16" t="s">
        <v>62</v>
      </c>
      <c r="E9" s="17" t="s">
        <v>63</v>
      </c>
      <c r="F9" s="16" t="n">
        <v>34.433344</v>
      </c>
      <c r="G9" s="16" t="n">
        <v>41.225392</v>
      </c>
      <c r="H9" s="18" t="n">
        <v>166</v>
      </c>
      <c r="I9" s="18" t="n">
        <v>996</v>
      </c>
      <c r="J9" s="19" t="n">
        <v>166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 t="n">
        <v>83</v>
      </c>
      <c r="AD9" s="19"/>
      <c r="AE9" s="19" t="n">
        <v>12</v>
      </c>
      <c r="AF9" s="19"/>
      <c r="AG9" s="19"/>
      <c r="AH9" s="19" t="n">
        <v>71</v>
      </c>
      <c r="AI9" s="19"/>
      <c r="AJ9" s="19"/>
      <c r="AK9" s="19"/>
      <c r="AL9" s="19" t="n">
        <v>154</v>
      </c>
      <c r="AM9" s="19"/>
      <c r="AN9" s="19"/>
      <c r="AO9" s="19" t="n">
        <v>12</v>
      </c>
      <c r="AP9" s="19"/>
      <c r="AQ9" s="19"/>
      <c r="AR9" s="19"/>
      <c r="AS9" s="20" t="str">
        <f aca="false">HYPERLINK("http://www.openstreetmap.org/?mlat=34.4333&amp;mlon=41.2254&amp;zoom=12#map=12/34.4333/41.2254","Maplink1")</f>
        <v>Maplink1</v>
      </c>
      <c r="AT9" s="20" t="str">
        <f aca="false">HYPERLINK("https://www.google.iq/maps/search/+34.4333,41.2254/@34.4333,41.2254,14z?hl=en","Maplink2")</f>
        <v>Maplink2</v>
      </c>
      <c r="AU9" s="20" t="str">
        <f aca="false">HYPERLINK("http://www.bing.com/maps/?lvl=14&amp;sty=h&amp;cp=34.4333~41.2254&amp;sp=point.34.4333_41.2254","Maplink3")</f>
        <v>Maplink3</v>
      </c>
      <c r="AV9" s="1"/>
    </row>
    <row r="10" customFormat="false" ht="15" hidden="false" customHeight="true" outlineLevel="0" collapsed="false">
      <c r="A10" s="15" t="n">
        <v>23797</v>
      </c>
      <c r="B10" s="16" t="s">
        <v>15</v>
      </c>
      <c r="C10" s="16" t="s">
        <v>53</v>
      </c>
      <c r="D10" s="16" t="s">
        <v>64</v>
      </c>
      <c r="E10" s="17" t="s">
        <v>65</v>
      </c>
      <c r="F10" s="16" t="n">
        <v>34.433783</v>
      </c>
      <c r="G10" s="16" t="n">
        <v>41.234615</v>
      </c>
      <c r="H10" s="18" t="n">
        <v>210</v>
      </c>
      <c r="I10" s="18" t="n">
        <v>1260</v>
      </c>
      <c r="J10" s="19" t="n">
        <v>210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n">
        <v>112</v>
      </c>
      <c r="AD10" s="19"/>
      <c r="AE10" s="19" t="n">
        <v>2</v>
      </c>
      <c r="AF10" s="19"/>
      <c r="AG10" s="19"/>
      <c r="AH10" s="19" t="n">
        <v>85</v>
      </c>
      <c r="AI10" s="19"/>
      <c r="AJ10" s="19" t="n">
        <v>11</v>
      </c>
      <c r="AK10" s="19"/>
      <c r="AL10" s="19" t="n">
        <v>210</v>
      </c>
      <c r="AM10" s="19"/>
      <c r="AN10" s="19"/>
      <c r="AO10" s="19"/>
      <c r="AP10" s="19"/>
      <c r="AQ10" s="19"/>
      <c r="AR10" s="19"/>
      <c r="AS10" s="20" t="str">
        <f aca="false">HYPERLINK("http://www.openstreetmap.org/?mlat=34.4338&amp;mlon=41.2346&amp;zoom=12#map=12/34.4338/41.2346","Maplink1")</f>
        <v>Maplink1</v>
      </c>
      <c r="AT10" s="20" t="str">
        <f aca="false">HYPERLINK("https://www.google.iq/maps/search/+34.4338,41.2346/@34.4338,41.2346,14z?hl=en","Maplink2")</f>
        <v>Maplink2</v>
      </c>
      <c r="AU10" s="20" t="str">
        <f aca="false">HYPERLINK("http://www.bing.com/maps/?lvl=14&amp;sty=h&amp;cp=34.4338~41.2346&amp;sp=point.34.4338_41.2346","Maplink3")</f>
        <v>Maplink3</v>
      </c>
      <c r="AV10" s="1"/>
    </row>
    <row r="11" customFormat="false" ht="15" hidden="false" customHeight="true" outlineLevel="0" collapsed="false">
      <c r="A11" s="15" t="n">
        <v>164</v>
      </c>
      <c r="B11" s="16" t="s">
        <v>15</v>
      </c>
      <c r="C11" s="16" t="s">
        <v>53</v>
      </c>
      <c r="D11" s="16" t="s">
        <v>66</v>
      </c>
      <c r="E11" s="17" t="s">
        <v>67</v>
      </c>
      <c r="F11" s="16" t="n">
        <v>34.437885</v>
      </c>
      <c r="G11" s="16" t="n">
        <v>41.232835</v>
      </c>
      <c r="H11" s="18" t="n">
        <v>123</v>
      </c>
      <c r="I11" s="18" t="n">
        <v>738</v>
      </c>
      <c r="J11" s="19" t="n">
        <v>123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n">
        <v>30</v>
      </c>
      <c r="AD11" s="19"/>
      <c r="AE11" s="19" t="n">
        <v>23</v>
      </c>
      <c r="AF11" s="19"/>
      <c r="AG11" s="19"/>
      <c r="AH11" s="19" t="n">
        <v>70</v>
      </c>
      <c r="AI11" s="19"/>
      <c r="AJ11" s="19"/>
      <c r="AK11" s="19"/>
      <c r="AL11" s="19" t="n">
        <v>123</v>
      </c>
      <c r="AM11" s="19"/>
      <c r="AN11" s="19"/>
      <c r="AO11" s="19"/>
      <c r="AP11" s="19"/>
      <c r="AQ11" s="19"/>
      <c r="AR11" s="19"/>
      <c r="AS11" s="20" t="str">
        <f aca="false">HYPERLINK("http://www.openstreetmap.org/?mlat=34.4379&amp;mlon=41.2328&amp;zoom=12#map=12/34.4379/41.2328","Maplink1")</f>
        <v>Maplink1</v>
      </c>
      <c r="AT11" s="20" t="str">
        <f aca="false">HYPERLINK("https://www.google.iq/maps/search/+34.4379,41.2328/@34.4379,41.2328,14z?hl=en","Maplink2")</f>
        <v>Maplink2</v>
      </c>
      <c r="AU11" s="20" t="str">
        <f aca="false">HYPERLINK("http://www.bing.com/maps/?lvl=14&amp;sty=h&amp;cp=34.4379~41.2328&amp;sp=point.34.4379_41.2328","Maplink3")</f>
        <v>Maplink3</v>
      </c>
      <c r="AV11" s="1"/>
    </row>
    <row r="12" customFormat="false" ht="15" hidden="false" customHeight="true" outlineLevel="0" collapsed="false">
      <c r="A12" s="15" t="n">
        <v>23798</v>
      </c>
      <c r="B12" s="16" t="s">
        <v>15</v>
      </c>
      <c r="C12" s="16" t="s">
        <v>53</v>
      </c>
      <c r="D12" s="16" t="s">
        <v>68</v>
      </c>
      <c r="E12" s="17" t="s">
        <v>69</v>
      </c>
      <c r="F12" s="16" t="n">
        <v>34.261988</v>
      </c>
      <c r="G12" s="16" t="n">
        <v>41.221688</v>
      </c>
      <c r="H12" s="18" t="n">
        <v>136</v>
      </c>
      <c r="I12" s="18" t="n">
        <v>816</v>
      </c>
      <c r="J12" s="19" t="n">
        <v>136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n">
        <v>63</v>
      </c>
      <c r="AD12" s="19"/>
      <c r="AE12" s="19"/>
      <c r="AF12" s="19"/>
      <c r="AG12" s="19"/>
      <c r="AH12" s="19" t="n">
        <v>73</v>
      </c>
      <c r="AI12" s="19"/>
      <c r="AJ12" s="19"/>
      <c r="AK12" s="19"/>
      <c r="AL12" s="19" t="n">
        <v>136</v>
      </c>
      <c r="AM12" s="19"/>
      <c r="AN12" s="19"/>
      <c r="AO12" s="19"/>
      <c r="AP12" s="19"/>
      <c r="AQ12" s="19"/>
      <c r="AR12" s="19"/>
      <c r="AS12" s="20" t="str">
        <f aca="false">HYPERLINK("http://www.openstreetmap.org/?mlat=34.262&amp;mlon=41.2217&amp;zoom=12#map=12/34.262/41.2217","Maplink1")</f>
        <v>Maplink1</v>
      </c>
      <c r="AT12" s="20" t="str">
        <f aca="false">HYPERLINK("https://www.google.iq/maps/search/+34.262,41.2217/@34.262,41.2217,14z?hl=en","Maplink2")</f>
        <v>Maplink2</v>
      </c>
      <c r="AU12" s="20" t="str">
        <f aca="false">HYPERLINK("http://www.bing.com/maps/?lvl=14&amp;sty=h&amp;cp=34.262~41.2217&amp;sp=point.34.262_41.2217","Maplink3")</f>
        <v>Maplink3</v>
      </c>
      <c r="AV12" s="1"/>
    </row>
    <row r="13" customFormat="false" ht="15" hidden="false" customHeight="true" outlineLevel="0" collapsed="false">
      <c r="A13" s="15" t="n">
        <v>106</v>
      </c>
      <c r="B13" s="16" t="s">
        <v>15</v>
      </c>
      <c r="C13" s="16" t="s">
        <v>53</v>
      </c>
      <c r="D13" s="16" t="s">
        <v>70</v>
      </c>
      <c r="E13" s="17" t="s">
        <v>71</v>
      </c>
      <c r="F13" s="16" t="n">
        <v>34.382264</v>
      </c>
      <c r="G13" s="16" t="n">
        <v>41.005731</v>
      </c>
      <c r="H13" s="18" t="n">
        <v>79</v>
      </c>
      <c r="I13" s="18" t="n">
        <v>474</v>
      </c>
      <c r="J13" s="19" t="n">
        <v>79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n">
        <v>28</v>
      </c>
      <c r="AD13" s="19"/>
      <c r="AE13" s="19"/>
      <c r="AF13" s="19"/>
      <c r="AG13" s="19"/>
      <c r="AH13" s="19" t="n">
        <v>51</v>
      </c>
      <c r="AI13" s="19"/>
      <c r="AJ13" s="19"/>
      <c r="AK13" s="19"/>
      <c r="AL13" s="19"/>
      <c r="AM13" s="19" t="n">
        <v>69</v>
      </c>
      <c r="AN13" s="19"/>
      <c r="AO13" s="19" t="n">
        <v>10</v>
      </c>
      <c r="AP13" s="19"/>
      <c r="AQ13" s="19"/>
      <c r="AR13" s="19"/>
      <c r="AS13" s="20" t="str">
        <f aca="false">HYPERLINK("http://www.openstreetmap.org/?mlat=34.3823&amp;mlon=41.0057&amp;zoom=12#map=12/34.3823/41.0057","Maplink1")</f>
        <v>Maplink1</v>
      </c>
      <c r="AT13" s="20" t="str">
        <f aca="false">HYPERLINK("https://www.google.iq/maps/search/+34.3823,41.0057/@34.3823,41.0057,14z?hl=en","Maplink2")</f>
        <v>Maplink2</v>
      </c>
      <c r="AU13" s="20" t="str">
        <f aca="false">HYPERLINK("http://www.bing.com/maps/?lvl=14&amp;sty=h&amp;cp=34.3823~41.0057&amp;sp=point.34.3823_41.0057","Maplink3")</f>
        <v>Maplink3</v>
      </c>
      <c r="AV13" s="1"/>
    </row>
    <row r="14" customFormat="false" ht="15" hidden="false" customHeight="true" outlineLevel="0" collapsed="false">
      <c r="A14" s="15" t="n">
        <v>274</v>
      </c>
      <c r="B14" s="16" t="s">
        <v>15</v>
      </c>
      <c r="C14" s="16" t="s">
        <v>53</v>
      </c>
      <c r="D14" s="16" t="s">
        <v>72</v>
      </c>
      <c r="E14" s="17" t="s">
        <v>73</v>
      </c>
      <c r="F14" s="16" t="n">
        <v>34.423677</v>
      </c>
      <c r="G14" s="16" t="n">
        <v>41.036415</v>
      </c>
      <c r="H14" s="18" t="n">
        <v>37</v>
      </c>
      <c r="I14" s="18" t="n">
        <v>222</v>
      </c>
      <c r="J14" s="19" t="n">
        <v>37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n">
        <v>11</v>
      </c>
      <c r="AD14" s="19"/>
      <c r="AE14" s="19"/>
      <c r="AF14" s="19"/>
      <c r="AG14" s="19"/>
      <c r="AH14" s="19" t="n">
        <v>26</v>
      </c>
      <c r="AI14" s="19"/>
      <c r="AJ14" s="19"/>
      <c r="AK14" s="19"/>
      <c r="AL14" s="19"/>
      <c r="AM14" s="19" t="n">
        <v>37</v>
      </c>
      <c r="AN14" s="19"/>
      <c r="AO14" s="19"/>
      <c r="AP14" s="19"/>
      <c r="AQ14" s="19"/>
      <c r="AR14" s="19"/>
      <c r="AS14" s="20" t="str">
        <f aca="false">HYPERLINK("http://www.openstreetmap.org/?mlat=34.4237&amp;mlon=41.0364&amp;zoom=12#map=12/34.4237/41.0364","Maplink1")</f>
        <v>Maplink1</v>
      </c>
      <c r="AT14" s="20" t="str">
        <f aca="false">HYPERLINK("https://www.google.iq/maps/search/+34.4237,41.0364/@34.4237,41.0364,14z?hl=en","Maplink2")</f>
        <v>Maplink2</v>
      </c>
      <c r="AU14" s="20" t="str">
        <f aca="false">HYPERLINK("http://www.bing.com/maps/?lvl=14&amp;sty=h&amp;cp=34.4237~41.0364&amp;sp=point.34.4237_41.0364","Maplink3")</f>
        <v>Maplink3</v>
      </c>
      <c r="AV14" s="1"/>
    </row>
    <row r="15" customFormat="false" ht="15" hidden="false" customHeight="true" outlineLevel="0" collapsed="false">
      <c r="A15" s="15" t="n">
        <v>271</v>
      </c>
      <c r="B15" s="16" t="s">
        <v>15</v>
      </c>
      <c r="C15" s="16" t="s">
        <v>53</v>
      </c>
      <c r="D15" s="16" t="s">
        <v>74</v>
      </c>
      <c r="E15" s="17" t="s">
        <v>75</v>
      </c>
      <c r="F15" s="16" t="n">
        <v>34.388794</v>
      </c>
      <c r="G15" s="16" t="n">
        <v>40.973572</v>
      </c>
      <c r="H15" s="18" t="n">
        <v>72</v>
      </c>
      <c r="I15" s="18" t="n">
        <v>432</v>
      </c>
      <c r="J15" s="19" t="n">
        <v>72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 t="n">
        <v>32</v>
      </c>
      <c r="AD15" s="19"/>
      <c r="AE15" s="19"/>
      <c r="AF15" s="19"/>
      <c r="AG15" s="19"/>
      <c r="AH15" s="19" t="n">
        <v>40</v>
      </c>
      <c r="AI15" s="19"/>
      <c r="AJ15" s="19"/>
      <c r="AK15" s="19"/>
      <c r="AL15" s="19"/>
      <c r="AM15" s="19" t="n">
        <v>62</v>
      </c>
      <c r="AN15" s="19"/>
      <c r="AO15" s="19" t="n">
        <v>10</v>
      </c>
      <c r="AP15" s="19"/>
      <c r="AQ15" s="19"/>
      <c r="AR15" s="19"/>
      <c r="AS15" s="20" t="str">
        <f aca="false">HYPERLINK("http://www.openstreetmap.org/?mlat=34.3888&amp;mlon=40.9736&amp;zoom=12#map=12/34.3888/40.9736","Maplink1")</f>
        <v>Maplink1</v>
      </c>
      <c r="AT15" s="20" t="str">
        <f aca="false">HYPERLINK("https://www.google.iq/maps/search/+34.3888,40.9736/@34.3888,40.9736,14z?hl=en","Maplink2")</f>
        <v>Maplink2</v>
      </c>
      <c r="AU15" s="20" t="str">
        <f aca="false">HYPERLINK("http://www.bing.com/maps/?lvl=14&amp;sty=h&amp;cp=34.3888~40.9736&amp;sp=point.34.3888_40.9736","Maplink3")</f>
        <v>Maplink3</v>
      </c>
      <c r="AV15" s="1"/>
    </row>
    <row r="16" customFormat="false" ht="15" hidden="false" customHeight="true" outlineLevel="0" collapsed="false">
      <c r="A16" s="15" t="n">
        <v>272</v>
      </c>
      <c r="B16" s="16" t="s">
        <v>15</v>
      </c>
      <c r="C16" s="16" t="s">
        <v>53</v>
      </c>
      <c r="D16" s="16" t="s">
        <v>76</v>
      </c>
      <c r="E16" s="17" t="s">
        <v>77</v>
      </c>
      <c r="F16" s="16" t="n">
        <v>34.392991</v>
      </c>
      <c r="G16" s="16" t="n">
        <v>40.981134</v>
      </c>
      <c r="H16" s="18" t="n">
        <v>71</v>
      </c>
      <c r="I16" s="18" t="n">
        <v>426</v>
      </c>
      <c r="J16" s="19" t="n">
        <v>61</v>
      </c>
      <c r="K16" s="19"/>
      <c r="L16" s="19" t="n">
        <v>10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n">
        <v>58</v>
      </c>
      <c r="AD16" s="19"/>
      <c r="AE16" s="19"/>
      <c r="AF16" s="19"/>
      <c r="AG16" s="19"/>
      <c r="AH16" s="19" t="n">
        <v>13</v>
      </c>
      <c r="AI16" s="19"/>
      <c r="AJ16" s="19"/>
      <c r="AK16" s="19"/>
      <c r="AL16" s="19" t="n">
        <v>61</v>
      </c>
      <c r="AM16" s="19" t="n">
        <v>10</v>
      </c>
      <c r="AN16" s="19"/>
      <c r="AO16" s="19"/>
      <c r="AP16" s="19"/>
      <c r="AQ16" s="19"/>
      <c r="AR16" s="19"/>
      <c r="AS16" s="20" t="str">
        <f aca="false">HYPERLINK("http://www.openstreetmap.org/?mlat=34.393&amp;mlon=40.9811&amp;zoom=12#map=12/34.393/40.9811","Maplink1")</f>
        <v>Maplink1</v>
      </c>
      <c r="AT16" s="20" t="str">
        <f aca="false">HYPERLINK("https://www.google.iq/maps/search/+34.393,40.9811/@34.393,40.9811,14z?hl=en","Maplink2")</f>
        <v>Maplink2</v>
      </c>
      <c r="AU16" s="20" t="str">
        <f aca="false">HYPERLINK("http://www.bing.com/maps/?lvl=14&amp;sty=h&amp;cp=34.393~40.9811&amp;sp=point.34.393_40.9811","Maplink3")</f>
        <v>Maplink3</v>
      </c>
    </row>
    <row r="17" customFormat="false" ht="15" hidden="false" customHeight="true" outlineLevel="0" collapsed="false">
      <c r="A17" s="15" t="n">
        <v>23793</v>
      </c>
      <c r="B17" s="16" t="s">
        <v>15</v>
      </c>
      <c r="C17" s="16" t="s">
        <v>53</v>
      </c>
      <c r="D17" s="16" t="s">
        <v>78</v>
      </c>
      <c r="E17" s="17" t="s">
        <v>79</v>
      </c>
      <c r="F17" s="16" t="n">
        <v>34.38469</v>
      </c>
      <c r="G17" s="16" t="n">
        <v>41.031804</v>
      </c>
      <c r="H17" s="18" t="n">
        <v>28</v>
      </c>
      <c r="I17" s="18" t="n">
        <v>168</v>
      </c>
      <c r="J17" s="19" t="n">
        <v>28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n">
        <v>11</v>
      </c>
      <c r="AD17" s="19"/>
      <c r="AE17" s="19"/>
      <c r="AF17" s="19"/>
      <c r="AG17" s="19"/>
      <c r="AH17" s="19" t="n">
        <v>17</v>
      </c>
      <c r="AI17" s="19"/>
      <c r="AJ17" s="19"/>
      <c r="AK17" s="19"/>
      <c r="AL17" s="19" t="n">
        <v>28</v>
      </c>
      <c r="AM17" s="19"/>
      <c r="AN17" s="19"/>
      <c r="AO17" s="19"/>
      <c r="AP17" s="19"/>
      <c r="AQ17" s="19"/>
      <c r="AR17" s="19"/>
      <c r="AS17" s="20" t="str">
        <f aca="false">HYPERLINK("http://www.openstreetmap.org/?mlat=34.3847&amp;mlon=41.0318&amp;zoom=12#map=12/34.3847/41.0318","Maplink1")</f>
        <v>Maplink1</v>
      </c>
      <c r="AT17" s="20" t="str">
        <f aca="false">HYPERLINK("https://www.google.iq/maps/search/+34.3847,41.0318/@34.3847,41.0318,14z?hl=en","Maplink2")</f>
        <v>Maplink2</v>
      </c>
      <c r="AU17" s="20" t="str">
        <f aca="false">HYPERLINK("http://www.bing.com/maps/?lvl=14&amp;sty=h&amp;cp=34.3847~41.0318&amp;sp=point.34.3847_41.0318","Maplink3")</f>
        <v>Maplink3</v>
      </c>
    </row>
    <row r="18" customFormat="false" ht="15" hidden="false" customHeight="true" outlineLevel="0" collapsed="false">
      <c r="A18" s="15" t="n">
        <v>23788</v>
      </c>
      <c r="B18" s="16" t="s">
        <v>15</v>
      </c>
      <c r="C18" s="16" t="s">
        <v>53</v>
      </c>
      <c r="D18" s="16" t="s">
        <v>80</v>
      </c>
      <c r="E18" s="17" t="s">
        <v>81</v>
      </c>
      <c r="F18" s="16" t="n">
        <v>34.392969</v>
      </c>
      <c r="G18" s="16" t="n">
        <v>40.984309</v>
      </c>
      <c r="H18" s="18" t="n">
        <v>66</v>
      </c>
      <c r="I18" s="18" t="n">
        <v>396</v>
      </c>
      <c r="J18" s="19" t="n">
        <v>66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n">
        <v>28</v>
      </c>
      <c r="AD18" s="19"/>
      <c r="AE18" s="19"/>
      <c r="AF18" s="19"/>
      <c r="AG18" s="19"/>
      <c r="AH18" s="19" t="n">
        <v>38</v>
      </c>
      <c r="AI18" s="19"/>
      <c r="AJ18" s="19"/>
      <c r="AK18" s="19"/>
      <c r="AL18" s="19" t="n">
        <v>58</v>
      </c>
      <c r="AM18" s="19"/>
      <c r="AN18" s="19"/>
      <c r="AO18" s="19" t="n">
        <v>8</v>
      </c>
      <c r="AP18" s="19"/>
      <c r="AQ18" s="19"/>
      <c r="AR18" s="19"/>
      <c r="AS18" s="20" t="str">
        <f aca="false">HYPERLINK("http://www.openstreetmap.org/?mlat=34.393&amp;mlon=40.9843&amp;zoom=12#map=12/34.393/40.9843","Maplink1")</f>
        <v>Maplink1</v>
      </c>
      <c r="AT18" s="20" t="str">
        <f aca="false">HYPERLINK("https://www.google.iq/maps/search/+34.393,40.9843/@34.393,40.9843,14z?hl=en","Maplink2")</f>
        <v>Maplink2</v>
      </c>
      <c r="AU18" s="20" t="str">
        <f aca="false">HYPERLINK("http://www.bing.com/maps/?lvl=14&amp;sty=h&amp;cp=34.393~40.9843&amp;sp=point.34.393_40.9843","Maplink3")</f>
        <v>Maplink3</v>
      </c>
    </row>
    <row r="19" customFormat="false" ht="15" hidden="false" customHeight="true" outlineLevel="0" collapsed="false">
      <c r="A19" s="15" t="n">
        <v>23787</v>
      </c>
      <c r="B19" s="16" t="s">
        <v>15</v>
      </c>
      <c r="C19" s="16" t="s">
        <v>53</v>
      </c>
      <c r="D19" s="16" t="s">
        <v>82</v>
      </c>
      <c r="E19" s="17" t="s">
        <v>83</v>
      </c>
      <c r="F19" s="16" t="n">
        <v>34.394981</v>
      </c>
      <c r="G19" s="16" t="n">
        <v>40.988816</v>
      </c>
      <c r="H19" s="18" t="n">
        <v>77</v>
      </c>
      <c r="I19" s="18" t="n">
        <v>462</v>
      </c>
      <c r="J19" s="19" t="n">
        <v>77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n">
        <v>52</v>
      </c>
      <c r="AD19" s="19"/>
      <c r="AE19" s="19"/>
      <c r="AF19" s="19"/>
      <c r="AG19" s="19"/>
      <c r="AH19" s="19" t="n">
        <v>25</v>
      </c>
      <c r="AI19" s="19"/>
      <c r="AJ19" s="19"/>
      <c r="AK19" s="19"/>
      <c r="AL19" s="19" t="n">
        <v>77</v>
      </c>
      <c r="AM19" s="19"/>
      <c r="AN19" s="19"/>
      <c r="AO19" s="19"/>
      <c r="AP19" s="19"/>
      <c r="AQ19" s="19"/>
      <c r="AR19" s="19"/>
      <c r="AS19" s="20" t="str">
        <f aca="false">HYPERLINK("http://www.openstreetmap.org/?mlat=34.395&amp;mlon=40.9888&amp;zoom=12#map=12/34.395/40.9888","Maplink1")</f>
        <v>Maplink1</v>
      </c>
      <c r="AT19" s="20" t="str">
        <f aca="false">HYPERLINK("https://www.google.iq/maps/search/+34.395,40.9888/@34.395,40.9888,14z?hl=en","Maplink2")</f>
        <v>Maplink2</v>
      </c>
      <c r="AU19" s="20" t="str">
        <f aca="false">HYPERLINK("http://www.bing.com/maps/?lvl=14&amp;sty=h&amp;cp=34.395~40.9888&amp;sp=point.34.395_40.9888","Maplink3")</f>
        <v>Maplink3</v>
      </c>
    </row>
    <row r="20" customFormat="false" ht="15" hidden="false" customHeight="true" outlineLevel="0" collapsed="false">
      <c r="A20" s="15" t="n">
        <v>23790</v>
      </c>
      <c r="B20" s="16" t="s">
        <v>15</v>
      </c>
      <c r="C20" s="16" t="s">
        <v>53</v>
      </c>
      <c r="D20" s="16" t="s">
        <v>84</v>
      </c>
      <c r="E20" s="17" t="s">
        <v>85</v>
      </c>
      <c r="F20" s="16" t="n">
        <v>34.374748</v>
      </c>
      <c r="G20" s="16" t="n">
        <v>41.062559</v>
      </c>
      <c r="H20" s="18" t="n">
        <v>70</v>
      </c>
      <c r="I20" s="18" t="n">
        <v>420</v>
      </c>
      <c r="J20" s="19" t="n">
        <v>70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n">
        <v>28</v>
      </c>
      <c r="AD20" s="19"/>
      <c r="AE20" s="19"/>
      <c r="AF20" s="19"/>
      <c r="AG20" s="19"/>
      <c r="AH20" s="19" t="n">
        <v>42</v>
      </c>
      <c r="AI20" s="19"/>
      <c r="AJ20" s="19"/>
      <c r="AK20" s="19"/>
      <c r="AL20" s="19"/>
      <c r="AM20" s="19" t="n">
        <v>70</v>
      </c>
      <c r="AN20" s="19"/>
      <c r="AO20" s="19"/>
      <c r="AP20" s="19"/>
      <c r="AQ20" s="19"/>
      <c r="AR20" s="19"/>
      <c r="AS20" s="20" t="str">
        <f aca="false">HYPERLINK("http://www.openstreetmap.org/?mlat=34.3747&amp;mlon=41.0626&amp;zoom=12#map=12/34.3747/41.0626","Maplink1")</f>
        <v>Maplink1</v>
      </c>
      <c r="AT20" s="20" t="str">
        <f aca="false">HYPERLINK("https://www.google.iq/maps/search/+34.3747,41.0626/@34.3747,41.0626,14z?hl=en","Maplink2")</f>
        <v>Maplink2</v>
      </c>
      <c r="AU20" s="20" t="str">
        <f aca="false">HYPERLINK("http://www.bing.com/maps/?lvl=14&amp;sty=h&amp;cp=34.3747~41.0626&amp;sp=point.34.3747_41.0626","Maplink3")</f>
        <v>Maplink3</v>
      </c>
    </row>
    <row r="21" customFormat="false" ht="15" hidden="false" customHeight="true" outlineLevel="0" collapsed="false">
      <c r="A21" s="15" t="n">
        <v>23794</v>
      </c>
      <c r="B21" s="16" t="s">
        <v>15</v>
      </c>
      <c r="C21" s="16" t="s">
        <v>53</v>
      </c>
      <c r="D21" s="16" t="s">
        <v>86</v>
      </c>
      <c r="E21" s="17" t="s">
        <v>87</v>
      </c>
      <c r="F21" s="16" t="n">
        <v>34.380503</v>
      </c>
      <c r="G21" s="16" t="n">
        <v>41.035056</v>
      </c>
      <c r="H21" s="18" t="n">
        <v>47</v>
      </c>
      <c r="I21" s="18" t="n">
        <v>282</v>
      </c>
      <c r="J21" s="19" t="n">
        <v>47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n">
        <v>16</v>
      </c>
      <c r="AD21" s="19"/>
      <c r="AE21" s="19"/>
      <c r="AF21" s="19"/>
      <c r="AG21" s="19"/>
      <c r="AH21" s="19" t="n">
        <v>31</v>
      </c>
      <c r="AI21" s="19"/>
      <c r="AJ21" s="19"/>
      <c r="AK21" s="19"/>
      <c r="AL21" s="19" t="n">
        <v>47</v>
      </c>
      <c r="AM21" s="19"/>
      <c r="AN21" s="19"/>
      <c r="AO21" s="19"/>
      <c r="AP21" s="19"/>
      <c r="AQ21" s="19"/>
      <c r="AR21" s="19"/>
      <c r="AS21" s="20" t="str">
        <f aca="false">HYPERLINK("http://www.openstreetmap.org/?mlat=34.3805&amp;mlon=41.0351&amp;zoom=12#map=12/34.3805/41.0351","Maplink1")</f>
        <v>Maplink1</v>
      </c>
      <c r="AT21" s="20" t="str">
        <f aca="false">HYPERLINK("https://www.google.iq/maps/search/+34.3805,41.0351/@34.3805,41.0351,14z?hl=en","Maplink2")</f>
        <v>Maplink2</v>
      </c>
      <c r="AU21" s="20" t="str">
        <f aca="false">HYPERLINK("http://www.bing.com/maps/?lvl=14&amp;sty=h&amp;cp=34.3805~41.0351&amp;sp=point.34.3805_41.0351","Maplink3")</f>
        <v>Maplink3</v>
      </c>
    </row>
    <row r="22" customFormat="false" ht="15" hidden="false" customHeight="true" outlineLevel="0" collapsed="false">
      <c r="A22" s="15" t="n">
        <v>276</v>
      </c>
      <c r="B22" s="16" t="s">
        <v>15</v>
      </c>
      <c r="C22" s="16" t="s">
        <v>53</v>
      </c>
      <c r="D22" s="16" t="s">
        <v>88</v>
      </c>
      <c r="E22" s="17" t="s">
        <v>89</v>
      </c>
      <c r="F22" s="16" t="n">
        <v>34.39097</v>
      </c>
      <c r="G22" s="16" t="n">
        <v>40.9897</v>
      </c>
      <c r="H22" s="18" t="n">
        <v>118</v>
      </c>
      <c r="I22" s="18" t="n">
        <v>708</v>
      </c>
      <c r="J22" s="19" t="n">
        <v>118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n">
        <v>67</v>
      </c>
      <c r="AD22" s="19"/>
      <c r="AE22" s="19"/>
      <c r="AF22" s="19"/>
      <c r="AG22" s="19"/>
      <c r="AH22" s="19" t="n">
        <v>51</v>
      </c>
      <c r="AI22" s="19"/>
      <c r="AJ22" s="19"/>
      <c r="AK22" s="19"/>
      <c r="AL22" s="19"/>
      <c r="AM22" s="19" t="n">
        <v>100</v>
      </c>
      <c r="AN22" s="19"/>
      <c r="AO22" s="19" t="n">
        <v>18</v>
      </c>
      <c r="AP22" s="19"/>
      <c r="AQ22" s="19"/>
      <c r="AR22" s="19"/>
      <c r="AS22" s="20" t="str">
        <f aca="false">HYPERLINK("http://www.openstreetmap.org/?mlat=34.391&amp;mlon=40.9897&amp;zoom=12#map=12/34.391/40.9897","Maplink1")</f>
        <v>Maplink1</v>
      </c>
      <c r="AT22" s="20" t="str">
        <f aca="false">HYPERLINK("https://www.google.iq/maps/search/+34.391,40.9897/@34.391,40.9897,14z?hl=en","Maplink2")</f>
        <v>Maplink2</v>
      </c>
      <c r="AU22" s="20" t="str">
        <f aca="false">HYPERLINK("http://www.bing.com/maps/?lvl=14&amp;sty=h&amp;cp=34.391~40.9897&amp;sp=point.34.391_40.9897","Maplink3")</f>
        <v>Maplink3</v>
      </c>
    </row>
    <row r="23" customFormat="false" ht="15" hidden="false" customHeight="true" outlineLevel="0" collapsed="false">
      <c r="A23" s="15" t="n">
        <v>286</v>
      </c>
      <c r="B23" s="16" t="s">
        <v>15</v>
      </c>
      <c r="C23" s="16" t="s">
        <v>53</v>
      </c>
      <c r="D23" s="16" t="s">
        <v>90</v>
      </c>
      <c r="E23" s="17" t="s">
        <v>91</v>
      </c>
      <c r="F23" s="16" t="n">
        <v>34.377071</v>
      </c>
      <c r="G23" s="16" t="n">
        <v>41.066633</v>
      </c>
      <c r="H23" s="18" t="n">
        <v>50</v>
      </c>
      <c r="I23" s="18" t="n">
        <v>300</v>
      </c>
      <c r="J23" s="19" t="n">
        <v>50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n">
        <v>21</v>
      </c>
      <c r="AD23" s="19"/>
      <c r="AE23" s="19"/>
      <c r="AF23" s="19"/>
      <c r="AG23" s="19"/>
      <c r="AH23" s="19" t="n">
        <v>29</v>
      </c>
      <c r="AI23" s="19"/>
      <c r="AJ23" s="19"/>
      <c r="AK23" s="19"/>
      <c r="AL23" s="19" t="n">
        <v>50</v>
      </c>
      <c r="AM23" s="19"/>
      <c r="AN23" s="19"/>
      <c r="AO23" s="19"/>
      <c r="AP23" s="19"/>
      <c r="AQ23" s="19"/>
      <c r="AR23" s="19"/>
      <c r="AS23" s="20" t="str">
        <f aca="false">HYPERLINK("http://www.openstreetmap.org/?mlat=34.3771&amp;mlon=41.0666&amp;zoom=12#map=12/34.3771/41.0666","Maplink1")</f>
        <v>Maplink1</v>
      </c>
      <c r="AT23" s="20" t="str">
        <f aca="false">HYPERLINK("https://www.google.iq/maps/search/+34.3771,41.0666/@34.3771,41.0666,14z?hl=en","Maplink2")</f>
        <v>Maplink2</v>
      </c>
      <c r="AU23" s="20" t="str">
        <f aca="false">HYPERLINK("http://www.bing.com/maps/?lvl=14&amp;sty=h&amp;cp=34.3771~41.0666&amp;sp=point.34.3771_41.0666","Maplink3")</f>
        <v>Maplink3</v>
      </c>
    </row>
    <row r="24" customFormat="false" ht="15" hidden="false" customHeight="true" outlineLevel="0" collapsed="false">
      <c r="A24" s="15" t="n">
        <v>279</v>
      </c>
      <c r="B24" s="16" t="s">
        <v>15</v>
      </c>
      <c r="C24" s="16" t="s">
        <v>53</v>
      </c>
      <c r="D24" s="16" t="s">
        <v>92</v>
      </c>
      <c r="E24" s="17" t="s">
        <v>93</v>
      </c>
      <c r="F24" s="16" t="n">
        <v>34.396212</v>
      </c>
      <c r="G24" s="16" t="n">
        <v>41.002968</v>
      </c>
      <c r="H24" s="18" t="n">
        <v>61</v>
      </c>
      <c r="I24" s="18" t="n">
        <v>366</v>
      </c>
      <c r="J24" s="19" t="n">
        <v>61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n">
        <v>29</v>
      </c>
      <c r="AD24" s="19"/>
      <c r="AE24" s="19"/>
      <c r="AF24" s="19"/>
      <c r="AG24" s="19"/>
      <c r="AH24" s="19" t="n">
        <v>32</v>
      </c>
      <c r="AI24" s="19"/>
      <c r="AJ24" s="19"/>
      <c r="AK24" s="19"/>
      <c r="AL24" s="19" t="n">
        <v>54</v>
      </c>
      <c r="AM24" s="19"/>
      <c r="AN24" s="19"/>
      <c r="AO24" s="19" t="n">
        <v>7</v>
      </c>
      <c r="AP24" s="19"/>
      <c r="AQ24" s="19"/>
      <c r="AR24" s="19"/>
      <c r="AS24" s="20" t="str">
        <f aca="false">HYPERLINK("http://www.openstreetmap.org/?mlat=34.3962&amp;mlon=41.003&amp;zoom=12#map=12/34.3962/41.003","Maplink1")</f>
        <v>Maplink1</v>
      </c>
      <c r="AT24" s="20" t="str">
        <f aca="false">HYPERLINK("https://www.google.iq/maps/search/+34.3962,41.003/@34.3962,41.003,14z?hl=en","Maplink2")</f>
        <v>Maplink2</v>
      </c>
      <c r="AU24" s="20" t="str">
        <f aca="false">HYPERLINK("http://www.bing.com/maps/?lvl=14&amp;sty=h&amp;cp=34.3962~41.003&amp;sp=point.34.3962_41.003","Maplink3")</f>
        <v>Maplink3</v>
      </c>
    </row>
    <row r="25" customFormat="false" ht="15" hidden="false" customHeight="true" outlineLevel="0" collapsed="false">
      <c r="A25" s="15" t="n">
        <v>277</v>
      </c>
      <c r="B25" s="16" t="s">
        <v>15</v>
      </c>
      <c r="C25" s="16" t="s">
        <v>53</v>
      </c>
      <c r="D25" s="16" t="s">
        <v>94</v>
      </c>
      <c r="E25" s="17" t="s">
        <v>95</v>
      </c>
      <c r="F25" s="16" t="n">
        <v>34.392414</v>
      </c>
      <c r="G25" s="16" t="n">
        <v>41.004368</v>
      </c>
      <c r="H25" s="18" t="n">
        <v>111</v>
      </c>
      <c r="I25" s="18" t="n">
        <v>666</v>
      </c>
      <c r="J25" s="19" t="n">
        <v>111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n">
        <v>50</v>
      </c>
      <c r="AD25" s="19"/>
      <c r="AE25" s="19"/>
      <c r="AF25" s="19"/>
      <c r="AG25" s="19"/>
      <c r="AH25" s="19" t="n">
        <v>61</v>
      </c>
      <c r="AI25" s="19"/>
      <c r="AJ25" s="19"/>
      <c r="AK25" s="19"/>
      <c r="AL25" s="19" t="n">
        <v>86</v>
      </c>
      <c r="AM25" s="19"/>
      <c r="AN25" s="19"/>
      <c r="AO25" s="19" t="n">
        <v>25</v>
      </c>
      <c r="AP25" s="19"/>
      <c r="AQ25" s="19"/>
      <c r="AR25" s="19"/>
      <c r="AS25" s="20" t="str">
        <f aca="false">HYPERLINK("http://www.openstreetmap.org/?mlat=34.3924&amp;mlon=41.0044&amp;zoom=12#map=12/34.3924/41.0044","Maplink1")</f>
        <v>Maplink1</v>
      </c>
      <c r="AT25" s="20" t="str">
        <f aca="false">HYPERLINK("https://www.google.iq/maps/search/+34.3924,41.0044/@34.3924,41.0044,14z?hl=en","Maplink2")</f>
        <v>Maplink2</v>
      </c>
      <c r="AU25" s="20" t="str">
        <f aca="false">HYPERLINK("http://www.bing.com/maps/?lvl=14&amp;sty=h&amp;cp=34.3924~41.0044&amp;sp=point.34.3924_41.0044","Maplink3")</f>
        <v>Maplink3</v>
      </c>
    </row>
    <row r="26" customFormat="false" ht="15" hidden="false" customHeight="true" outlineLevel="0" collapsed="false">
      <c r="A26" s="15" t="n">
        <v>268</v>
      </c>
      <c r="B26" s="16" t="s">
        <v>15</v>
      </c>
      <c r="C26" s="16" t="s">
        <v>53</v>
      </c>
      <c r="D26" s="16" t="s">
        <v>96</v>
      </c>
      <c r="E26" s="17" t="s">
        <v>97</v>
      </c>
      <c r="F26" s="16" t="n">
        <v>34.392349</v>
      </c>
      <c r="G26" s="16" t="n">
        <v>40.996698</v>
      </c>
      <c r="H26" s="18" t="n">
        <v>75</v>
      </c>
      <c r="I26" s="18" t="n">
        <v>450</v>
      </c>
      <c r="J26" s="19" t="n">
        <v>75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n">
        <v>53</v>
      </c>
      <c r="AD26" s="19"/>
      <c r="AE26" s="19" t="n">
        <v>5</v>
      </c>
      <c r="AF26" s="19"/>
      <c r="AG26" s="19"/>
      <c r="AH26" s="19" t="n">
        <v>17</v>
      </c>
      <c r="AI26" s="19"/>
      <c r="AJ26" s="19"/>
      <c r="AK26" s="19"/>
      <c r="AL26" s="19" t="n">
        <v>67</v>
      </c>
      <c r="AM26" s="19"/>
      <c r="AN26" s="19"/>
      <c r="AO26" s="19" t="n">
        <v>8</v>
      </c>
      <c r="AP26" s="19"/>
      <c r="AQ26" s="19"/>
      <c r="AR26" s="19"/>
      <c r="AS26" s="20" t="str">
        <f aca="false">HYPERLINK("http://www.openstreetmap.org/?mlat=34.3923&amp;mlon=40.9967&amp;zoom=12#map=12/34.3923/40.9967","Maplink1")</f>
        <v>Maplink1</v>
      </c>
      <c r="AT26" s="20" t="str">
        <f aca="false">HYPERLINK("https://www.google.iq/maps/search/+34.3923,40.9967/@34.3923,40.9967,14z?hl=en","Maplink2")</f>
        <v>Maplink2</v>
      </c>
      <c r="AU26" s="20" t="str">
        <f aca="false">HYPERLINK("http://www.bing.com/maps/?lvl=14&amp;sty=h&amp;cp=34.3923~40.9967&amp;sp=point.34.3923_40.9967","Maplink3")</f>
        <v>Maplink3</v>
      </c>
    </row>
    <row r="27" customFormat="false" ht="15" hidden="false" customHeight="true" outlineLevel="0" collapsed="false">
      <c r="A27" s="15" t="n">
        <v>269</v>
      </c>
      <c r="B27" s="16" t="s">
        <v>15</v>
      </c>
      <c r="C27" s="16" t="s">
        <v>53</v>
      </c>
      <c r="D27" s="16" t="s">
        <v>98</v>
      </c>
      <c r="E27" s="17" t="s">
        <v>99</v>
      </c>
      <c r="F27" s="16" t="n">
        <v>34.39801</v>
      </c>
      <c r="G27" s="16" t="n">
        <v>40.992723</v>
      </c>
      <c r="H27" s="18" t="n">
        <v>50</v>
      </c>
      <c r="I27" s="18" t="n">
        <v>300</v>
      </c>
      <c r="J27" s="19" t="n">
        <v>50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n">
        <v>24</v>
      </c>
      <c r="AD27" s="19"/>
      <c r="AE27" s="19"/>
      <c r="AF27" s="19"/>
      <c r="AG27" s="19"/>
      <c r="AH27" s="19" t="n">
        <v>26</v>
      </c>
      <c r="AI27" s="19"/>
      <c r="AJ27" s="19"/>
      <c r="AK27" s="19"/>
      <c r="AL27" s="19" t="n">
        <v>50</v>
      </c>
      <c r="AM27" s="19"/>
      <c r="AN27" s="19"/>
      <c r="AO27" s="19"/>
      <c r="AP27" s="19"/>
      <c r="AQ27" s="19"/>
      <c r="AR27" s="19"/>
      <c r="AS27" s="20" t="str">
        <f aca="false">HYPERLINK("http://www.openstreetmap.org/?mlat=34.398&amp;mlon=40.9927&amp;zoom=12#map=12/34.398/40.9927","Maplink1")</f>
        <v>Maplink1</v>
      </c>
      <c r="AT27" s="20" t="str">
        <f aca="false">HYPERLINK("https://www.google.iq/maps/search/+34.398,40.9927/@34.398,40.9927,14z?hl=en","Maplink2")</f>
        <v>Maplink2</v>
      </c>
      <c r="AU27" s="20" t="str">
        <f aca="false">HYPERLINK("http://www.bing.com/maps/?lvl=14&amp;sty=h&amp;cp=34.398~40.9927&amp;sp=point.34.398_40.9927","Maplink3")</f>
        <v>Maplink3</v>
      </c>
    </row>
    <row r="28" customFormat="false" ht="15" hidden="false" customHeight="true" outlineLevel="0" collapsed="false">
      <c r="A28" s="15" t="n">
        <v>156</v>
      </c>
      <c r="B28" s="16" t="s">
        <v>15</v>
      </c>
      <c r="C28" s="16" t="s">
        <v>53</v>
      </c>
      <c r="D28" s="16" t="s">
        <v>100</v>
      </c>
      <c r="E28" s="17" t="s">
        <v>101</v>
      </c>
      <c r="F28" s="16" t="n">
        <v>34.37709</v>
      </c>
      <c r="G28" s="16" t="n">
        <v>41.046541</v>
      </c>
      <c r="H28" s="18" t="n">
        <v>60</v>
      </c>
      <c r="I28" s="18" t="n">
        <v>360</v>
      </c>
      <c r="J28" s="19" t="n">
        <v>60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n">
        <v>27</v>
      </c>
      <c r="AD28" s="19"/>
      <c r="AE28" s="19"/>
      <c r="AF28" s="19"/>
      <c r="AG28" s="19"/>
      <c r="AH28" s="19" t="n">
        <v>33</v>
      </c>
      <c r="AI28" s="19"/>
      <c r="AJ28" s="19"/>
      <c r="AK28" s="19"/>
      <c r="AL28" s="19" t="n">
        <v>60</v>
      </c>
      <c r="AM28" s="19"/>
      <c r="AN28" s="19"/>
      <c r="AO28" s="19"/>
      <c r="AP28" s="19"/>
      <c r="AQ28" s="19"/>
      <c r="AR28" s="19"/>
      <c r="AS28" s="20" t="str">
        <f aca="false">HYPERLINK("http://www.openstreetmap.org/?mlat=34.3771&amp;mlon=41.0465&amp;zoom=12#map=12/34.3771/41.0465","Maplink1")</f>
        <v>Maplink1</v>
      </c>
      <c r="AT28" s="20" t="str">
        <f aca="false">HYPERLINK("https://www.google.iq/maps/search/+34.3771,41.0465/@34.3771,41.0465,14z?hl=en","Maplink2")</f>
        <v>Maplink2</v>
      </c>
      <c r="AU28" s="20" t="str">
        <f aca="false">HYPERLINK("http://www.bing.com/maps/?lvl=14&amp;sty=h&amp;cp=34.3771~41.0465&amp;sp=point.34.3771_41.0465","Maplink3")</f>
        <v>Maplink3</v>
      </c>
    </row>
    <row r="29" customFormat="false" ht="15" hidden="false" customHeight="true" outlineLevel="0" collapsed="false">
      <c r="A29" s="15" t="n">
        <v>150</v>
      </c>
      <c r="B29" s="16" t="s">
        <v>15</v>
      </c>
      <c r="C29" s="16" t="s">
        <v>102</v>
      </c>
      <c r="D29" s="16" t="s">
        <v>103</v>
      </c>
      <c r="E29" s="17" t="s">
        <v>104</v>
      </c>
      <c r="F29" s="16" t="n">
        <v>33.038459</v>
      </c>
      <c r="G29" s="16" t="n">
        <v>40.293291</v>
      </c>
      <c r="H29" s="18" t="n">
        <v>25</v>
      </c>
      <c r="I29" s="18" t="n">
        <v>150</v>
      </c>
      <c r="J29" s="19" t="n">
        <v>25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 t="n">
        <v>13</v>
      </c>
      <c r="AF29" s="19"/>
      <c r="AG29" s="19" t="n">
        <v>12</v>
      </c>
      <c r="AH29" s="19"/>
      <c r="AI29" s="19"/>
      <c r="AJ29" s="19"/>
      <c r="AK29" s="19"/>
      <c r="AL29" s="19" t="n">
        <v>25</v>
      </c>
      <c r="AM29" s="19"/>
      <c r="AN29" s="19"/>
      <c r="AO29" s="19"/>
      <c r="AP29" s="19"/>
      <c r="AQ29" s="19"/>
      <c r="AR29" s="19"/>
      <c r="AS29" s="20" t="str">
        <f aca="false">HYPERLINK("http://www.openstreetmap.org/?mlat=33.0385&amp;mlon=40.2933&amp;zoom=12#map=12/33.0385/40.2933","Maplink1")</f>
        <v>Maplink1</v>
      </c>
      <c r="AT29" s="20" t="str">
        <f aca="false">HYPERLINK("https://www.google.iq/maps/search/+33.0385,40.2933/@33.0385,40.2933,14z?hl=en","Maplink2")</f>
        <v>Maplink2</v>
      </c>
      <c r="AU29" s="20" t="str">
        <f aca="false">HYPERLINK("http://www.bing.com/maps/?lvl=14&amp;sty=h&amp;cp=33.0385~40.2933&amp;sp=point.33.0385_40.2933","Maplink3")</f>
        <v>Maplink3</v>
      </c>
    </row>
    <row r="30" customFormat="false" ht="15" hidden="false" customHeight="true" outlineLevel="0" collapsed="false">
      <c r="A30" s="15" t="n">
        <v>167</v>
      </c>
      <c r="B30" s="16" t="s">
        <v>15</v>
      </c>
      <c r="C30" s="16" t="s">
        <v>102</v>
      </c>
      <c r="D30" s="16" t="s">
        <v>105</v>
      </c>
      <c r="E30" s="17" t="s">
        <v>106</v>
      </c>
      <c r="F30" s="16" t="n">
        <v>33.041954</v>
      </c>
      <c r="G30" s="16" t="n">
        <v>40.27598</v>
      </c>
      <c r="H30" s="18" t="n">
        <v>15</v>
      </c>
      <c r="I30" s="18" t="n">
        <v>90</v>
      </c>
      <c r="J30" s="19" t="n">
        <v>15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 t="n">
        <v>15</v>
      </c>
      <c r="AD30" s="19"/>
      <c r="AE30" s="19"/>
      <c r="AF30" s="19"/>
      <c r="AG30" s="19"/>
      <c r="AH30" s="19"/>
      <c r="AI30" s="19"/>
      <c r="AJ30" s="19"/>
      <c r="AK30" s="19"/>
      <c r="AL30" s="19" t="n">
        <v>10</v>
      </c>
      <c r="AM30" s="19"/>
      <c r="AN30" s="19"/>
      <c r="AO30" s="19" t="n">
        <v>5</v>
      </c>
      <c r="AP30" s="19"/>
      <c r="AQ30" s="19"/>
      <c r="AR30" s="19"/>
      <c r="AS30" s="20" t="str">
        <f aca="false">HYPERLINK("http://www.openstreetmap.org/?mlat=33.042&amp;mlon=40.276&amp;zoom=12#map=12/33.042/40.276","Maplink1")</f>
        <v>Maplink1</v>
      </c>
      <c r="AT30" s="20" t="str">
        <f aca="false">HYPERLINK("https://www.google.iq/maps/search/+33.042,40.276/@33.042,40.276,14z?hl=en","Maplink2")</f>
        <v>Maplink2</v>
      </c>
      <c r="AU30" s="20" t="str">
        <f aca="false">HYPERLINK("http://www.bing.com/maps/?lvl=14&amp;sty=h&amp;cp=33.042~40.276&amp;sp=point.33.042_40.276","Maplink3")</f>
        <v>Maplink3</v>
      </c>
    </row>
    <row r="31" customFormat="false" ht="15" hidden="false" customHeight="true" outlineLevel="0" collapsed="false">
      <c r="A31" s="15" t="n">
        <v>61</v>
      </c>
      <c r="B31" s="16" t="s">
        <v>15</v>
      </c>
      <c r="C31" s="16" t="s">
        <v>102</v>
      </c>
      <c r="D31" s="16" t="s">
        <v>107</v>
      </c>
      <c r="E31" s="17" t="s">
        <v>108</v>
      </c>
      <c r="F31" s="16" t="n">
        <v>32.042733</v>
      </c>
      <c r="G31" s="16" t="n">
        <v>42.252977</v>
      </c>
      <c r="H31" s="18" t="n">
        <v>159</v>
      </c>
      <c r="I31" s="18" t="n">
        <v>954</v>
      </c>
      <c r="J31" s="19" t="n">
        <v>159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 t="n">
        <v>8</v>
      </c>
      <c r="AD31" s="19"/>
      <c r="AE31" s="19" t="n">
        <v>10</v>
      </c>
      <c r="AF31" s="19"/>
      <c r="AG31" s="19" t="n">
        <v>13</v>
      </c>
      <c r="AH31" s="19"/>
      <c r="AI31" s="19" t="n">
        <v>60</v>
      </c>
      <c r="AJ31" s="19" t="n">
        <v>68</v>
      </c>
      <c r="AK31" s="19"/>
      <c r="AL31" s="19" t="n">
        <v>40</v>
      </c>
      <c r="AM31" s="19"/>
      <c r="AN31" s="19"/>
      <c r="AO31" s="19" t="n">
        <v>119</v>
      </c>
      <c r="AP31" s="19"/>
      <c r="AQ31" s="19"/>
      <c r="AR31" s="19"/>
      <c r="AS31" s="20" t="str">
        <f aca="false">HYPERLINK("http://www.openstreetmap.org/?mlat=32.0427&amp;mlon=42.253&amp;zoom=12#map=12/32.0427/42.253","Maplink1")</f>
        <v>Maplink1</v>
      </c>
      <c r="AT31" s="20" t="str">
        <f aca="false">HYPERLINK("https://www.google.iq/maps/search/+32.0427,42.253/@32.0427,42.253,14z?hl=en","Maplink2")</f>
        <v>Maplink2</v>
      </c>
      <c r="AU31" s="20" t="str">
        <f aca="false">HYPERLINK("http://www.bing.com/maps/?lvl=14&amp;sty=h&amp;cp=32.0427~42.253&amp;sp=point.32.0427_42.253","Maplink3")</f>
        <v>Maplink3</v>
      </c>
    </row>
    <row r="32" customFormat="false" ht="15" hidden="false" customHeight="true" outlineLevel="0" collapsed="false">
      <c r="A32" s="15" t="n">
        <v>231</v>
      </c>
      <c r="B32" s="16" t="s">
        <v>15</v>
      </c>
      <c r="C32" s="16" t="s">
        <v>102</v>
      </c>
      <c r="D32" s="16" t="s">
        <v>109</v>
      </c>
      <c r="E32" s="17" t="s">
        <v>110</v>
      </c>
      <c r="F32" s="16" t="n">
        <v>33.036414</v>
      </c>
      <c r="G32" s="16" t="n">
        <v>40.284369</v>
      </c>
      <c r="H32" s="18" t="n">
        <v>99</v>
      </c>
      <c r="I32" s="18" t="n">
        <v>594</v>
      </c>
      <c r="J32" s="19" t="n">
        <v>99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 t="n">
        <v>26</v>
      </c>
      <c r="AF32" s="19"/>
      <c r="AG32" s="19"/>
      <c r="AH32" s="19" t="n">
        <v>73</v>
      </c>
      <c r="AI32" s="19"/>
      <c r="AJ32" s="19"/>
      <c r="AK32" s="19"/>
      <c r="AL32" s="19" t="n">
        <v>99</v>
      </c>
      <c r="AM32" s="19"/>
      <c r="AN32" s="19"/>
      <c r="AO32" s="19"/>
      <c r="AP32" s="19"/>
      <c r="AQ32" s="19"/>
      <c r="AR32" s="19"/>
      <c r="AS32" s="20" t="str">
        <f aca="false">HYPERLINK("http://www.openstreetmap.org/?mlat=33.0364&amp;mlon=40.2844&amp;zoom=12#map=12/33.0364/40.2844","Maplink1")</f>
        <v>Maplink1</v>
      </c>
      <c r="AT32" s="20" t="str">
        <f aca="false">HYPERLINK("https://www.google.iq/maps/search/+33.0364,40.2844/@33.0364,40.2844,14z?hl=en","Maplink2")</f>
        <v>Maplink2</v>
      </c>
      <c r="AU32" s="20" t="str">
        <f aca="false">HYPERLINK("http://www.bing.com/maps/?lvl=14&amp;sty=h&amp;cp=33.0364~40.2844&amp;sp=point.33.0364_40.2844","Maplink3")</f>
        <v>Maplink3</v>
      </c>
    </row>
    <row r="33" customFormat="false" ht="15" hidden="false" customHeight="true" outlineLevel="0" collapsed="false">
      <c r="A33" s="15" t="n">
        <v>23935</v>
      </c>
      <c r="B33" s="16" t="s">
        <v>15</v>
      </c>
      <c r="C33" s="16" t="s">
        <v>102</v>
      </c>
      <c r="D33" s="16" t="s">
        <v>111</v>
      </c>
      <c r="E33" s="17" t="s">
        <v>112</v>
      </c>
      <c r="F33" s="16" t="n">
        <v>33.038586</v>
      </c>
      <c r="G33" s="16" t="n">
        <v>40.285558</v>
      </c>
      <c r="H33" s="18" t="n">
        <v>98</v>
      </c>
      <c r="I33" s="18" t="n">
        <v>588</v>
      </c>
      <c r="J33" s="19" t="n">
        <v>98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n">
        <v>36</v>
      </c>
      <c r="AD33" s="19"/>
      <c r="AE33" s="19" t="n">
        <v>8</v>
      </c>
      <c r="AF33" s="19"/>
      <c r="AG33" s="19"/>
      <c r="AH33" s="19" t="n">
        <v>54</v>
      </c>
      <c r="AI33" s="19"/>
      <c r="AJ33" s="19"/>
      <c r="AK33" s="19"/>
      <c r="AL33" s="19" t="n">
        <v>98</v>
      </c>
      <c r="AM33" s="19"/>
      <c r="AN33" s="19"/>
      <c r="AO33" s="19"/>
      <c r="AP33" s="19"/>
      <c r="AQ33" s="19"/>
      <c r="AR33" s="19"/>
      <c r="AS33" s="20" t="str">
        <f aca="false">HYPERLINK("http://www.openstreetmap.org/?mlat=33.0386&amp;mlon=40.2856&amp;zoom=12#map=12/33.0386/40.2856","Maplink1")</f>
        <v>Maplink1</v>
      </c>
      <c r="AT33" s="20" t="str">
        <f aca="false">HYPERLINK("https://www.google.iq/maps/search/+33.0386,40.2856/@33.0386,40.2856,14z?hl=en","Maplink2")</f>
        <v>Maplink2</v>
      </c>
      <c r="AU33" s="20" t="str">
        <f aca="false">HYPERLINK("http://www.bing.com/maps/?lvl=14&amp;sty=h&amp;cp=33.0386~40.2856&amp;sp=point.33.0386_40.2856","Maplink3")</f>
        <v>Maplink3</v>
      </c>
    </row>
    <row r="34" customFormat="false" ht="15" hidden="false" customHeight="true" outlineLevel="0" collapsed="false">
      <c r="A34" s="15" t="n">
        <v>24761</v>
      </c>
      <c r="B34" s="16" t="s">
        <v>15</v>
      </c>
      <c r="C34" s="16" t="s">
        <v>102</v>
      </c>
      <c r="D34" s="16" t="s">
        <v>113</v>
      </c>
      <c r="E34" s="17" t="s">
        <v>114</v>
      </c>
      <c r="F34" s="16" t="n">
        <v>32.764845</v>
      </c>
      <c r="G34" s="16" t="n">
        <v>43.38883</v>
      </c>
      <c r="H34" s="18" t="n">
        <v>72</v>
      </c>
      <c r="I34" s="18" t="n">
        <v>432</v>
      </c>
      <c r="J34" s="19" t="n">
        <v>72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n">
        <v>28</v>
      </c>
      <c r="AD34" s="19"/>
      <c r="AE34" s="19"/>
      <c r="AF34" s="19"/>
      <c r="AG34" s="19"/>
      <c r="AH34" s="19"/>
      <c r="AI34" s="19" t="n">
        <v>24</v>
      </c>
      <c r="AJ34" s="19" t="n">
        <v>20</v>
      </c>
      <c r="AK34" s="19"/>
      <c r="AL34" s="19" t="n">
        <v>44</v>
      </c>
      <c r="AM34" s="19"/>
      <c r="AN34" s="19"/>
      <c r="AO34" s="19"/>
      <c r="AP34" s="19" t="n">
        <v>28</v>
      </c>
      <c r="AQ34" s="19"/>
      <c r="AR34" s="19"/>
      <c r="AS34" s="20" t="str">
        <f aca="false">HYPERLINK("http://www.openstreetmap.org/?mlat=32.7648&amp;mlon=43.3888&amp;zoom=12#map=12/32.7648/43.3888","Maplink1")</f>
        <v>Maplink1</v>
      </c>
      <c r="AT34" s="20" t="str">
        <f aca="false">HYPERLINK("https://www.google.iq/maps/search/+32.7648,43.3888/@32.7648,43.3888,14z?hl=en","Maplink2")</f>
        <v>Maplink2</v>
      </c>
      <c r="AU34" s="20" t="str">
        <f aca="false">HYPERLINK("http://www.bing.com/maps/?lvl=14&amp;sty=h&amp;cp=32.7648~43.3888&amp;sp=point.32.7648_43.3888","Maplink3")</f>
        <v>Maplink3</v>
      </c>
    </row>
    <row r="35" customFormat="false" ht="15" hidden="false" customHeight="true" outlineLevel="0" collapsed="false">
      <c r="A35" s="15" t="n">
        <v>233</v>
      </c>
      <c r="B35" s="16" t="s">
        <v>15</v>
      </c>
      <c r="C35" s="16" t="s">
        <v>102</v>
      </c>
      <c r="D35" s="16" t="s">
        <v>115</v>
      </c>
      <c r="E35" s="17" t="s">
        <v>116</v>
      </c>
      <c r="F35" s="16" t="n">
        <v>33.038566</v>
      </c>
      <c r="G35" s="16" t="n">
        <v>40.285538</v>
      </c>
      <c r="H35" s="18" t="n">
        <v>168</v>
      </c>
      <c r="I35" s="18" t="n">
        <v>1008</v>
      </c>
      <c r="J35" s="19" t="n">
        <v>152</v>
      </c>
      <c r="K35" s="19"/>
      <c r="L35" s="19" t="n">
        <v>16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n">
        <v>16</v>
      </c>
      <c r="AD35" s="19"/>
      <c r="AE35" s="19" t="n">
        <v>17</v>
      </c>
      <c r="AF35" s="19"/>
      <c r="AG35" s="19"/>
      <c r="AH35" s="19" t="n">
        <v>91</v>
      </c>
      <c r="AI35" s="19" t="n">
        <v>18</v>
      </c>
      <c r="AJ35" s="19" t="n">
        <v>26</v>
      </c>
      <c r="AK35" s="19"/>
      <c r="AL35" s="19" t="n">
        <v>152</v>
      </c>
      <c r="AM35" s="19" t="n">
        <v>16</v>
      </c>
      <c r="AN35" s="19"/>
      <c r="AO35" s="19"/>
      <c r="AP35" s="19"/>
      <c r="AQ35" s="19"/>
      <c r="AR35" s="19"/>
      <c r="AS35" s="20" t="str">
        <f aca="false">HYPERLINK("http://www.openstreetmap.org/?mlat=33.0386&amp;mlon=40.2855&amp;zoom=12#map=12/33.0386/40.2855","Maplink1")</f>
        <v>Maplink1</v>
      </c>
      <c r="AT35" s="20" t="str">
        <f aca="false">HYPERLINK("https://www.google.iq/maps/search/+33.0386,40.2855/@33.0386,40.2855,14z?hl=en","Maplink2")</f>
        <v>Maplink2</v>
      </c>
      <c r="AU35" s="20" t="str">
        <f aca="false">HYPERLINK("http://www.bing.com/maps/?lvl=14&amp;sty=h&amp;cp=33.0386~40.2855&amp;sp=point.33.0386_40.2855","Maplink3")</f>
        <v>Maplink3</v>
      </c>
    </row>
    <row r="36" customFormat="false" ht="15" hidden="false" customHeight="true" outlineLevel="0" collapsed="false">
      <c r="A36" s="15" t="n">
        <v>166</v>
      </c>
      <c r="B36" s="16" t="s">
        <v>15</v>
      </c>
      <c r="C36" s="16" t="s">
        <v>102</v>
      </c>
      <c r="D36" s="16" t="s">
        <v>117</v>
      </c>
      <c r="E36" s="17" t="s">
        <v>118</v>
      </c>
      <c r="F36" s="16" t="n">
        <v>33.039801</v>
      </c>
      <c r="G36" s="16" t="n">
        <v>40.282946</v>
      </c>
      <c r="H36" s="18" t="n">
        <v>137</v>
      </c>
      <c r="I36" s="18" t="n">
        <v>822</v>
      </c>
      <c r="J36" s="19" t="n">
        <v>137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 t="n">
        <v>22</v>
      </c>
      <c r="AH36" s="19" t="n">
        <v>85</v>
      </c>
      <c r="AI36" s="19"/>
      <c r="AJ36" s="19" t="n">
        <v>30</v>
      </c>
      <c r="AK36" s="19"/>
      <c r="AL36" s="19" t="n">
        <v>137</v>
      </c>
      <c r="AM36" s="19"/>
      <c r="AN36" s="19"/>
      <c r="AO36" s="19"/>
      <c r="AP36" s="19"/>
      <c r="AQ36" s="19"/>
      <c r="AR36" s="19"/>
      <c r="AS36" s="20" t="str">
        <f aca="false">HYPERLINK("http://www.openstreetmap.org/?mlat=33.0398&amp;mlon=40.2829&amp;zoom=12#map=12/33.0398/40.2829","Maplink1")</f>
        <v>Maplink1</v>
      </c>
      <c r="AT36" s="20" t="str">
        <f aca="false">HYPERLINK("https://www.google.iq/maps/search/+33.0398,40.2829/@33.0398,40.2829,14z?hl=en","Maplink2")</f>
        <v>Maplink2</v>
      </c>
      <c r="AU36" s="20" t="str">
        <f aca="false">HYPERLINK("http://www.bing.com/maps/?lvl=14&amp;sty=h&amp;cp=33.0398~40.2829&amp;sp=point.33.0398_40.2829","Maplink3")</f>
        <v>Maplink3</v>
      </c>
    </row>
    <row r="37" customFormat="false" ht="15" hidden="false" customHeight="true" outlineLevel="0" collapsed="false">
      <c r="A37" s="15" t="n">
        <v>24763</v>
      </c>
      <c r="B37" s="16" t="s">
        <v>15</v>
      </c>
      <c r="C37" s="16" t="s">
        <v>102</v>
      </c>
      <c r="D37" s="16" t="s">
        <v>119</v>
      </c>
      <c r="E37" s="17" t="s">
        <v>120</v>
      </c>
      <c r="F37" s="16" t="n">
        <v>32.764319</v>
      </c>
      <c r="G37" s="16" t="n">
        <v>43.386783</v>
      </c>
      <c r="H37" s="18" t="n">
        <v>45</v>
      </c>
      <c r="I37" s="18" t="n">
        <v>270</v>
      </c>
      <c r="J37" s="19" t="n">
        <v>45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 t="n">
        <v>45</v>
      </c>
      <c r="AJ37" s="19"/>
      <c r="AK37" s="19"/>
      <c r="AL37" s="19" t="n">
        <v>45</v>
      </c>
      <c r="AM37" s="19"/>
      <c r="AN37" s="19"/>
      <c r="AO37" s="19"/>
      <c r="AP37" s="19"/>
      <c r="AQ37" s="19"/>
      <c r="AR37" s="19"/>
      <c r="AS37" s="20" t="str">
        <f aca="false">HYPERLINK("http://www.openstreetmap.org/?mlat=32.7643&amp;mlon=43.3868&amp;zoom=12#map=12/32.7643/43.3868","Maplink1")</f>
        <v>Maplink1</v>
      </c>
      <c r="AT37" s="20" t="str">
        <f aca="false">HYPERLINK("https://www.google.iq/maps/search/+32.7643,43.3868/@32.7643,43.3868,14z?hl=en","Maplink2")</f>
        <v>Maplink2</v>
      </c>
      <c r="AU37" s="20" t="str">
        <f aca="false">HYPERLINK("http://www.bing.com/maps/?lvl=14&amp;sty=h&amp;cp=32.7643~43.3868&amp;sp=point.32.7643_43.3868","Maplink3")</f>
        <v>Maplink3</v>
      </c>
    </row>
    <row r="38" customFormat="false" ht="15" hidden="false" customHeight="true" outlineLevel="0" collapsed="false">
      <c r="A38" s="15" t="n">
        <v>23888</v>
      </c>
      <c r="B38" s="16" t="s">
        <v>15</v>
      </c>
      <c r="C38" s="16" t="s">
        <v>102</v>
      </c>
      <c r="D38" s="16" t="s">
        <v>121</v>
      </c>
      <c r="E38" s="17" t="s">
        <v>122</v>
      </c>
      <c r="F38" s="16" t="n">
        <v>33.037021</v>
      </c>
      <c r="G38" s="16" t="n">
        <v>40.279731</v>
      </c>
      <c r="H38" s="18" t="n">
        <v>153</v>
      </c>
      <c r="I38" s="18" t="n">
        <v>918</v>
      </c>
      <c r="J38" s="19" t="n">
        <v>153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n">
        <v>67</v>
      </c>
      <c r="AD38" s="19"/>
      <c r="AE38" s="19" t="n">
        <v>48</v>
      </c>
      <c r="AF38" s="19"/>
      <c r="AG38" s="19"/>
      <c r="AH38" s="19"/>
      <c r="AI38" s="19" t="n">
        <v>8</v>
      </c>
      <c r="AJ38" s="19" t="n">
        <v>30</v>
      </c>
      <c r="AK38" s="19"/>
      <c r="AL38" s="19" t="n">
        <v>147</v>
      </c>
      <c r="AM38" s="19"/>
      <c r="AN38" s="19"/>
      <c r="AO38" s="19" t="n">
        <v>6</v>
      </c>
      <c r="AP38" s="19"/>
      <c r="AQ38" s="19"/>
      <c r="AR38" s="19"/>
      <c r="AS38" s="20" t="str">
        <f aca="false">HYPERLINK("http://www.openstreetmap.org/?mlat=33.037&amp;mlon=40.2797&amp;zoom=12#map=12/33.037/40.2797","Maplink1")</f>
        <v>Maplink1</v>
      </c>
      <c r="AT38" s="20" t="str">
        <f aca="false">HYPERLINK("https://www.google.iq/maps/search/+33.037,40.2797/@33.037,40.2797,14z?hl=en","Maplink2")</f>
        <v>Maplink2</v>
      </c>
      <c r="AU38" s="20" t="str">
        <f aca="false">HYPERLINK("http://www.bing.com/maps/?lvl=14&amp;sty=h&amp;cp=33.037~40.2797&amp;sp=point.33.037_40.2797","Maplink3")</f>
        <v>Maplink3</v>
      </c>
    </row>
    <row r="39" customFormat="false" ht="15" hidden="false" customHeight="true" outlineLevel="0" collapsed="false">
      <c r="A39" s="15" t="n">
        <v>23936</v>
      </c>
      <c r="B39" s="16" t="s">
        <v>15</v>
      </c>
      <c r="C39" s="16" t="s">
        <v>102</v>
      </c>
      <c r="D39" s="16" t="s">
        <v>123</v>
      </c>
      <c r="E39" s="17" t="s">
        <v>124</v>
      </c>
      <c r="F39" s="16" t="n">
        <v>33.036434</v>
      </c>
      <c r="G39" s="16" t="n">
        <v>40.284389</v>
      </c>
      <c r="H39" s="18" t="n">
        <v>71</v>
      </c>
      <c r="I39" s="18" t="n">
        <v>426</v>
      </c>
      <c r="J39" s="19" t="n">
        <v>71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 t="n">
        <v>71</v>
      </c>
      <c r="AK39" s="19"/>
      <c r="AL39" s="19" t="n">
        <v>71</v>
      </c>
      <c r="AM39" s="19"/>
      <c r="AN39" s="19"/>
      <c r="AO39" s="19"/>
      <c r="AP39" s="19"/>
      <c r="AQ39" s="19"/>
      <c r="AR39" s="19"/>
      <c r="AS39" s="20" t="str">
        <f aca="false">HYPERLINK("http://www.openstreetmap.org/?mlat=33.0364&amp;mlon=40.2844&amp;zoom=12#map=12/33.0364/40.2844","Maplink1")</f>
        <v>Maplink1</v>
      </c>
      <c r="AT39" s="20" t="str">
        <f aca="false">HYPERLINK("https://www.google.iq/maps/search/+33.0364,40.2844/@33.0364,40.2844,14z?hl=en","Maplink2")</f>
        <v>Maplink2</v>
      </c>
      <c r="AU39" s="20" t="str">
        <f aca="false">HYPERLINK("http://www.bing.com/maps/?lvl=14&amp;sty=h&amp;cp=33.0364~40.2844&amp;sp=point.33.0364_40.2844","Maplink3")</f>
        <v>Maplink3</v>
      </c>
    </row>
    <row r="40" customFormat="false" ht="15" hidden="false" customHeight="true" outlineLevel="0" collapsed="false">
      <c r="A40" s="15" t="n">
        <v>248</v>
      </c>
      <c r="B40" s="16" t="s">
        <v>15</v>
      </c>
      <c r="C40" s="16" t="s">
        <v>125</v>
      </c>
      <c r="D40" s="16" t="s">
        <v>126</v>
      </c>
      <c r="E40" s="17" t="s">
        <v>127</v>
      </c>
      <c r="F40" s="16" t="n">
        <v>34.369352</v>
      </c>
      <c r="G40" s="16" t="n">
        <v>41.977818</v>
      </c>
      <c r="H40" s="18" t="n">
        <v>242</v>
      </c>
      <c r="I40" s="18" t="n">
        <v>1452</v>
      </c>
      <c r="J40" s="19" t="n">
        <v>242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n">
        <v>72</v>
      </c>
      <c r="AD40" s="19"/>
      <c r="AE40" s="19"/>
      <c r="AF40" s="19"/>
      <c r="AG40" s="19"/>
      <c r="AH40" s="19" t="n">
        <v>170</v>
      </c>
      <c r="AI40" s="19"/>
      <c r="AJ40" s="19"/>
      <c r="AK40" s="19"/>
      <c r="AL40" s="19" t="n">
        <v>235</v>
      </c>
      <c r="AM40" s="19"/>
      <c r="AN40" s="19"/>
      <c r="AO40" s="19" t="n">
        <v>7</v>
      </c>
      <c r="AP40" s="19"/>
      <c r="AQ40" s="19"/>
      <c r="AR40" s="19"/>
      <c r="AS40" s="20" t="str">
        <f aca="false">HYPERLINK("http://www.openstreetmap.org/?mlat=34.3694&amp;mlon=41.9778&amp;zoom=12#map=12/34.3694/41.9778","Maplink1")</f>
        <v>Maplink1</v>
      </c>
      <c r="AT40" s="20" t="str">
        <f aca="false">HYPERLINK("https://www.google.iq/maps/search/+34.3694,41.9778/@34.3694,41.9778,14z?hl=en","Maplink2")</f>
        <v>Maplink2</v>
      </c>
      <c r="AU40" s="20" t="str">
        <f aca="false">HYPERLINK("http://www.bing.com/maps/?lvl=14&amp;sty=h&amp;cp=34.3694~41.9778&amp;sp=point.34.3694_41.9778","Maplink3")</f>
        <v>Maplink3</v>
      </c>
    </row>
    <row r="41" customFormat="false" ht="15" hidden="false" customHeight="true" outlineLevel="0" collapsed="false">
      <c r="A41" s="15" t="n">
        <v>246</v>
      </c>
      <c r="B41" s="16" t="s">
        <v>15</v>
      </c>
      <c r="C41" s="16" t="s">
        <v>125</v>
      </c>
      <c r="D41" s="16" t="s">
        <v>128</v>
      </c>
      <c r="E41" s="17" t="s">
        <v>129</v>
      </c>
      <c r="F41" s="16" t="n">
        <v>34.226544</v>
      </c>
      <c r="G41" s="16" t="n">
        <v>42.145227</v>
      </c>
      <c r="H41" s="18" t="n">
        <v>129</v>
      </c>
      <c r="I41" s="18" t="n">
        <v>774</v>
      </c>
      <c r="J41" s="19" t="n">
        <v>129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 t="n">
        <v>24</v>
      </c>
      <c r="AD41" s="19"/>
      <c r="AE41" s="19" t="n">
        <v>32</v>
      </c>
      <c r="AF41" s="19"/>
      <c r="AG41" s="19"/>
      <c r="AH41" s="19" t="n">
        <v>73</v>
      </c>
      <c r="AI41" s="19"/>
      <c r="AJ41" s="19"/>
      <c r="AK41" s="19"/>
      <c r="AL41" s="19" t="n">
        <v>124</v>
      </c>
      <c r="AM41" s="19"/>
      <c r="AN41" s="19"/>
      <c r="AO41" s="19" t="n">
        <v>5</v>
      </c>
      <c r="AP41" s="19"/>
      <c r="AQ41" s="19"/>
      <c r="AR41" s="19"/>
      <c r="AS41" s="20" t="str">
        <f aca="false">HYPERLINK("http://www.openstreetmap.org/?mlat=34.2265&amp;mlon=42.1452&amp;zoom=12#map=12/34.2265/42.1452","Maplink1")</f>
        <v>Maplink1</v>
      </c>
      <c r="AT41" s="20" t="str">
        <f aca="false">HYPERLINK("https://www.google.iq/maps/search/+34.2265,42.1452/@34.2265,42.1452,14z?hl=en","Maplink2")</f>
        <v>Maplink2</v>
      </c>
      <c r="AU41" s="20" t="str">
        <f aca="false">HYPERLINK("http://www.bing.com/maps/?lvl=14&amp;sty=h&amp;cp=34.2265~42.1452&amp;sp=point.34.2265_42.1452","Maplink3")</f>
        <v>Maplink3</v>
      </c>
    </row>
    <row r="42" customFormat="false" ht="15" hidden="false" customHeight="true" outlineLevel="0" collapsed="false">
      <c r="A42" s="15" t="n">
        <v>252</v>
      </c>
      <c r="B42" s="16" t="s">
        <v>15</v>
      </c>
      <c r="C42" s="16" t="s">
        <v>125</v>
      </c>
      <c r="D42" s="16" t="s">
        <v>130</v>
      </c>
      <c r="E42" s="17" t="s">
        <v>131</v>
      </c>
      <c r="F42" s="16" t="n">
        <v>34.367327</v>
      </c>
      <c r="G42" s="16" t="n">
        <v>41.97249</v>
      </c>
      <c r="H42" s="18" t="n">
        <v>337</v>
      </c>
      <c r="I42" s="18" t="n">
        <v>2022</v>
      </c>
      <c r="J42" s="19" t="n">
        <v>337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n">
        <v>98</v>
      </c>
      <c r="AD42" s="19"/>
      <c r="AE42" s="19"/>
      <c r="AF42" s="19"/>
      <c r="AG42" s="19"/>
      <c r="AH42" s="19" t="n">
        <v>178</v>
      </c>
      <c r="AI42" s="19" t="n">
        <v>4</v>
      </c>
      <c r="AJ42" s="19" t="n">
        <v>57</v>
      </c>
      <c r="AK42" s="19"/>
      <c r="AL42" s="19" t="n">
        <v>329</v>
      </c>
      <c r="AM42" s="19"/>
      <c r="AN42" s="19"/>
      <c r="AO42" s="19" t="n">
        <v>8</v>
      </c>
      <c r="AP42" s="19"/>
      <c r="AQ42" s="19"/>
      <c r="AR42" s="19"/>
      <c r="AS42" s="20" t="str">
        <f aca="false">HYPERLINK("http://www.openstreetmap.org/?mlat=34.3673&amp;mlon=41.9725&amp;zoom=12#map=12/34.3673/41.9725","Maplink1")</f>
        <v>Maplink1</v>
      </c>
      <c r="AT42" s="20" t="str">
        <f aca="false">HYPERLINK("https://www.google.iq/maps/search/+34.3673,41.9725/@34.3673,41.9725,14z?hl=en","Maplink2")</f>
        <v>Maplink2</v>
      </c>
      <c r="AU42" s="20" t="str">
        <f aca="false">HYPERLINK("http://www.bing.com/maps/?lvl=14&amp;sty=h&amp;cp=34.3673~41.9725&amp;sp=point.34.3673_41.9725","Maplink3")</f>
        <v>Maplink3</v>
      </c>
    </row>
    <row r="43" customFormat="false" ht="15" hidden="false" customHeight="true" outlineLevel="0" collapsed="false">
      <c r="A43" s="15" t="n">
        <v>250</v>
      </c>
      <c r="B43" s="16" t="s">
        <v>15</v>
      </c>
      <c r="C43" s="16" t="s">
        <v>125</v>
      </c>
      <c r="D43" s="16" t="s">
        <v>132</v>
      </c>
      <c r="E43" s="17" t="s">
        <v>133</v>
      </c>
      <c r="F43" s="16" t="n">
        <v>34.366033</v>
      </c>
      <c r="G43" s="16" t="n">
        <v>41.990583</v>
      </c>
      <c r="H43" s="18" t="n">
        <v>309</v>
      </c>
      <c r="I43" s="18" t="n">
        <v>1854</v>
      </c>
      <c r="J43" s="19" t="n">
        <v>309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n">
        <v>107</v>
      </c>
      <c r="AD43" s="19"/>
      <c r="AE43" s="19"/>
      <c r="AF43" s="19"/>
      <c r="AG43" s="19"/>
      <c r="AH43" s="19" t="n">
        <v>194</v>
      </c>
      <c r="AI43" s="19" t="n">
        <v>8</v>
      </c>
      <c r="AJ43" s="19"/>
      <c r="AK43" s="19"/>
      <c r="AL43" s="19" t="n">
        <v>304</v>
      </c>
      <c r="AM43" s="19"/>
      <c r="AN43" s="19"/>
      <c r="AO43" s="19" t="n">
        <v>5</v>
      </c>
      <c r="AP43" s="19"/>
      <c r="AQ43" s="19"/>
      <c r="AR43" s="19"/>
      <c r="AS43" s="20" t="str">
        <f aca="false">HYPERLINK("http://www.openstreetmap.org/?mlat=34.366&amp;mlon=41.9906&amp;zoom=12#map=12/34.366/41.9906","Maplink1")</f>
        <v>Maplink1</v>
      </c>
      <c r="AT43" s="20" t="str">
        <f aca="false">HYPERLINK("https://www.google.iq/maps/search/+34.366,41.9906/@34.366,41.9906,14z?hl=en","Maplink2")</f>
        <v>Maplink2</v>
      </c>
      <c r="AU43" s="20" t="str">
        <f aca="false">HYPERLINK("http://www.bing.com/maps/?lvl=14&amp;sty=h&amp;cp=34.366~41.9906&amp;sp=point.34.366_41.9906","Maplink3")</f>
        <v>Maplink3</v>
      </c>
    </row>
    <row r="44" customFormat="false" ht="15" hidden="false" customHeight="true" outlineLevel="0" collapsed="false">
      <c r="A44" s="15" t="n">
        <v>251</v>
      </c>
      <c r="B44" s="16" t="s">
        <v>15</v>
      </c>
      <c r="C44" s="16" t="s">
        <v>125</v>
      </c>
      <c r="D44" s="16" t="s">
        <v>134</v>
      </c>
      <c r="E44" s="17" t="s">
        <v>135</v>
      </c>
      <c r="F44" s="16" t="n">
        <v>34.376623</v>
      </c>
      <c r="G44" s="16" t="n">
        <v>41.980873</v>
      </c>
      <c r="H44" s="18" t="n">
        <v>294</v>
      </c>
      <c r="I44" s="18" t="n">
        <v>1764</v>
      </c>
      <c r="J44" s="19" t="n">
        <v>294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n">
        <v>122</v>
      </c>
      <c r="AD44" s="19"/>
      <c r="AE44" s="19"/>
      <c r="AF44" s="19"/>
      <c r="AG44" s="19"/>
      <c r="AH44" s="19" t="n">
        <v>164</v>
      </c>
      <c r="AI44" s="19" t="n">
        <v>8</v>
      </c>
      <c r="AJ44" s="19"/>
      <c r="AK44" s="19"/>
      <c r="AL44" s="19" t="n">
        <v>289</v>
      </c>
      <c r="AM44" s="19"/>
      <c r="AN44" s="19"/>
      <c r="AO44" s="19" t="n">
        <v>5</v>
      </c>
      <c r="AP44" s="19"/>
      <c r="AQ44" s="19"/>
      <c r="AR44" s="19"/>
      <c r="AS44" s="20" t="str">
        <f aca="false">HYPERLINK("http://www.openstreetmap.org/?mlat=34.3766&amp;mlon=41.9809&amp;zoom=12#map=12/34.3766/41.9809","Maplink1")</f>
        <v>Maplink1</v>
      </c>
      <c r="AT44" s="20" t="str">
        <f aca="false">HYPERLINK("https://www.google.iq/maps/search/+34.3766,41.9809/@34.3766,41.9809,14z?hl=en","Maplink2")</f>
        <v>Maplink2</v>
      </c>
      <c r="AU44" s="20" t="str">
        <f aca="false">HYPERLINK("http://www.bing.com/maps/?lvl=14&amp;sty=h&amp;cp=34.3766~41.9809&amp;sp=point.34.3766_41.9809","Maplink3")</f>
        <v>Maplink3</v>
      </c>
    </row>
    <row r="45" customFormat="false" ht="15" hidden="false" customHeight="true" outlineLevel="0" collapsed="false">
      <c r="A45" s="15" t="n">
        <v>253</v>
      </c>
      <c r="B45" s="16" t="s">
        <v>15</v>
      </c>
      <c r="C45" s="16" t="s">
        <v>125</v>
      </c>
      <c r="D45" s="16" t="s">
        <v>136</v>
      </c>
      <c r="E45" s="17" t="s">
        <v>97</v>
      </c>
      <c r="F45" s="16" t="n">
        <v>34.36451</v>
      </c>
      <c r="G45" s="16" t="n">
        <v>41.980244</v>
      </c>
      <c r="H45" s="18" t="n">
        <v>252</v>
      </c>
      <c r="I45" s="18" t="n">
        <v>1512</v>
      </c>
      <c r="J45" s="19" t="n">
        <v>252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 t="n">
        <v>93</v>
      </c>
      <c r="AD45" s="19"/>
      <c r="AE45" s="19" t="n">
        <v>35</v>
      </c>
      <c r="AF45" s="19"/>
      <c r="AG45" s="19"/>
      <c r="AH45" s="19" t="n">
        <v>110</v>
      </c>
      <c r="AI45" s="19"/>
      <c r="AJ45" s="19" t="n">
        <v>14</v>
      </c>
      <c r="AK45" s="19"/>
      <c r="AL45" s="19" t="n">
        <v>247</v>
      </c>
      <c r="AM45" s="19"/>
      <c r="AN45" s="19"/>
      <c r="AO45" s="19" t="n">
        <v>5</v>
      </c>
      <c r="AP45" s="19"/>
      <c r="AQ45" s="19"/>
      <c r="AR45" s="19"/>
      <c r="AS45" s="20" t="str">
        <f aca="false">HYPERLINK("http://www.openstreetmap.org/?mlat=34.3645&amp;mlon=41.9802&amp;zoom=12#map=12/34.3645/41.9802","Maplink1")</f>
        <v>Maplink1</v>
      </c>
      <c r="AT45" s="20" t="str">
        <f aca="false">HYPERLINK("https://www.google.iq/maps/search/+34.3645,41.9802/@34.3645,41.9802,14z?hl=en","Maplink2")</f>
        <v>Maplink2</v>
      </c>
      <c r="AU45" s="20" t="str">
        <f aca="false">HYPERLINK("http://www.bing.com/maps/?lvl=14&amp;sty=h&amp;cp=34.3645~41.9802&amp;sp=point.34.3645_41.9802","Maplink3")</f>
        <v>Maplink3</v>
      </c>
    </row>
    <row r="46" customFormat="false" ht="15" hidden="false" customHeight="true" outlineLevel="0" collapsed="false">
      <c r="A46" s="15" t="n">
        <v>249</v>
      </c>
      <c r="B46" s="16" t="s">
        <v>15</v>
      </c>
      <c r="C46" s="16" t="s">
        <v>125</v>
      </c>
      <c r="D46" s="16" t="s">
        <v>137</v>
      </c>
      <c r="E46" s="17" t="s">
        <v>138</v>
      </c>
      <c r="F46" s="16" t="n">
        <v>34.369383</v>
      </c>
      <c r="G46" s="16" t="n">
        <v>41.991556</v>
      </c>
      <c r="H46" s="18" t="n">
        <v>179</v>
      </c>
      <c r="I46" s="18" t="n">
        <v>1074</v>
      </c>
      <c r="J46" s="19" t="n">
        <v>179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n">
        <v>81</v>
      </c>
      <c r="AD46" s="19"/>
      <c r="AE46" s="19"/>
      <c r="AF46" s="19"/>
      <c r="AG46" s="19"/>
      <c r="AH46" s="19" t="n">
        <v>91</v>
      </c>
      <c r="AI46" s="19" t="n">
        <v>7</v>
      </c>
      <c r="AJ46" s="19"/>
      <c r="AK46" s="19"/>
      <c r="AL46" s="19" t="n">
        <v>171</v>
      </c>
      <c r="AM46" s="19"/>
      <c r="AN46" s="19"/>
      <c r="AO46" s="19" t="n">
        <v>8</v>
      </c>
      <c r="AP46" s="19"/>
      <c r="AQ46" s="19"/>
      <c r="AR46" s="19"/>
      <c r="AS46" s="20" t="str">
        <f aca="false">HYPERLINK("http://www.openstreetmap.org/?mlat=34.3694&amp;mlon=41.9916&amp;zoom=12#map=12/34.3694/41.9916","Maplink1")</f>
        <v>Maplink1</v>
      </c>
      <c r="AT46" s="20" t="str">
        <f aca="false">HYPERLINK("https://www.google.iq/maps/search/+34.3694,41.9916/@34.3694,41.9916,14z?hl=en","Maplink2")</f>
        <v>Maplink2</v>
      </c>
      <c r="AU46" s="20" t="str">
        <f aca="false">HYPERLINK("http://www.bing.com/maps/?lvl=14&amp;sty=h&amp;cp=34.3694~41.9916&amp;sp=point.34.3694_41.9916","Maplink3")</f>
        <v>Maplink3</v>
      </c>
    </row>
    <row r="47" customFormat="false" ht="15" hidden="false" customHeight="true" outlineLevel="0" collapsed="false">
      <c r="A47" s="15" t="n">
        <v>247</v>
      </c>
      <c r="B47" s="16" t="s">
        <v>15</v>
      </c>
      <c r="C47" s="16" t="s">
        <v>125</v>
      </c>
      <c r="D47" s="16" t="s">
        <v>139</v>
      </c>
      <c r="E47" s="17" t="s">
        <v>140</v>
      </c>
      <c r="F47" s="16" t="n">
        <v>34.340626</v>
      </c>
      <c r="G47" s="16" t="n">
        <v>42.029125</v>
      </c>
      <c r="H47" s="18" t="n">
        <v>114</v>
      </c>
      <c r="I47" s="18" t="n">
        <v>684</v>
      </c>
      <c r="J47" s="19" t="n">
        <v>114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 t="n">
        <v>62</v>
      </c>
      <c r="AD47" s="19"/>
      <c r="AE47" s="19"/>
      <c r="AF47" s="19"/>
      <c r="AG47" s="19"/>
      <c r="AH47" s="19" t="n">
        <v>52</v>
      </c>
      <c r="AI47" s="19"/>
      <c r="AJ47" s="19"/>
      <c r="AK47" s="19"/>
      <c r="AL47" s="19" t="n">
        <v>107</v>
      </c>
      <c r="AM47" s="19"/>
      <c r="AN47" s="19"/>
      <c r="AO47" s="19" t="n">
        <v>7</v>
      </c>
      <c r="AP47" s="19"/>
      <c r="AQ47" s="19"/>
      <c r="AR47" s="19"/>
      <c r="AS47" s="20" t="str">
        <f aca="false">HYPERLINK("http://www.openstreetmap.org/?mlat=34.3406&amp;mlon=42.0291&amp;zoom=12#map=12/34.3406/42.0291","Maplink1")</f>
        <v>Maplink1</v>
      </c>
      <c r="AT47" s="20" t="str">
        <f aca="false">HYPERLINK("https://www.google.iq/maps/search/+34.3406,42.0291/@34.3406,42.0291,14z?hl=en","Maplink2")</f>
        <v>Maplink2</v>
      </c>
      <c r="AU47" s="20" t="str">
        <f aca="false">HYPERLINK("http://www.bing.com/maps/?lvl=14&amp;sty=h&amp;cp=34.3406~42.0291&amp;sp=point.34.3406_42.0291","Maplink3")</f>
        <v>Maplink3</v>
      </c>
    </row>
    <row r="48" customFormat="false" ht="15" hidden="false" customHeight="true" outlineLevel="0" collapsed="false">
      <c r="A48" s="15" t="n">
        <v>109</v>
      </c>
      <c r="B48" s="16" t="s">
        <v>15</v>
      </c>
      <c r="C48" s="16" t="s">
        <v>125</v>
      </c>
      <c r="D48" s="16" t="s">
        <v>141</v>
      </c>
      <c r="E48" s="17" t="s">
        <v>99</v>
      </c>
      <c r="F48" s="16" t="n">
        <v>34.373336</v>
      </c>
      <c r="G48" s="16" t="n">
        <v>41.987463</v>
      </c>
      <c r="H48" s="18" t="n">
        <v>214</v>
      </c>
      <c r="I48" s="18" t="n">
        <v>1284</v>
      </c>
      <c r="J48" s="19" t="n">
        <v>214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 t="n">
        <v>88</v>
      </c>
      <c r="AD48" s="19"/>
      <c r="AE48" s="19" t="n">
        <v>2</v>
      </c>
      <c r="AF48" s="19"/>
      <c r="AG48" s="19"/>
      <c r="AH48" s="19" t="n">
        <v>117</v>
      </c>
      <c r="AI48" s="19" t="n">
        <v>7</v>
      </c>
      <c r="AJ48" s="19"/>
      <c r="AK48" s="19"/>
      <c r="AL48" s="19" t="n">
        <v>205</v>
      </c>
      <c r="AM48" s="19"/>
      <c r="AN48" s="19"/>
      <c r="AO48" s="19" t="n">
        <v>9</v>
      </c>
      <c r="AP48" s="19"/>
      <c r="AQ48" s="19"/>
      <c r="AR48" s="19"/>
      <c r="AS48" s="20" t="str">
        <f aca="false">HYPERLINK("http://www.openstreetmap.org/?mlat=34.3733&amp;mlon=41.9875&amp;zoom=12#map=12/34.3733/41.9875","Maplink1")</f>
        <v>Maplink1</v>
      </c>
      <c r="AT48" s="20" t="str">
        <f aca="false">HYPERLINK("https://www.google.iq/maps/search/+34.3733,41.9875/@34.3733,41.9875,14z?hl=en","Maplink2")</f>
        <v>Maplink2</v>
      </c>
      <c r="AU48" s="20" t="str">
        <f aca="false">HYPERLINK("http://www.bing.com/maps/?lvl=14&amp;sty=h&amp;cp=34.3733~41.9875&amp;sp=point.34.3733_41.9875","Maplink3")</f>
        <v>Maplink3</v>
      </c>
    </row>
    <row r="49" customFormat="false" ht="15" hidden="false" customHeight="true" outlineLevel="0" collapsed="false">
      <c r="A49" s="15" t="n">
        <v>107</v>
      </c>
      <c r="B49" s="16" t="s">
        <v>15</v>
      </c>
      <c r="C49" s="16" t="s">
        <v>142</v>
      </c>
      <c r="D49" s="16" t="s">
        <v>143</v>
      </c>
      <c r="E49" s="17" t="s">
        <v>144</v>
      </c>
      <c r="F49" s="16" t="n">
        <v>33.178968</v>
      </c>
      <c r="G49" s="16" t="n">
        <v>43.858219</v>
      </c>
      <c r="H49" s="18" t="n">
        <v>447</v>
      </c>
      <c r="I49" s="18" t="n">
        <v>2682</v>
      </c>
      <c r="J49" s="19" t="n">
        <v>447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 t="n">
        <v>54</v>
      </c>
      <c r="AD49" s="19"/>
      <c r="AE49" s="19" t="n">
        <v>202</v>
      </c>
      <c r="AF49" s="19"/>
      <c r="AG49" s="19" t="n">
        <v>18</v>
      </c>
      <c r="AH49" s="19" t="n">
        <v>50</v>
      </c>
      <c r="AI49" s="19" t="n">
        <v>23</v>
      </c>
      <c r="AJ49" s="19" t="n">
        <v>100</v>
      </c>
      <c r="AK49" s="19"/>
      <c r="AL49" s="19" t="n">
        <v>183</v>
      </c>
      <c r="AM49" s="19"/>
      <c r="AN49" s="19"/>
      <c r="AO49" s="19"/>
      <c r="AP49" s="19" t="n">
        <v>264</v>
      </c>
      <c r="AQ49" s="19"/>
      <c r="AR49" s="19"/>
      <c r="AS49" s="20" t="str">
        <f aca="false">HYPERLINK("http://www.openstreetmap.org/?mlat=33.179&amp;mlon=43.8582&amp;zoom=12#map=12/33.179/43.8582","Maplink1")</f>
        <v>Maplink1</v>
      </c>
      <c r="AT49" s="20" t="str">
        <f aca="false">HYPERLINK("https://www.google.iq/maps/search/+33.179,43.8582/@33.179,43.8582,14z?hl=en","Maplink2")</f>
        <v>Maplink2</v>
      </c>
      <c r="AU49" s="20" t="str">
        <f aca="false">HYPERLINK("http://www.bing.com/maps/?lvl=14&amp;sty=h&amp;cp=33.179~43.8582&amp;sp=point.33.179_43.8582","Maplink3")</f>
        <v>Maplink3</v>
      </c>
    </row>
    <row r="50" customFormat="false" ht="15" hidden="false" customHeight="true" outlineLevel="0" collapsed="false">
      <c r="A50" s="15" t="n">
        <v>22864</v>
      </c>
      <c r="B50" s="16" t="s">
        <v>15</v>
      </c>
      <c r="C50" s="16" t="s">
        <v>142</v>
      </c>
      <c r="D50" s="16" t="s">
        <v>145</v>
      </c>
      <c r="E50" s="17" t="s">
        <v>146</v>
      </c>
      <c r="F50" s="16" t="n">
        <v>33.279703</v>
      </c>
      <c r="G50" s="16" t="n">
        <v>43.795607</v>
      </c>
      <c r="H50" s="18" t="n">
        <v>36</v>
      </c>
      <c r="I50" s="18" t="n">
        <v>216</v>
      </c>
      <c r="J50" s="19" t="n">
        <v>36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 t="n">
        <v>36</v>
      </c>
      <c r="AK50" s="19"/>
      <c r="AL50" s="19" t="n">
        <v>36</v>
      </c>
      <c r="AM50" s="19"/>
      <c r="AN50" s="19"/>
      <c r="AO50" s="19"/>
      <c r="AP50" s="19"/>
      <c r="AQ50" s="19"/>
      <c r="AR50" s="19"/>
      <c r="AS50" s="20" t="str">
        <f aca="false">HYPERLINK("http://www.openstreetmap.org/?mlat=33.2797&amp;mlon=43.7956&amp;zoom=12#map=12/33.2797/43.7956","Maplink1")</f>
        <v>Maplink1</v>
      </c>
      <c r="AT50" s="20" t="str">
        <f aca="false">HYPERLINK("https://www.google.iq/maps/search/+33.2797,43.7956/@33.2797,43.7956,14z?hl=en","Maplink2")</f>
        <v>Maplink2</v>
      </c>
      <c r="AU50" s="20" t="str">
        <f aca="false">HYPERLINK("http://www.bing.com/maps/?lvl=14&amp;sty=h&amp;cp=33.2797~43.7956&amp;sp=point.33.2797_43.7956","Maplink3")</f>
        <v>Maplink3</v>
      </c>
    </row>
    <row r="51" customFormat="false" ht="15" hidden="false" customHeight="true" outlineLevel="0" collapsed="false">
      <c r="A51" s="15" t="n">
        <v>26035</v>
      </c>
      <c r="B51" s="16" t="s">
        <v>15</v>
      </c>
      <c r="C51" s="16" t="s">
        <v>142</v>
      </c>
      <c r="D51" s="16" t="s">
        <v>147</v>
      </c>
      <c r="E51" s="17" t="s">
        <v>148</v>
      </c>
      <c r="F51" s="16" t="n">
        <v>33.10345189</v>
      </c>
      <c r="G51" s="16" t="n">
        <v>43.79992835</v>
      </c>
      <c r="H51" s="18" t="n">
        <v>100</v>
      </c>
      <c r="I51" s="18" t="n">
        <v>600</v>
      </c>
      <c r="J51" s="19" t="n">
        <v>100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 t="n">
        <v>100</v>
      </c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 t="n">
        <v>100</v>
      </c>
      <c r="AQ51" s="19"/>
      <c r="AR51" s="19"/>
      <c r="AS51" s="20" t="str">
        <f aca="false">HYPERLINK("http://www.openstreetmap.org/?mlat=33.1035&amp;mlon=43.7999&amp;zoom=12#map=12/33.1035/43.7999","Maplink1")</f>
        <v>Maplink1</v>
      </c>
      <c r="AT51" s="20" t="str">
        <f aca="false">HYPERLINK("https://www.google.iq/maps/search/+33.1035,43.7999/@33.1035,43.7999,14z?hl=en","Maplink2")</f>
        <v>Maplink2</v>
      </c>
      <c r="AU51" s="20" t="str">
        <f aca="false">HYPERLINK("http://www.bing.com/maps/?lvl=14&amp;sty=h&amp;cp=33.1035~43.7999&amp;sp=point.33.1035_43.7999","Maplink3")</f>
        <v>Maplink3</v>
      </c>
    </row>
    <row r="52" customFormat="false" ht="15" hidden="false" customHeight="true" outlineLevel="0" collapsed="false">
      <c r="A52" s="15" t="n">
        <v>26084</v>
      </c>
      <c r="B52" s="16" t="s">
        <v>15</v>
      </c>
      <c r="C52" s="16" t="s">
        <v>142</v>
      </c>
      <c r="D52" s="16" t="s">
        <v>149</v>
      </c>
      <c r="E52" s="17" t="s">
        <v>150</v>
      </c>
      <c r="F52" s="16" t="n">
        <v>33.12157396</v>
      </c>
      <c r="G52" s="16" t="n">
        <v>44.04085934</v>
      </c>
      <c r="H52" s="18" t="n">
        <v>278</v>
      </c>
      <c r="I52" s="18" t="n">
        <v>1668</v>
      </c>
      <c r="J52" s="19" t="n">
        <v>278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n">
        <v>170</v>
      </c>
      <c r="AD52" s="19"/>
      <c r="AE52" s="19" t="n">
        <v>108</v>
      </c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 t="n">
        <v>278</v>
      </c>
      <c r="AQ52" s="19"/>
      <c r="AR52" s="19"/>
      <c r="AS52" s="20" t="str">
        <f aca="false">HYPERLINK("http://www.openstreetmap.org/?mlat=33.1216&amp;mlon=44.0409&amp;zoom=12#map=12/33.1216/44.0409","Maplink1")</f>
        <v>Maplink1</v>
      </c>
      <c r="AT52" s="20" t="str">
        <f aca="false">HYPERLINK("https://www.google.iq/maps/search/+33.1216,44.0409/@33.1216,44.0409,14z?hl=en","Maplink2")</f>
        <v>Maplink2</v>
      </c>
      <c r="AU52" s="20" t="str">
        <f aca="false">HYPERLINK("http://www.bing.com/maps/?lvl=14&amp;sty=h&amp;cp=33.1216~44.0409&amp;sp=point.33.1216_44.0409","Maplink3")</f>
        <v>Maplink3</v>
      </c>
    </row>
    <row r="53" customFormat="false" ht="15" hidden="false" customHeight="true" outlineLevel="0" collapsed="false">
      <c r="A53" s="15" t="n">
        <v>26091</v>
      </c>
      <c r="B53" s="16" t="s">
        <v>15</v>
      </c>
      <c r="C53" s="16" t="s">
        <v>142</v>
      </c>
      <c r="D53" s="16" t="s">
        <v>151</v>
      </c>
      <c r="E53" s="17" t="s">
        <v>152</v>
      </c>
      <c r="F53" s="16" t="n">
        <v>33.15822868</v>
      </c>
      <c r="G53" s="16" t="n">
        <v>43.93685111</v>
      </c>
      <c r="H53" s="18" t="n">
        <v>276</v>
      </c>
      <c r="I53" s="18" t="n">
        <v>1656</v>
      </c>
      <c r="J53" s="19" t="n">
        <v>276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n">
        <v>240</v>
      </c>
      <c r="AD53" s="19"/>
      <c r="AE53" s="19"/>
      <c r="AF53" s="19"/>
      <c r="AG53" s="19"/>
      <c r="AH53" s="19"/>
      <c r="AI53" s="19"/>
      <c r="AJ53" s="19" t="n">
        <v>36</v>
      </c>
      <c r="AK53" s="19"/>
      <c r="AL53" s="19"/>
      <c r="AM53" s="19"/>
      <c r="AN53" s="19"/>
      <c r="AO53" s="19"/>
      <c r="AP53" s="19" t="n">
        <v>276</v>
      </c>
      <c r="AQ53" s="19"/>
      <c r="AR53" s="19"/>
      <c r="AS53" s="20" t="str">
        <f aca="false">HYPERLINK("http://www.openstreetmap.org/?mlat=33.1582&amp;mlon=43.9369&amp;zoom=12#map=12/33.1582/43.9369","Maplink1")</f>
        <v>Maplink1</v>
      </c>
      <c r="AT53" s="20" t="str">
        <f aca="false">HYPERLINK("https://www.google.iq/maps/search/+33.1582,43.9369/@33.1582,43.9369,14z?hl=en","Maplink2")</f>
        <v>Maplink2</v>
      </c>
      <c r="AU53" s="20" t="str">
        <f aca="false">HYPERLINK("http://www.bing.com/maps/?lvl=14&amp;sty=h&amp;cp=33.1582~43.9369&amp;sp=point.33.1582_43.9369","Maplink3")</f>
        <v>Maplink3</v>
      </c>
    </row>
    <row r="54" customFormat="false" ht="15" hidden="false" customHeight="true" outlineLevel="0" collapsed="false">
      <c r="A54" s="15" t="n">
        <v>26092</v>
      </c>
      <c r="B54" s="16" t="s">
        <v>15</v>
      </c>
      <c r="C54" s="16" t="s">
        <v>142</v>
      </c>
      <c r="D54" s="16" t="s">
        <v>153</v>
      </c>
      <c r="E54" s="17" t="s">
        <v>154</v>
      </c>
      <c r="F54" s="16" t="n">
        <v>33.14253103</v>
      </c>
      <c r="G54" s="16" t="n">
        <v>43.95984551</v>
      </c>
      <c r="H54" s="18" t="n">
        <v>782</v>
      </c>
      <c r="I54" s="18" t="n">
        <v>4692</v>
      </c>
      <c r="J54" s="19" t="n">
        <v>782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 t="n">
        <v>499</v>
      </c>
      <c r="AD54" s="19"/>
      <c r="AE54" s="19" t="n">
        <v>283</v>
      </c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 t="n">
        <v>612</v>
      </c>
      <c r="AQ54" s="19" t="n">
        <v>170</v>
      </c>
      <c r="AR54" s="19"/>
      <c r="AS54" s="20" t="str">
        <f aca="false">HYPERLINK("http://www.openstreetmap.org/?mlat=33.1425&amp;mlon=43.9598&amp;zoom=12#map=12/33.1425/43.9598","Maplink1")</f>
        <v>Maplink1</v>
      </c>
      <c r="AT54" s="20" t="str">
        <f aca="false">HYPERLINK("https://www.google.iq/maps/search/+33.1425,43.9598/@33.1425,43.9598,14z?hl=en","Maplink2")</f>
        <v>Maplink2</v>
      </c>
      <c r="AU54" s="20" t="str">
        <f aca="false">HYPERLINK("http://www.bing.com/maps/?lvl=14&amp;sty=h&amp;cp=33.1425~43.9598&amp;sp=point.33.1425_43.9598","Maplink3")</f>
        <v>Maplink3</v>
      </c>
    </row>
    <row r="55" customFormat="false" ht="15" hidden="false" customHeight="true" outlineLevel="0" collapsed="false">
      <c r="A55" s="15" t="n">
        <v>26086</v>
      </c>
      <c r="B55" s="16" t="s">
        <v>15</v>
      </c>
      <c r="C55" s="16" t="s">
        <v>142</v>
      </c>
      <c r="D55" s="16" t="s">
        <v>155</v>
      </c>
      <c r="E55" s="17" t="s">
        <v>156</v>
      </c>
      <c r="F55" s="16" t="n">
        <v>33.19919984</v>
      </c>
      <c r="G55" s="16" t="n">
        <v>43.92518402</v>
      </c>
      <c r="H55" s="18" t="n">
        <v>200</v>
      </c>
      <c r="I55" s="18" t="n">
        <v>1200</v>
      </c>
      <c r="J55" s="19" t="n">
        <v>200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 t="n">
        <v>200</v>
      </c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 t="n">
        <v>200</v>
      </c>
      <c r="AQ55" s="19"/>
      <c r="AR55" s="19"/>
      <c r="AS55" s="20" t="str">
        <f aca="false">HYPERLINK("http://www.openstreetmap.org/?mlat=33.1992&amp;mlon=43.9252&amp;zoom=12#map=12/33.1992/43.9252","Maplink1")</f>
        <v>Maplink1</v>
      </c>
      <c r="AT55" s="20" t="str">
        <f aca="false">HYPERLINK("https://www.google.iq/maps/search/+33.1992,43.9252/@33.1992,43.9252,14z?hl=en","Maplink2")</f>
        <v>Maplink2</v>
      </c>
      <c r="AU55" s="20" t="str">
        <f aca="false">HYPERLINK("http://www.bing.com/maps/?lvl=14&amp;sty=h&amp;cp=33.1992~43.9252&amp;sp=point.33.1992_43.9252","Maplink3")</f>
        <v>Maplink3</v>
      </c>
    </row>
    <row r="56" customFormat="false" ht="15" hidden="false" customHeight="true" outlineLevel="0" collapsed="false">
      <c r="A56" s="15" t="n">
        <v>26085</v>
      </c>
      <c r="B56" s="16" t="s">
        <v>15</v>
      </c>
      <c r="C56" s="16" t="s">
        <v>142</v>
      </c>
      <c r="D56" s="16" t="s">
        <v>157</v>
      </c>
      <c r="E56" s="17" t="s">
        <v>158</v>
      </c>
      <c r="F56" s="16" t="n">
        <v>33.15389978</v>
      </c>
      <c r="G56" s="16" t="n">
        <v>44.00193739</v>
      </c>
      <c r="H56" s="18" t="n">
        <v>210</v>
      </c>
      <c r="I56" s="18" t="n">
        <v>1260</v>
      </c>
      <c r="J56" s="19" t="n">
        <v>210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 t="n">
        <v>210</v>
      </c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 t="n">
        <v>210</v>
      </c>
      <c r="AQ56" s="19"/>
      <c r="AR56" s="19"/>
      <c r="AS56" s="20" t="str">
        <f aca="false">HYPERLINK("http://www.openstreetmap.org/?mlat=33.1539&amp;mlon=44.0019&amp;zoom=12#map=12/33.1539/44.0019","Maplink1")</f>
        <v>Maplink1</v>
      </c>
      <c r="AT56" s="20" t="str">
        <f aca="false">HYPERLINK("https://www.google.iq/maps/search/+33.1539,44.0019/@33.1539,44.0019,14z?hl=en","Maplink2")</f>
        <v>Maplink2</v>
      </c>
      <c r="AU56" s="20" t="str">
        <f aca="false">HYPERLINK("http://www.bing.com/maps/?lvl=14&amp;sty=h&amp;cp=33.1539~44.0019&amp;sp=point.33.1539_44.0019","Maplink3")</f>
        <v>Maplink3</v>
      </c>
    </row>
    <row r="57" customFormat="false" ht="15" hidden="false" customHeight="true" outlineLevel="0" collapsed="false">
      <c r="A57" s="15" t="n">
        <v>26036</v>
      </c>
      <c r="B57" s="16" t="s">
        <v>15</v>
      </c>
      <c r="C57" s="16" t="s">
        <v>142</v>
      </c>
      <c r="D57" s="16" t="s">
        <v>159</v>
      </c>
      <c r="E57" s="17" t="s">
        <v>160</v>
      </c>
      <c r="F57" s="16" t="n">
        <v>33.17615708</v>
      </c>
      <c r="G57" s="16" t="n">
        <v>43.90342899</v>
      </c>
      <c r="H57" s="18" t="n">
        <v>370</v>
      </c>
      <c r="I57" s="18" t="n">
        <v>2220</v>
      </c>
      <c r="J57" s="19" t="n">
        <v>370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 t="n">
        <v>260</v>
      </c>
      <c r="AF57" s="19"/>
      <c r="AG57" s="19"/>
      <c r="AH57" s="19"/>
      <c r="AI57" s="19"/>
      <c r="AJ57" s="19" t="n">
        <v>110</v>
      </c>
      <c r="AK57" s="19"/>
      <c r="AL57" s="19"/>
      <c r="AM57" s="19"/>
      <c r="AN57" s="19"/>
      <c r="AO57" s="19"/>
      <c r="AP57" s="19" t="n">
        <v>370</v>
      </c>
      <c r="AQ57" s="19"/>
      <c r="AR57" s="19"/>
      <c r="AS57" s="20" t="str">
        <f aca="false">HYPERLINK("http://www.openstreetmap.org/?mlat=33.1762&amp;mlon=43.9034&amp;zoom=12#map=12/33.1762/43.9034","Maplink1")</f>
        <v>Maplink1</v>
      </c>
      <c r="AT57" s="20" t="str">
        <f aca="false">HYPERLINK("https://www.google.iq/maps/search/+33.1762,43.9034/@33.1762,43.9034,14z?hl=en","Maplink2")</f>
        <v>Maplink2</v>
      </c>
      <c r="AU57" s="20" t="str">
        <f aca="false">HYPERLINK("http://www.bing.com/maps/?lvl=14&amp;sty=h&amp;cp=33.1762~43.9034&amp;sp=point.33.1762_43.9034","Maplink3")</f>
        <v>Maplink3</v>
      </c>
    </row>
    <row r="58" customFormat="false" ht="15" hidden="false" customHeight="true" outlineLevel="0" collapsed="false">
      <c r="A58" s="15" t="n">
        <v>26037</v>
      </c>
      <c r="B58" s="16" t="s">
        <v>15</v>
      </c>
      <c r="C58" s="16" t="s">
        <v>142</v>
      </c>
      <c r="D58" s="16" t="s">
        <v>161</v>
      </c>
      <c r="E58" s="17" t="s">
        <v>162</v>
      </c>
      <c r="F58" s="16" t="n">
        <v>33.14891935</v>
      </c>
      <c r="G58" s="16" t="n">
        <v>43.99069786</v>
      </c>
      <c r="H58" s="18" t="n">
        <v>447</v>
      </c>
      <c r="I58" s="18" t="n">
        <v>2682</v>
      </c>
      <c r="J58" s="19" t="n">
        <v>447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 t="n">
        <v>122</v>
      </c>
      <c r="AD58" s="19"/>
      <c r="AE58" s="19" t="n">
        <v>325</v>
      </c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 t="n">
        <v>325</v>
      </c>
      <c r="AQ58" s="19" t="n">
        <v>122</v>
      </c>
      <c r="AR58" s="19"/>
      <c r="AS58" s="20" t="str">
        <f aca="false">HYPERLINK("http://www.openstreetmap.org/?mlat=33.1489&amp;mlon=43.9907&amp;zoom=12#map=12/33.1489/43.9907","Maplink1")</f>
        <v>Maplink1</v>
      </c>
      <c r="AT58" s="20" t="str">
        <f aca="false">HYPERLINK("https://www.google.iq/maps/search/+33.1489,43.9907/@33.1489,43.9907,14z?hl=en","Maplink2")</f>
        <v>Maplink2</v>
      </c>
      <c r="AU58" s="20" t="str">
        <f aca="false">HYPERLINK("http://www.bing.com/maps/?lvl=14&amp;sty=h&amp;cp=33.1489~43.9907&amp;sp=point.33.1489_43.9907","Maplink3")</f>
        <v>Maplink3</v>
      </c>
    </row>
    <row r="59" customFormat="false" ht="15" hidden="false" customHeight="true" outlineLevel="0" collapsed="false">
      <c r="A59" s="15" t="n">
        <v>26090</v>
      </c>
      <c r="B59" s="16" t="s">
        <v>15</v>
      </c>
      <c r="C59" s="16" t="s">
        <v>142</v>
      </c>
      <c r="D59" s="16" t="s">
        <v>163</v>
      </c>
      <c r="E59" s="17" t="s">
        <v>164</v>
      </c>
      <c r="F59" s="16" t="n">
        <v>33.19919994</v>
      </c>
      <c r="G59" s="16" t="n">
        <v>43.92518412</v>
      </c>
      <c r="H59" s="18" t="n">
        <v>312</v>
      </c>
      <c r="I59" s="18" t="n">
        <v>1872</v>
      </c>
      <c r="J59" s="19" t="n">
        <v>312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 t="n">
        <v>312</v>
      </c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 t="n">
        <v>145</v>
      </c>
      <c r="AQ59" s="19" t="n">
        <v>167</v>
      </c>
      <c r="AR59" s="19"/>
      <c r="AS59" s="20" t="str">
        <f aca="false">HYPERLINK("http://www.openstreetmap.org/?mlat=33.1992&amp;mlon=43.9252&amp;zoom=12#map=12/33.1992/43.9252","Maplink1")</f>
        <v>Maplink1</v>
      </c>
      <c r="AT59" s="20" t="str">
        <f aca="false">HYPERLINK("https://www.google.iq/maps/search/+33.1992,43.9252/@33.1992,43.9252,14z?hl=en","Maplink2")</f>
        <v>Maplink2</v>
      </c>
      <c r="AU59" s="20" t="str">
        <f aca="false">HYPERLINK("http://www.bing.com/maps/?lvl=14&amp;sty=h&amp;cp=33.1992~43.9252&amp;sp=point.33.1992_43.9252","Maplink3")</f>
        <v>Maplink3</v>
      </c>
    </row>
    <row r="60" customFormat="false" ht="15" hidden="false" customHeight="true" outlineLevel="0" collapsed="false">
      <c r="A60" s="15" t="n">
        <v>26088</v>
      </c>
      <c r="B60" s="16" t="s">
        <v>15</v>
      </c>
      <c r="C60" s="16" t="s">
        <v>142</v>
      </c>
      <c r="D60" s="16" t="s">
        <v>165</v>
      </c>
      <c r="E60" s="17" t="s">
        <v>166</v>
      </c>
      <c r="F60" s="16" t="n">
        <v>33.14723408</v>
      </c>
      <c r="G60" s="16" t="n">
        <v>44.014266</v>
      </c>
      <c r="H60" s="18" t="n">
        <v>612</v>
      </c>
      <c r="I60" s="18" t="n">
        <v>3672</v>
      </c>
      <c r="J60" s="19" t="n">
        <v>612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 t="n">
        <v>212</v>
      </c>
      <c r="AD60" s="19"/>
      <c r="AE60" s="19" t="n">
        <v>400</v>
      </c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 t="n">
        <v>612</v>
      </c>
      <c r="AQ60" s="19"/>
      <c r="AR60" s="19"/>
      <c r="AS60" s="20" t="str">
        <f aca="false">HYPERLINK("http://www.openstreetmap.org/?mlat=33.1472&amp;mlon=44.0143&amp;zoom=12#map=12/33.1472/44.0143","Maplink1")</f>
        <v>Maplink1</v>
      </c>
      <c r="AT60" s="20" t="str">
        <f aca="false">HYPERLINK("https://www.google.iq/maps/search/+33.1472,44.0143/@33.1472,44.0143,14z?hl=en","Maplink2")</f>
        <v>Maplink2</v>
      </c>
      <c r="AU60" s="20" t="str">
        <f aca="false">HYPERLINK("http://www.bing.com/maps/?lvl=14&amp;sty=h&amp;cp=33.1472~44.0143&amp;sp=point.33.1472_44.0143","Maplink3")</f>
        <v>Maplink3</v>
      </c>
    </row>
    <row r="61" customFormat="false" ht="15" hidden="false" customHeight="true" outlineLevel="0" collapsed="false">
      <c r="A61" s="15" t="n">
        <v>26087</v>
      </c>
      <c r="B61" s="16" t="s">
        <v>15</v>
      </c>
      <c r="C61" s="16" t="s">
        <v>142</v>
      </c>
      <c r="D61" s="16" t="s">
        <v>167</v>
      </c>
      <c r="E61" s="17" t="s">
        <v>168</v>
      </c>
      <c r="F61" s="16" t="n">
        <v>33.15389988</v>
      </c>
      <c r="G61" s="16" t="n">
        <v>44.00193749</v>
      </c>
      <c r="H61" s="18" t="n">
        <v>350</v>
      </c>
      <c r="I61" s="18" t="n">
        <v>2100</v>
      </c>
      <c r="J61" s="19" t="n">
        <v>350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 t="n">
        <v>350</v>
      </c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 t="n">
        <v>350</v>
      </c>
      <c r="AQ61" s="19"/>
      <c r="AR61" s="19"/>
      <c r="AS61" s="20" t="str">
        <f aca="false">HYPERLINK("http://www.openstreetmap.org/?mlat=33.1539&amp;mlon=44.0019&amp;zoom=12#map=12/33.1539/44.0019","Maplink1")</f>
        <v>Maplink1</v>
      </c>
      <c r="AT61" s="20" t="str">
        <f aca="false">HYPERLINK("https://www.google.iq/maps/search/+33.1539,44.0019/@33.1539,44.0019,14z?hl=en","Maplink2")</f>
        <v>Maplink2</v>
      </c>
      <c r="AU61" s="20" t="str">
        <f aca="false">HYPERLINK("http://www.bing.com/maps/?lvl=14&amp;sty=h&amp;cp=33.1539~44.0019&amp;sp=point.33.1539_44.0019","Maplink3")</f>
        <v>Maplink3</v>
      </c>
    </row>
    <row r="62" customFormat="false" ht="15" hidden="false" customHeight="true" outlineLevel="0" collapsed="false">
      <c r="A62" s="15" t="n">
        <v>26093</v>
      </c>
      <c r="B62" s="16" t="s">
        <v>15</v>
      </c>
      <c r="C62" s="16" t="s">
        <v>142</v>
      </c>
      <c r="D62" s="16" t="s">
        <v>169</v>
      </c>
      <c r="E62" s="17" t="s">
        <v>170</v>
      </c>
      <c r="F62" s="16" t="n">
        <v>33.18385386</v>
      </c>
      <c r="G62" s="16" t="n">
        <v>43.92588698</v>
      </c>
      <c r="H62" s="18" t="n">
        <v>406</v>
      </c>
      <c r="I62" s="18" t="n">
        <v>2436</v>
      </c>
      <c r="J62" s="19" t="n">
        <v>406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 t="n">
        <v>330</v>
      </c>
      <c r="AD62" s="19"/>
      <c r="AE62" s="19"/>
      <c r="AF62" s="19"/>
      <c r="AG62" s="19"/>
      <c r="AH62" s="19"/>
      <c r="AI62" s="19"/>
      <c r="AJ62" s="19" t="n">
        <v>76</v>
      </c>
      <c r="AK62" s="19"/>
      <c r="AL62" s="19"/>
      <c r="AM62" s="19"/>
      <c r="AN62" s="19"/>
      <c r="AO62" s="19"/>
      <c r="AP62" s="19" t="n">
        <v>172</v>
      </c>
      <c r="AQ62" s="19" t="n">
        <v>234</v>
      </c>
      <c r="AR62" s="19"/>
      <c r="AS62" s="20" t="str">
        <f aca="false">HYPERLINK("http://www.openstreetmap.org/?mlat=33.1839&amp;mlon=43.9259&amp;zoom=12#map=12/33.1839/43.9259","Maplink1")</f>
        <v>Maplink1</v>
      </c>
      <c r="AT62" s="20" t="str">
        <f aca="false">HYPERLINK("https://www.google.iq/maps/search/+33.1839,43.9259/@33.1839,43.9259,14z?hl=en","Maplink2")</f>
        <v>Maplink2</v>
      </c>
      <c r="AU62" s="20" t="str">
        <f aca="false">HYPERLINK("http://www.bing.com/maps/?lvl=14&amp;sty=h&amp;cp=33.1839~43.9259&amp;sp=point.33.1839_43.9259","Maplink3")</f>
        <v>Maplink3</v>
      </c>
    </row>
    <row r="63" customFormat="false" ht="15" hidden="false" customHeight="true" outlineLevel="0" collapsed="false">
      <c r="A63" s="15" t="n">
        <v>180</v>
      </c>
      <c r="B63" s="16" t="s">
        <v>15</v>
      </c>
      <c r="C63" s="16" t="s">
        <v>142</v>
      </c>
      <c r="D63" s="16" t="s">
        <v>171</v>
      </c>
      <c r="E63" s="17" t="s">
        <v>172</v>
      </c>
      <c r="F63" s="16" t="n">
        <v>33.16363</v>
      </c>
      <c r="G63" s="16" t="n">
        <v>43.863435</v>
      </c>
      <c r="H63" s="18" t="n">
        <v>302</v>
      </c>
      <c r="I63" s="18" t="n">
        <v>1812</v>
      </c>
      <c r="J63" s="19" t="n">
        <v>302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 t="n">
        <v>285</v>
      </c>
      <c r="AF63" s="19"/>
      <c r="AG63" s="19"/>
      <c r="AH63" s="19"/>
      <c r="AI63" s="19"/>
      <c r="AJ63" s="19" t="n">
        <v>17</v>
      </c>
      <c r="AK63" s="19"/>
      <c r="AL63" s="19" t="n">
        <v>10</v>
      </c>
      <c r="AM63" s="19"/>
      <c r="AN63" s="19"/>
      <c r="AO63" s="19"/>
      <c r="AP63" s="19" t="n">
        <v>292</v>
      </c>
      <c r="AQ63" s="19"/>
      <c r="AR63" s="19"/>
      <c r="AS63" s="20" t="str">
        <f aca="false">HYPERLINK("http://www.openstreetmap.org/?mlat=33.1636&amp;mlon=43.8634&amp;zoom=12#map=12/33.1636/43.8634","Maplink1")</f>
        <v>Maplink1</v>
      </c>
      <c r="AT63" s="20" t="str">
        <f aca="false">HYPERLINK("https://www.google.iq/maps/search/+33.1636,43.8634/@33.1636,43.8634,14z?hl=en","Maplink2")</f>
        <v>Maplink2</v>
      </c>
      <c r="AU63" s="20" t="str">
        <f aca="false">HYPERLINK("http://www.bing.com/maps/?lvl=14&amp;sty=h&amp;cp=33.1636~43.8634&amp;sp=point.33.1636_43.8634","Maplink3")</f>
        <v>Maplink3</v>
      </c>
    </row>
    <row r="64" customFormat="false" ht="15" hidden="false" customHeight="true" outlineLevel="0" collapsed="false">
      <c r="A64" s="15" t="n">
        <v>21410</v>
      </c>
      <c r="B64" s="16" t="s">
        <v>15</v>
      </c>
      <c r="C64" s="16" t="s">
        <v>142</v>
      </c>
      <c r="D64" s="16" t="s">
        <v>173</v>
      </c>
      <c r="E64" s="17" t="s">
        <v>174</v>
      </c>
      <c r="F64" s="16" t="n">
        <v>33.164126</v>
      </c>
      <c r="G64" s="16" t="n">
        <v>43.882217</v>
      </c>
      <c r="H64" s="18" t="n">
        <v>268</v>
      </c>
      <c r="I64" s="18" t="n">
        <v>1608</v>
      </c>
      <c r="J64" s="19" t="n">
        <v>268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 t="n">
        <v>268</v>
      </c>
      <c r="AD64" s="19"/>
      <c r="AE64" s="19"/>
      <c r="AF64" s="19"/>
      <c r="AG64" s="19"/>
      <c r="AH64" s="19"/>
      <c r="AI64" s="19"/>
      <c r="AJ64" s="19"/>
      <c r="AK64" s="19"/>
      <c r="AL64" s="19" t="n">
        <v>20</v>
      </c>
      <c r="AM64" s="19"/>
      <c r="AN64" s="19"/>
      <c r="AO64" s="19" t="n">
        <v>14</v>
      </c>
      <c r="AP64" s="19" t="n">
        <v>100</v>
      </c>
      <c r="AQ64" s="19" t="n">
        <v>134</v>
      </c>
      <c r="AR64" s="19"/>
      <c r="AS64" s="20" t="str">
        <f aca="false">HYPERLINK("http://www.openstreetmap.org/?mlat=33.1641&amp;mlon=43.8822&amp;zoom=12#map=12/33.1641/43.8822","Maplink1")</f>
        <v>Maplink1</v>
      </c>
      <c r="AT64" s="20" t="str">
        <f aca="false">HYPERLINK("https://www.google.iq/maps/search/+33.1641,43.8822/@33.1641,43.8822,14z?hl=en","Maplink2")</f>
        <v>Maplink2</v>
      </c>
      <c r="AU64" s="20" t="str">
        <f aca="false">HYPERLINK("http://www.bing.com/maps/?lvl=14&amp;sty=h&amp;cp=33.1641~43.8822&amp;sp=point.33.1641_43.8822","Maplink3")</f>
        <v>Maplink3</v>
      </c>
    </row>
    <row r="65" customFormat="false" ht="15" hidden="false" customHeight="true" outlineLevel="0" collapsed="false">
      <c r="A65" s="15" t="n">
        <v>23803</v>
      </c>
      <c r="B65" s="16" t="s">
        <v>15</v>
      </c>
      <c r="C65" s="16" t="s">
        <v>142</v>
      </c>
      <c r="D65" s="16" t="s">
        <v>175</v>
      </c>
      <c r="E65" s="17" t="s">
        <v>176</v>
      </c>
      <c r="F65" s="16" t="n">
        <v>33.30411</v>
      </c>
      <c r="G65" s="16" t="n">
        <v>43.703724</v>
      </c>
      <c r="H65" s="18" t="n">
        <v>96</v>
      </c>
      <c r="I65" s="18" t="n">
        <v>576</v>
      </c>
      <c r="J65" s="19" t="n">
        <v>96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 t="n">
        <v>83</v>
      </c>
      <c r="AD65" s="19"/>
      <c r="AE65" s="19"/>
      <c r="AF65" s="19"/>
      <c r="AG65" s="19"/>
      <c r="AH65" s="19"/>
      <c r="AI65" s="19"/>
      <c r="AJ65" s="19" t="n">
        <v>13</v>
      </c>
      <c r="AK65" s="19"/>
      <c r="AL65" s="19" t="n">
        <v>66</v>
      </c>
      <c r="AM65" s="19"/>
      <c r="AN65" s="19"/>
      <c r="AO65" s="19" t="n">
        <v>8</v>
      </c>
      <c r="AP65" s="19" t="n">
        <v>22</v>
      </c>
      <c r="AQ65" s="19"/>
      <c r="AR65" s="19"/>
      <c r="AS65" s="20" t="str">
        <f aca="false">HYPERLINK("http://www.openstreetmap.org/?mlat=33.3041&amp;mlon=43.7037&amp;zoom=12#map=12/33.3041/43.7037","Maplink1")</f>
        <v>Maplink1</v>
      </c>
      <c r="AT65" s="20" t="str">
        <f aca="false">HYPERLINK("https://www.google.iq/maps/search/+33.3041,43.7037/@33.3041,43.7037,14z?hl=en","Maplink2")</f>
        <v>Maplink2</v>
      </c>
      <c r="AU65" s="20" t="str">
        <f aca="false">HYPERLINK("http://www.bing.com/maps/?lvl=14&amp;sty=h&amp;cp=33.3041~43.7037&amp;sp=point.33.3041_43.7037","Maplink3")</f>
        <v>Maplink3</v>
      </c>
    </row>
    <row r="66" customFormat="false" ht="15" hidden="false" customHeight="true" outlineLevel="0" collapsed="false">
      <c r="A66" s="15" t="n">
        <v>27245</v>
      </c>
      <c r="B66" s="16" t="s">
        <v>15</v>
      </c>
      <c r="C66" s="16" t="s">
        <v>142</v>
      </c>
      <c r="D66" s="16" t="s">
        <v>177</v>
      </c>
      <c r="E66" s="17" t="s">
        <v>178</v>
      </c>
      <c r="F66" s="16" t="n">
        <v>33.12140008</v>
      </c>
      <c r="G66" s="16" t="n">
        <v>44.04141213</v>
      </c>
      <c r="H66" s="18" t="n">
        <v>220</v>
      </c>
      <c r="I66" s="18" t="n">
        <v>1320</v>
      </c>
      <c r="J66" s="19" t="n">
        <v>220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 t="n">
        <v>220</v>
      </c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 t="n">
        <v>220</v>
      </c>
      <c r="AQ66" s="19"/>
      <c r="AR66" s="19"/>
      <c r="AS66" s="20" t="str">
        <f aca="false">HYPERLINK("http://www.openstreetmap.org/?mlat=33.1214&amp;mlon=44.0414&amp;zoom=12#map=12/33.1214/44.0414","Maplink1")</f>
        <v>Maplink1</v>
      </c>
      <c r="AT66" s="20" t="str">
        <f aca="false">HYPERLINK("https://www.google.iq/maps/search/+33.1214,44.0414/@33.1214,44.0414,14z?hl=en","Maplink2")</f>
        <v>Maplink2</v>
      </c>
      <c r="AU66" s="20" t="str">
        <f aca="false">HYPERLINK("http://www.bing.com/maps/?lvl=14&amp;sty=h&amp;cp=33.1214~44.0414&amp;sp=point.33.1214_44.0414","Maplink3")</f>
        <v>Maplink3</v>
      </c>
    </row>
    <row r="67" customFormat="false" ht="15" hidden="false" customHeight="true" outlineLevel="0" collapsed="false">
      <c r="A67" s="15" t="n">
        <v>26089</v>
      </c>
      <c r="B67" s="16" t="s">
        <v>15</v>
      </c>
      <c r="C67" s="16" t="s">
        <v>142</v>
      </c>
      <c r="D67" s="16" t="s">
        <v>179</v>
      </c>
      <c r="E67" s="17" t="s">
        <v>180</v>
      </c>
      <c r="F67" s="16" t="n">
        <v>33.18727216</v>
      </c>
      <c r="G67" s="16" t="n">
        <v>43.90939903</v>
      </c>
      <c r="H67" s="18" t="n">
        <v>170</v>
      </c>
      <c r="I67" s="18" t="n">
        <v>1020</v>
      </c>
      <c r="J67" s="19" t="n">
        <v>170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 t="n">
        <v>170</v>
      </c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 t="n">
        <v>170</v>
      </c>
      <c r="AQ67" s="19"/>
      <c r="AR67" s="19"/>
      <c r="AS67" s="20" t="str">
        <f aca="false">HYPERLINK("http://www.openstreetmap.org/?mlat=33.1873&amp;mlon=43.9094&amp;zoom=12#map=12/33.1873/43.9094","Maplink1")</f>
        <v>Maplink1</v>
      </c>
      <c r="AT67" s="20" t="str">
        <f aca="false">HYPERLINK("https://www.google.iq/maps/search/+33.1873,43.9094/@33.1873,43.9094,14z?hl=en","Maplink2")</f>
        <v>Maplink2</v>
      </c>
      <c r="AU67" s="20" t="str">
        <f aca="false">HYPERLINK("http://www.bing.com/maps/?lvl=14&amp;sty=h&amp;cp=33.1873~43.9094&amp;sp=point.33.1873_43.9094","Maplink3")</f>
        <v>Maplink3</v>
      </c>
    </row>
    <row r="68" customFormat="false" ht="15" hidden="false" customHeight="true" outlineLevel="0" collapsed="false">
      <c r="A68" s="15" t="n">
        <v>324</v>
      </c>
      <c r="B68" s="16" t="s">
        <v>15</v>
      </c>
      <c r="C68" s="16" t="s">
        <v>142</v>
      </c>
      <c r="D68" s="16" t="s">
        <v>181</v>
      </c>
      <c r="E68" s="17" t="s">
        <v>182</v>
      </c>
      <c r="F68" s="16" t="n">
        <v>33.310021</v>
      </c>
      <c r="G68" s="16" t="n">
        <v>43.742995</v>
      </c>
      <c r="H68" s="18" t="n">
        <v>171</v>
      </c>
      <c r="I68" s="18" t="n">
        <v>1026</v>
      </c>
      <c r="J68" s="19" t="n">
        <v>171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 t="n">
        <v>171</v>
      </c>
      <c r="AD68" s="19"/>
      <c r="AE68" s="19"/>
      <c r="AF68" s="19"/>
      <c r="AG68" s="19"/>
      <c r="AH68" s="19"/>
      <c r="AI68" s="19"/>
      <c r="AJ68" s="19"/>
      <c r="AK68" s="19"/>
      <c r="AL68" s="19" t="n">
        <v>58</v>
      </c>
      <c r="AM68" s="19"/>
      <c r="AN68" s="19"/>
      <c r="AO68" s="19"/>
      <c r="AP68" s="19" t="n">
        <v>113</v>
      </c>
      <c r="AQ68" s="19"/>
      <c r="AR68" s="19"/>
      <c r="AS68" s="20" t="str">
        <f aca="false">HYPERLINK("http://www.openstreetmap.org/?mlat=33.31&amp;mlon=43.743&amp;zoom=12#map=12/33.31/43.743","Maplink1")</f>
        <v>Maplink1</v>
      </c>
      <c r="AT68" s="20" t="str">
        <f aca="false">HYPERLINK("https://www.google.iq/maps/search/+33.31,43.743/@33.31,43.743,14z?hl=en","Maplink2")</f>
        <v>Maplink2</v>
      </c>
      <c r="AU68" s="20" t="str">
        <f aca="false">HYPERLINK("http://www.bing.com/maps/?lvl=14&amp;sty=h&amp;cp=33.31~43.743&amp;sp=point.33.31_43.743","Maplink3")</f>
        <v>Maplink3</v>
      </c>
    </row>
    <row r="69" customFormat="false" ht="15" hidden="false" customHeight="true" outlineLevel="0" collapsed="false">
      <c r="A69" s="15" t="n">
        <v>325</v>
      </c>
      <c r="B69" s="16" t="s">
        <v>15</v>
      </c>
      <c r="C69" s="16" t="s">
        <v>142</v>
      </c>
      <c r="D69" s="16" t="s">
        <v>183</v>
      </c>
      <c r="E69" s="17" t="s">
        <v>184</v>
      </c>
      <c r="F69" s="16" t="n">
        <v>33.312843</v>
      </c>
      <c r="G69" s="16" t="n">
        <v>43.729021</v>
      </c>
      <c r="H69" s="18" t="n">
        <v>175</v>
      </c>
      <c r="I69" s="18" t="n">
        <v>1050</v>
      </c>
      <c r="J69" s="19" t="n">
        <v>175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 t="n">
        <v>104</v>
      </c>
      <c r="AD69" s="19"/>
      <c r="AE69" s="19"/>
      <c r="AF69" s="19"/>
      <c r="AG69" s="19"/>
      <c r="AH69" s="19" t="n">
        <v>15</v>
      </c>
      <c r="AI69" s="19" t="n">
        <v>20</v>
      </c>
      <c r="AJ69" s="19" t="n">
        <v>36</v>
      </c>
      <c r="AK69" s="19"/>
      <c r="AL69" s="19" t="n">
        <v>158</v>
      </c>
      <c r="AM69" s="19"/>
      <c r="AN69" s="19"/>
      <c r="AO69" s="19" t="n">
        <v>8</v>
      </c>
      <c r="AP69" s="19" t="n">
        <v>9</v>
      </c>
      <c r="AQ69" s="19"/>
      <c r="AR69" s="19"/>
      <c r="AS69" s="20" t="str">
        <f aca="false">HYPERLINK("http://www.openstreetmap.org/?mlat=33.3128&amp;mlon=43.729&amp;zoom=12#map=12/33.3128/43.729","Maplink1")</f>
        <v>Maplink1</v>
      </c>
      <c r="AT69" s="20" t="str">
        <f aca="false">HYPERLINK("https://www.google.iq/maps/search/+33.3128,43.729/@33.3128,43.729,14z?hl=en","Maplink2")</f>
        <v>Maplink2</v>
      </c>
      <c r="AU69" s="20" t="str">
        <f aca="false">HYPERLINK("http://www.bing.com/maps/?lvl=14&amp;sty=h&amp;cp=33.3128~43.729&amp;sp=point.33.3128_43.729","Maplink3")</f>
        <v>Maplink3</v>
      </c>
    </row>
    <row r="70" customFormat="false" ht="15" hidden="false" customHeight="true" outlineLevel="0" collapsed="false">
      <c r="A70" s="15" t="n">
        <v>23802</v>
      </c>
      <c r="B70" s="16" t="s">
        <v>15</v>
      </c>
      <c r="C70" s="16" t="s">
        <v>142</v>
      </c>
      <c r="D70" s="16" t="s">
        <v>185</v>
      </c>
      <c r="E70" s="17" t="s">
        <v>186</v>
      </c>
      <c r="F70" s="16" t="n">
        <v>33.210511</v>
      </c>
      <c r="G70" s="16" t="n">
        <v>43.843657</v>
      </c>
      <c r="H70" s="18" t="n">
        <v>128</v>
      </c>
      <c r="I70" s="18" t="n">
        <v>768</v>
      </c>
      <c r="J70" s="19" t="n">
        <v>128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 t="n">
        <v>100</v>
      </c>
      <c r="AD70" s="19"/>
      <c r="AE70" s="19"/>
      <c r="AF70" s="19"/>
      <c r="AG70" s="19"/>
      <c r="AH70" s="19" t="n">
        <v>8</v>
      </c>
      <c r="AI70" s="19" t="n">
        <v>20</v>
      </c>
      <c r="AJ70" s="19"/>
      <c r="AK70" s="19"/>
      <c r="AL70" s="19" t="n">
        <v>118</v>
      </c>
      <c r="AM70" s="19"/>
      <c r="AN70" s="19"/>
      <c r="AO70" s="19" t="n">
        <v>10</v>
      </c>
      <c r="AP70" s="19"/>
      <c r="AQ70" s="19"/>
      <c r="AR70" s="19"/>
      <c r="AS70" s="20" t="str">
        <f aca="false">HYPERLINK("http://www.openstreetmap.org/?mlat=33.2105&amp;mlon=43.8437&amp;zoom=12#map=12/33.2105/43.8437","Maplink1")</f>
        <v>Maplink1</v>
      </c>
      <c r="AT70" s="20" t="str">
        <f aca="false">HYPERLINK("https://www.google.iq/maps/search/+33.2105,43.8437/@33.2105,43.8437,14z?hl=en","Maplink2")</f>
        <v>Maplink2</v>
      </c>
      <c r="AU70" s="20" t="str">
        <f aca="false">HYPERLINK("http://www.bing.com/maps/?lvl=14&amp;sty=h&amp;cp=33.2105~43.8437&amp;sp=point.33.2105_43.8437","Maplink3")</f>
        <v>Maplink3</v>
      </c>
    </row>
    <row r="71" customFormat="false" ht="15" hidden="false" customHeight="true" outlineLevel="0" collapsed="false">
      <c r="A71" s="15" t="n">
        <v>21226</v>
      </c>
      <c r="B71" s="16" t="s">
        <v>15</v>
      </c>
      <c r="C71" s="16" t="s">
        <v>142</v>
      </c>
      <c r="D71" s="16" t="s">
        <v>187</v>
      </c>
      <c r="E71" s="17" t="s">
        <v>188</v>
      </c>
      <c r="F71" s="16" t="n">
        <v>33.156752</v>
      </c>
      <c r="G71" s="16" t="n">
        <v>43.891238</v>
      </c>
      <c r="H71" s="18" t="n">
        <v>272</v>
      </c>
      <c r="I71" s="18" t="n">
        <v>1632</v>
      </c>
      <c r="J71" s="19" t="n">
        <v>272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 t="n">
        <v>250</v>
      </c>
      <c r="AD71" s="19"/>
      <c r="AE71" s="19"/>
      <c r="AF71" s="19"/>
      <c r="AG71" s="19"/>
      <c r="AH71" s="19"/>
      <c r="AI71" s="19"/>
      <c r="AJ71" s="19" t="n">
        <v>22</v>
      </c>
      <c r="AK71" s="19"/>
      <c r="AL71" s="19"/>
      <c r="AM71" s="19"/>
      <c r="AN71" s="19"/>
      <c r="AO71" s="19"/>
      <c r="AP71" s="19" t="n">
        <v>122</v>
      </c>
      <c r="AQ71" s="19" t="n">
        <v>150</v>
      </c>
      <c r="AR71" s="19"/>
      <c r="AS71" s="20" t="str">
        <f aca="false">HYPERLINK("http://www.openstreetmap.org/?mlat=33.1568&amp;mlon=43.8912&amp;zoom=12#map=12/33.1568/43.8912","Maplink1")</f>
        <v>Maplink1</v>
      </c>
      <c r="AT71" s="20" t="str">
        <f aca="false">HYPERLINK("https://www.google.iq/maps/search/+33.1568,43.8912/@33.1568,43.8912,14z?hl=en","Maplink2")</f>
        <v>Maplink2</v>
      </c>
      <c r="AU71" s="20" t="str">
        <f aca="false">HYPERLINK("http://www.bing.com/maps/?lvl=14&amp;sty=h&amp;cp=33.1568~43.8912&amp;sp=point.33.1568_43.8912","Maplink3")</f>
        <v>Maplink3</v>
      </c>
    </row>
    <row r="72" customFormat="false" ht="15" hidden="false" customHeight="true" outlineLevel="0" collapsed="false">
      <c r="A72" s="15" t="n">
        <v>27246</v>
      </c>
      <c r="B72" s="16" t="s">
        <v>15</v>
      </c>
      <c r="C72" s="16" t="s">
        <v>142</v>
      </c>
      <c r="D72" s="16" t="s">
        <v>189</v>
      </c>
      <c r="E72" s="17" t="s">
        <v>190</v>
      </c>
      <c r="F72" s="16" t="n">
        <v>33.14564645</v>
      </c>
      <c r="G72" s="16" t="n">
        <v>43.84393771</v>
      </c>
      <c r="H72" s="18" t="n">
        <v>7848</v>
      </c>
      <c r="I72" s="18" t="n">
        <v>47088</v>
      </c>
      <c r="J72" s="19" t="n">
        <v>7665</v>
      </c>
      <c r="K72" s="19"/>
      <c r="L72" s="19"/>
      <c r="M72" s="19"/>
      <c r="N72" s="19"/>
      <c r="O72" s="19"/>
      <c r="P72" s="19"/>
      <c r="Q72" s="19"/>
      <c r="R72" s="19" t="n">
        <v>105</v>
      </c>
      <c r="S72" s="19"/>
      <c r="T72" s="19"/>
      <c r="U72" s="19"/>
      <c r="V72" s="19" t="n">
        <v>78</v>
      </c>
      <c r="W72" s="19"/>
      <c r="X72" s="19"/>
      <c r="Y72" s="19"/>
      <c r="Z72" s="19"/>
      <c r="AA72" s="19"/>
      <c r="AB72" s="19" t="n">
        <v>7848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 t="n">
        <v>1713</v>
      </c>
      <c r="AQ72" s="19" t="n">
        <v>5464</v>
      </c>
      <c r="AR72" s="19" t="n">
        <v>671</v>
      </c>
      <c r="AS72" s="20" t="str">
        <f aca="false">HYPERLINK("http://www.openstreetmap.org/?mlat=33.1456&amp;mlon=43.8439&amp;zoom=12#map=12/33.1456/43.8439","Maplink1")</f>
        <v>Maplink1</v>
      </c>
      <c r="AT72" s="20" t="str">
        <f aca="false">HYPERLINK("https://www.google.iq/maps/search/+33.1456,43.8439/@33.1456,43.8439,14z?hl=en","Maplink2")</f>
        <v>Maplink2</v>
      </c>
      <c r="AU72" s="20" t="str">
        <f aca="false">HYPERLINK("http://www.bing.com/maps/?lvl=14&amp;sty=h&amp;cp=33.1456~43.8439&amp;sp=point.33.1456_43.8439","Maplink3")</f>
        <v>Maplink3</v>
      </c>
    </row>
    <row r="73" customFormat="false" ht="15" hidden="false" customHeight="true" outlineLevel="0" collapsed="false">
      <c r="A73" s="15" t="n">
        <v>20898</v>
      </c>
      <c r="B73" s="16" t="s">
        <v>15</v>
      </c>
      <c r="C73" s="16" t="s">
        <v>142</v>
      </c>
      <c r="D73" s="16" t="s">
        <v>191</v>
      </c>
      <c r="E73" s="17" t="s">
        <v>192</v>
      </c>
      <c r="F73" s="16" t="n">
        <v>33.14196755</v>
      </c>
      <c r="G73" s="16" t="n">
        <v>44.01616469</v>
      </c>
      <c r="H73" s="18" t="n">
        <v>1347</v>
      </c>
      <c r="I73" s="18" t="n">
        <v>8082</v>
      </c>
      <c r="J73" s="19" t="n">
        <v>1163</v>
      </c>
      <c r="K73" s="19"/>
      <c r="L73" s="19"/>
      <c r="M73" s="19"/>
      <c r="N73" s="19"/>
      <c r="O73" s="19"/>
      <c r="P73" s="19"/>
      <c r="Q73" s="19"/>
      <c r="R73" s="19" t="n">
        <v>90</v>
      </c>
      <c r="S73" s="19"/>
      <c r="T73" s="19"/>
      <c r="U73" s="19"/>
      <c r="V73" s="19" t="n">
        <v>94</v>
      </c>
      <c r="W73" s="19"/>
      <c r="X73" s="19"/>
      <c r="Y73" s="19"/>
      <c r="Z73" s="19"/>
      <c r="AA73" s="19"/>
      <c r="AB73" s="19" t="n">
        <v>1347</v>
      </c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 t="n">
        <v>566</v>
      </c>
      <c r="AQ73" s="19" t="n">
        <v>401</v>
      </c>
      <c r="AR73" s="19" t="n">
        <v>380</v>
      </c>
      <c r="AS73" s="20" t="str">
        <f aca="false">HYPERLINK("http://www.openstreetmap.org/?mlat=33.142&amp;mlon=44.0162&amp;zoom=12#map=12/33.142/44.0162","Maplink1")</f>
        <v>Maplink1</v>
      </c>
      <c r="AT73" s="20" t="str">
        <f aca="false">HYPERLINK("https://www.google.iq/maps/search/+33.142,44.0162/@33.142,44.0162,14z?hl=en","Maplink2")</f>
        <v>Maplink2</v>
      </c>
      <c r="AU73" s="20" t="str">
        <f aca="false">HYPERLINK("http://www.bing.com/maps/?lvl=14&amp;sty=h&amp;cp=33.142~44.0162&amp;sp=point.33.142_44.0162","Maplink3")</f>
        <v>Maplink3</v>
      </c>
    </row>
    <row r="74" customFormat="false" ht="15" hidden="false" customHeight="true" outlineLevel="0" collapsed="false">
      <c r="A74" s="15" t="n">
        <v>23276</v>
      </c>
      <c r="B74" s="16" t="s">
        <v>15</v>
      </c>
      <c r="C74" s="16" t="s">
        <v>142</v>
      </c>
      <c r="D74" s="16" t="s">
        <v>193</v>
      </c>
      <c r="E74" s="17" t="s">
        <v>194</v>
      </c>
      <c r="F74" s="16" t="n">
        <v>33.244907</v>
      </c>
      <c r="G74" s="16" t="n">
        <v>43.571611</v>
      </c>
      <c r="H74" s="18" t="n">
        <v>4992</v>
      </c>
      <c r="I74" s="18" t="n">
        <v>29952</v>
      </c>
      <c r="J74" s="19" t="n">
        <v>4992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 t="n">
        <v>2690</v>
      </c>
      <c r="AC74" s="19"/>
      <c r="AD74" s="19"/>
      <c r="AE74" s="19" t="n">
        <v>1943</v>
      </c>
      <c r="AF74" s="19"/>
      <c r="AG74" s="19"/>
      <c r="AH74" s="19" t="n">
        <v>150</v>
      </c>
      <c r="AI74" s="19" t="n">
        <v>40</v>
      </c>
      <c r="AJ74" s="19" t="n">
        <v>169</v>
      </c>
      <c r="AK74" s="19"/>
      <c r="AL74" s="19" t="n">
        <v>310</v>
      </c>
      <c r="AM74" s="19"/>
      <c r="AN74" s="19"/>
      <c r="AO74" s="19"/>
      <c r="AP74" s="19" t="n">
        <v>3242</v>
      </c>
      <c r="AQ74" s="19" t="n">
        <v>1440</v>
      </c>
      <c r="AR74" s="19"/>
      <c r="AS74" s="20" t="str">
        <f aca="false">HYPERLINK("http://www.openstreetmap.org/?mlat=33.2449&amp;mlon=43.5716&amp;zoom=12#map=12/33.2449/43.5716","Maplink1")</f>
        <v>Maplink1</v>
      </c>
      <c r="AT74" s="20" t="str">
        <f aca="false">HYPERLINK("https://www.google.iq/maps/search/+33.2449,43.5716/@33.2449,43.5716,14z?hl=en","Maplink2")</f>
        <v>Maplink2</v>
      </c>
      <c r="AU74" s="20" t="str">
        <f aca="false">HYPERLINK("http://www.bing.com/maps/?lvl=14&amp;sty=h&amp;cp=33.2449~43.5716&amp;sp=point.33.2449_43.5716","Maplink3")</f>
        <v>Maplink3</v>
      </c>
    </row>
    <row r="75" customFormat="false" ht="15" hidden="false" customHeight="true" outlineLevel="0" collapsed="false">
      <c r="A75" s="15" t="n">
        <v>47</v>
      </c>
      <c r="B75" s="16" t="s">
        <v>15</v>
      </c>
      <c r="C75" s="16" t="s">
        <v>142</v>
      </c>
      <c r="D75" s="16" t="s">
        <v>195</v>
      </c>
      <c r="E75" s="17" t="s">
        <v>196</v>
      </c>
      <c r="F75" s="16" t="n">
        <v>33.399713</v>
      </c>
      <c r="G75" s="16" t="n">
        <v>43.950953</v>
      </c>
      <c r="H75" s="18" t="n">
        <v>81</v>
      </c>
      <c r="I75" s="18" t="n">
        <v>486</v>
      </c>
      <c r="J75" s="19" t="n">
        <v>81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 t="n">
        <v>81</v>
      </c>
      <c r="AD75" s="19"/>
      <c r="AE75" s="19"/>
      <c r="AF75" s="19"/>
      <c r="AG75" s="19"/>
      <c r="AH75" s="19"/>
      <c r="AI75" s="19"/>
      <c r="AJ75" s="19"/>
      <c r="AK75" s="19"/>
      <c r="AL75" s="19" t="n">
        <v>81</v>
      </c>
      <c r="AM75" s="19"/>
      <c r="AN75" s="19"/>
      <c r="AO75" s="19"/>
      <c r="AP75" s="19"/>
      <c r="AQ75" s="19"/>
      <c r="AR75" s="19"/>
      <c r="AS75" s="20" t="str">
        <f aca="false">HYPERLINK("http://www.openstreetmap.org/?mlat=33.3997&amp;mlon=43.951&amp;zoom=12#map=12/33.3997/43.951","Maplink1")</f>
        <v>Maplink1</v>
      </c>
      <c r="AT75" s="20" t="str">
        <f aca="false">HYPERLINK("https://www.google.iq/maps/search/+33.3997,43.951/@33.3997,43.951,14z?hl=en","Maplink2")</f>
        <v>Maplink2</v>
      </c>
      <c r="AU75" s="20" t="str">
        <f aca="false">HYPERLINK("http://www.bing.com/maps/?lvl=14&amp;sty=h&amp;cp=33.3997~43.951&amp;sp=point.33.3997_43.951","Maplink3")</f>
        <v>Maplink3</v>
      </c>
    </row>
    <row r="76" customFormat="false" ht="15" hidden="false" customHeight="true" outlineLevel="0" collapsed="false">
      <c r="A76" s="15" t="n">
        <v>323</v>
      </c>
      <c r="B76" s="16" t="s">
        <v>15</v>
      </c>
      <c r="C76" s="16" t="s">
        <v>142</v>
      </c>
      <c r="D76" s="16" t="s">
        <v>197</v>
      </c>
      <c r="E76" s="17" t="s">
        <v>198</v>
      </c>
      <c r="F76" s="16" t="n">
        <v>33.304321</v>
      </c>
      <c r="G76" s="16" t="n">
        <v>43.680362</v>
      </c>
      <c r="H76" s="18" t="n">
        <v>76</v>
      </c>
      <c r="I76" s="18" t="n">
        <v>456</v>
      </c>
      <c r="J76" s="19" t="n">
        <v>76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 t="n">
        <v>58</v>
      </c>
      <c r="AD76" s="19"/>
      <c r="AE76" s="19"/>
      <c r="AF76" s="19"/>
      <c r="AG76" s="19"/>
      <c r="AH76" s="19"/>
      <c r="AI76" s="19" t="n">
        <v>18</v>
      </c>
      <c r="AJ76" s="19"/>
      <c r="AK76" s="19"/>
      <c r="AL76" s="19" t="n">
        <v>60</v>
      </c>
      <c r="AM76" s="19"/>
      <c r="AN76" s="19"/>
      <c r="AO76" s="19" t="n">
        <v>8</v>
      </c>
      <c r="AP76" s="19" t="n">
        <v>8</v>
      </c>
      <c r="AQ76" s="19"/>
      <c r="AR76" s="19"/>
      <c r="AS76" s="20" t="str">
        <f aca="false">HYPERLINK("http://www.openstreetmap.org/?mlat=33.3043&amp;mlon=43.6804&amp;zoom=12#map=12/33.3043/43.6804","Maplink1")</f>
        <v>Maplink1</v>
      </c>
      <c r="AT76" s="20" t="str">
        <f aca="false">HYPERLINK("https://www.google.iq/maps/search/+33.3043,43.6804/@33.3043,43.6804,14z?hl=en","Maplink2")</f>
        <v>Maplink2</v>
      </c>
      <c r="AU76" s="20" t="str">
        <f aca="false">HYPERLINK("http://www.bing.com/maps/?lvl=14&amp;sty=h&amp;cp=33.3043~43.6804&amp;sp=point.33.3043_43.6804","Maplink3")</f>
        <v>Maplink3</v>
      </c>
    </row>
    <row r="77" customFormat="false" ht="15" hidden="false" customHeight="true" outlineLevel="0" collapsed="false">
      <c r="A77" s="15" t="n">
        <v>23822</v>
      </c>
      <c r="B77" s="16" t="s">
        <v>15</v>
      </c>
      <c r="C77" s="16" t="s">
        <v>199</v>
      </c>
      <c r="D77" s="16"/>
      <c r="E77" s="17" t="s">
        <v>200</v>
      </c>
      <c r="F77" s="16" t="n">
        <v>34.006133</v>
      </c>
      <c r="G77" s="16" t="n">
        <v>42.428236</v>
      </c>
      <c r="H77" s="18" t="n">
        <v>173</v>
      </c>
      <c r="I77" s="18" t="n">
        <v>1038</v>
      </c>
      <c r="J77" s="19" t="n">
        <v>98</v>
      </c>
      <c r="K77" s="19"/>
      <c r="L77" s="19" t="n">
        <v>10</v>
      </c>
      <c r="M77" s="19"/>
      <c r="N77" s="19"/>
      <c r="O77" s="19"/>
      <c r="P77" s="19"/>
      <c r="Q77" s="19"/>
      <c r="R77" s="19"/>
      <c r="S77" s="19"/>
      <c r="T77" s="19"/>
      <c r="U77" s="19"/>
      <c r="V77" s="19" t="n">
        <v>35</v>
      </c>
      <c r="W77" s="19"/>
      <c r="X77" s="19" t="n">
        <v>30</v>
      </c>
      <c r="Y77" s="19"/>
      <c r="Z77" s="19"/>
      <c r="AA77" s="19"/>
      <c r="AB77" s="19"/>
      <c r="AC77" s="19" t="n">
        <v>100</v>
      </c>
      <c r="AD77" s="19"/>
      <c r="AE77" s="19"/>
      <c r="AF77" s="19"/>
      <c r="AG77" s="19"/>
      <c r="AH77" s="19" t="n">
        <v>73</v>
      </c>
      <c r="AI77" s="19"/>
      <c r="AJ77" s="19"/>
      <c r="AK77" s="19"/>
      <c r="AL77" s="19" t="n">
        <v>98</v>
      </c>
      <c r="AM77" s="19" t="n">
        <v>75</v>
      </c>
      <c r="AN77" s="19"/>
      <c r="AO77" s="19"/>
      <c r="AP77" s="19"/>
      <c r="AQ77" s="19"/>
      <c r="AR77" s="19"/>
      <c r="AS77" s="20" t="str">
        <f aca="false">HYPERLINK("http://www.openstreetmap.org/?mlat=34.0061&amp;mlon=42.4282&amp;zoom=12#map=12/34.0061/42.4282","Maplink1")</f>
        <v>Maplink1</v>
      </c>
      <c r="AT77" s="20" t="str">
        <f aca="false">HYPERLINK("https://www.google.iq/maps/search/+34.0061,42.4282/@34.0061,42.4282,14z?hl=en","Maplink2")</f>
        <v>Maplink2</v>
      </c>
      <c r="AU77" s="20" t="str">
        <f aca="false">HYPERLINK("http://www.bing.com/maps/?lvl=14&amp;sty=h&amp;cp=34.0061~42.4282&amp;sp=point.34.0061_42.4282","Maplink3")</f>
        <v>Maplink3</v>
      </c>
    </row>
    <row r="78" customFormat="false" ht="15" hidden="false" customHeight="true" outlineLevel="0" collapsed="false">
      <c r="A78" s="15" t="n">
        <v>24112</v>
      </c>
      <c r="B78" s="16" t="s">
        <v>15</v>
      </c>
      <c r="C78" s="16" t="s">
        <v>199</v>
      </c>
      <c r="D78" s="16" t="s">
        <v>201</v>
      </c>
      <c r="E78" s="17" t="s">
        <v>202</v>
      </c>
      <c r="F78" s="16" t="n">
        <v>34.184598</v>
      </c>
      <c r="G78" s="16" t="n">
        <v>42.365262</v>
      </c>
      <c r="H78" s="18" t="n">
        <v>216</v>
      </c>
      <c r="I78" s="18" t="n">
        <v>1296</v>
      </c>
      <c r="J78" s="19" t="n">
        <v>216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 t="n">
        <v>72</v>
      </c>
      <c r="AD78" s="19"/>
      <c r="AE78" s="19" t="n">
        <v>25</v>
      </c>
      <c r="AF78" s="19"/>
      <c r="AG78" s="19"/>
      <c r="AH78" s="19" t="n">
        <v>45</v>
      </c>
      <c r="AI78" s="19"/>
      <c r="AJ78" s="19" t="n">
        <v>74</v>
      </c>
      <c r="AK78" s="19"/>
      <c r="AL78" s="19" t="n">
        <v>216</v>
      </c>
      <c r="AM78" s="19"/>
      <c r="AN78" s="19"/>
      <c r="AO78" s="19"/>
      <c r="AP78" s="19"/>
      <c r="AQ78" s="19"/>
      <c r="AR78" s="19"/>
      <c r="AS78" s="20" t="str">
        <f aca="false">HYPERLINK("http://www.openstreetmap.org/?mlat=34.1846&amp;mlon=42.3653&amp;zoom=12#map=12/34.1846/42.3653","Maplink1")</f>
        <v>Maplink1</v>
      </c>
      <c r="AT78" s="20" t="str">
        <f aca="false">HYPERLINK("https://www.google.iq/maps/search/+34.1846,42.3653/@34.1846,42.3653,14z?hl=en","Maplink2")</f>
        <v>Maplink2</v>
      </c>
      <c r="AU78" s="20" t="str">
        <f aca="false">HYPERLINK("http://www.bing.com/maps/?lvl=14&amp;sty=h&amp;cp=34.1846~42.3653&amp;sp=point.34.1846_42.3653","Maplink3")</f>
        <v>Maplink3</v>
      </c>
    </row>
    <row r="79" customFormat="false" ht="15" hidden="false" customHeight="true" outlineLevel="0" collapsed="false">
      <c r="A79" s="15" t="n">
        <v>238</v>
      </c>
      <c r="B79" s="16" t="s">
        <v>15</v>
      </c>
      <c r="C79" s="16" t="s">
        <v>199</v>
      </c>
      <c r="D79" s="16" t="s">
        <v>203</v>
      </c>
      <c r="E79" s="17" t="s">
        <v>204</v>
      </c>
      <c r="F79" s="16" t="n">
        <v>34.131768</v>
      </c>
      <c r="G79" s="16" t="n">
        <v>42.386263</v>
      </c>
      <c r="H79" s="18" t="n">
        <v>81</v>
      </c>
      <c r="I79" s="18" t="n">
        <v>486</v>
      </c>
      <c r="J79" s="19" t="n">
        <v>81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 t="n">
        <v>26</v>
      </c>
      <c r="AD79" s="19"/>
      <c r="AE79" s="19"/>
      <c r="AF79" s="19"/>
      <c r="AG79" s="19"/>
      <c r="AH79" s="19" t="n">
        <v>31</v>
      </c>
      <c r="AI79" s="19"/>
      <c r="AJ79" s="19" t="n">
        <v>24</v>
      </c>
      <c r="AK79" s="19"/>
      <c r="AL79" s="19" t="n">
        <v>81</v>
      </c>
      <c r="AM79" s="19"/>
      <c r="AN79" s="19"/>
      <c r="AO79" s="19"/>
      <c r="AP79" s="19"/>
      <c r="AQ79" s="19"/>
      <c r="AR79" s="19"/>
      <c r="AS79" s="20" t="str">
        <f aca="false">HYPERLINK("http://www.openstreetmap.org/?mlat=34.1318&amp;mlon=42.3863&amp;zoom=12#map=12/34.1318/42.3863","Maplink1")</f>
        <v>Maplink1</v>
      </c>
      <c r="AT79" s="20" t="str">
        <f aca="false">HYPERLINK("https://www.google.iq/maps/search/+34.1318,42.3863/@34.1318,42.3863,14z?hl=en","Maplink2")</f>
        <v>Maplink2</v>
      </c>
      <c r="AU79" s="20" t="str">
        <f aca="false">HYPERLINK("http://www.bing.com/maps/?lvl=14&amp;sty=h&amp;cp=34.1318~42.3863&amp;sp=point.34.1318_42.3863","Maplink3")</f>
        <v>Maplink3</v>
      </c>
    </row>
    <row r="80" customFormat="false" ht="15" hidden="false" customHeight="true" outlineLevel="0" collapsed="false">
      <c r="A80" s="15" t="n">
        <v>24324</v>
      </c>
      <c r="B80" s="16" t="s">
        <v>15</v>
      </c>
      <c r="C80" s="16" t="s">
        <v>199</v>
      </c>
      <c r="D80" s="16" t="s">
        <v>205</v>
      </c>
      <c r="E80" s="17" t="s">
        <v>206</v>
      </c>
      <c r="F80" s="16" t="n">
        <v>34.12485</v>
      </c>
      <c r="G80" s="16" t="n">
        <v>42.393653</v>
      </c>
      <c r="H80" s="18" t="n">
        <v>65</v>
      </c>
      <c r="I80" s="18" t="n">
        <v>390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 t="n">
        <v>45</v>
      </c>
      <c r="W80" s="19"/>
      <c r="X80" s="19" t="n">
        <v>20</v>
      </c>
      <c r="Y80" s="19"/>
      <c r="Z80" s="19"/>
      <c r="AA80" s="19"/>
      <c r="AB80" s="19"/>
      <c r="AC80" s="19" t="n">
        <v>65</v>
      </c>
      <c r="AD80" s="19"/>
      <c r="AE80" s="19"/>
      <c r="AF80" s="19"/>
      <c r="AG80" s="19"/>
      <c r="AH80" s="19"/>
      <c r="AI80" s="19"/>
      <c r="AJ80" s="19"/>
      <c r="AK80" s="19"/>
      <c r="AL80" s="19"/>
      <c r="AM80" s="19" t="n">
        <v>65</v>
      </c>
      <c r="AN80" s="19"/>
      <c r="AO80" s="19"/>
      <c r="AP80" s="19"/>
      <c r="AQ80" s="19"/>
      <c r="AR80" s="19"/>
      <c r="AS80" s="20" t="str">
        <f aca="false">HYPERLINK("http://www.openstreetmap.org/?mlat=34.1249&amp;mlon=42.3937&amp;zoom=12#map=12/34.1249/42.3937","Maplink1")</f>
        <v>Maplink1</v>
      </c>
      <c r="AT80" s="20" t="str">
        <f aca="false">HYPERLINK("https://www.google.iq/maps/search/+34.1249,42.3937/@34.1249,42.3937,14z?hl=en","Maplink2")</f>
        <v>Maplink2</v>
      </c>
      <c r="AU80" s="20" t="str">
        <f aca="false">HYPERLINK("http://www.bing.com/maps/?lvl=14&amp;sty=h&amp;cp=34.1249~42.3937&amp;sp=point.34.1249_42.3937","Maplink3")</f>
        <v>Maplink3</v>
      </c>
    </row>
    <row r="81" customFormat="false" ht="15" hidden="false" customHeight="true" outlineLevel="0" collapsed="false">
      <c r="A81" s="15" t="n">
        <v>24111</v>
      </c>
      <c r="B81" s="16" t="s">
        <v>15</v>
      </c>
      <c r="C81" s="16" t="s">
        <v>199</v>
      </c>
      <c r="D81" s="16" t="s">
        <v>207</v>
      </c>
      <c r="E81" s="17" t="s">
        <v>208</v>
      </c>
      <c r="F81" s="16" t="n">
        <v>34.069793</v>
      </c>
      <c r="G81" s="16" t="n">
        <v>42.385062</v>
      </c>
      <c r="H81" s="18" t="n">
        <v>128</v>
      </c>
      <c r="I81" s="18" t="n">
        <v>768</v>
      </c>
      <c r="J81" s="19" t="n">
        <v>106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 t="n">
        <v>22</v>
      </c>
      <c r="Y81" s="19"/>
      <c r="Z81" s="19"/>
      <c r="AA81" s="19"/>
      <c r="AB81" s="19"/>
      <c r="AC81" s="19" t="n">
        <v>89</v>
      </c>
      <c r="AD81" s="19"/>
      <c r="AE81" s="19"/>
      <c r="AF81" s="19"/>
      <c r="AG81" s="19"/>
      <c r="AH81" s="19" t="n">
        <v>39</v>
      </c>
      <c r="AI81" s="19"/>
      <c r="AJ81" s="19"/>
      <c r="AK81" s="19"/>
      <c r="AL81" s="19" t="n">
        <v>106</v>
      </c>
      <c r="AM81" s="19" t="n">
        <v>22</v>
      </c>
      <c r="AN81" s="19"/>
      <c r="AO81" s="19"/>
      <c r="AP81" s="19"/>
      <c r="AQ81" s="19"/>
      <c r="AR81" s="19"/>
      <c r="AS81" s="20" t="str">
        <f aca="false">HYPERLINK("http://www.openstreetmap.org/?mlat=34.0698&amp;mlon=42.3851&amp;zoom=12#map=12/34.0698/42.3851","Maplink1")</f>
        <v>Maplink1</v>
      </c>
      <c r="AT81" s="20" t="str">
        <f aca="false">HYPERLINK("https://www.google.iq/maps/search/+34.0698,42.3851/@34.0698,42.3851,14z?hl=en","Maplink2")</f>
        <v>Maplink2</v>
      </c>
      <c r="AU81" s="20" t="str">
        <f aca="false">HYPERLINK("http://www.bing.com/maps/?lvl=14&amp;sty=h&amp;cp=34.0698~42.3851&amp;sp=point.34.0698_42.3851","Maplink3")</f>
        <v>Maplink3</v>
      </c>
    </row>
    <row r="82" customFormat="false" ht="15" hidden="false" customHeight="true" outlineLevel="0" collapsed="false">
      <c r="A82" s="15" t="n">
        <v>23824</v>
      </c>
      <c r="B82" s="16" t="s">
        <v>15</v>
      </c>
      <c r="C82" s="16" t="s">
        <v>199</v>
      </c>
      <c r="D82" s="16" t="s">
        <v>209</v>
      </c>
      <c r="E82" s="17" t="s">
        <v>210</v>
      </c>
      <c r="F82" s="16" t="n">
        <v>34.080873</v>
      </c>
      <c r="G82" s="16" t="n">
        <v>42.356969</v>
      </c>
      <c r="H82" s="18" t="n">
        <v>74</v>
      </c>
      <c r="I82" s="18" t="n">
        <v>444</v>
      </c>
      <c r="J82" s="19" t="n">
        <v>74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 t="n">
        <v>74</v>
      </c>
      <c r="AD82" s="19"/>
      <c r="AE82" s="19"/>
      <c r="AF82" s="19"/>
      <c r="AG82" s="19"/>
      <c r="AH82" s="19"/>
      <c r="AI82" s="19"/>
      <c r="AJ82" s="19"/>
      <c r="AK82" s="19"/>
      <c r="AL82" s="19" t="n">
        <v>34</v>
      </c>
      <c r="AM82" s="19"/>
      <c r="AN82" s="19"/>
      <c r="AO82" s="19" t="n">
        <v>40</v>
      </c>
      <c r="AP82" s="19"/>
      <c r="AQ82" s="19"/>
      <c r="AR82" s="19"/>
      <c r="AS82" s="20" t="str">
        <f aca="false">HYPERLINK("http://www.openstreetmap.org/?mlat=34.0809&amp;mlon=42.357&amp;zoom=12#map=12/34.0809/42.357","Maplink1")</f>
        <v>Maplink1</v>
      </c>
      <c r="AT82" s="20" t="str">
        <f aca="false">HYPERLINK("https://www.google.iq/maps/search/+34.0809,42.357/@34.0809,42.357,14z?hl=en","Maplink2")</f>
        <v>Maplink2</v>
      </c>
      <c r="AU82" s="20" t="str">
        <f aca="false">HYPERLINK("http://www.bing.com/maps/?lvl=14&amp;sty=h&amp;cp=34.0809~42.357&amp;sp=point.34.0809_42.357","Maplink3")</f>
        <v>Maplink3</v>
      </c>
    </row>
    <row r="83" customFormat="false" ht="15" hidden="false" customHeight="true" outlineLevel="0" collapsed="false">
      <c r="A83" s="15" t="n">
        <v>23809</v>
      </c>
      <c r="B83" s="16" t="s">
        <v>15</v>
      </c>
      <c r="C83" s="16" t="s">
        <v>199</v>
      </c>
      <c r="D83" s="16" t="s">
        <v>211</v>
      </c>
      <c r="E83" s="17" t="s">
        <v>212</v>
      </c>
      <c r="F83" s="16" t="n">
        <v>34.188348</v>
      </c>
      <c r="G83" s="16" t="n">
        <v>42.369548</v>
      </c>
      <c r="H83" s="18" t="n">
        <v>47</v>
      </c>
      <c r="I83" s="18" t="n">
        <v>282</v>
      </c>
      <c r="J83" s="19" t="n">
        <v>35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 t="n">
        <v>12</v>
      </c>
      <c r="Y83" s="19"/>
      <c r="Z83" s="19"/>
      <c r="AA83" s="19"/>
      <c r="AB83" s="19"/>
      <c r="AC83" s="19" t="n">
        <v>12</v>
      </c>
      <c r="AD83" s="19"/>
      <c r="AE83" s="19" t="n">
        <v>35</v>
      </c>
      <c r="AF83" s="19"/>
      <c r="AG83" s="19"/>
      <c r="AH83" s="19"/>
      <c r="AI83" s="19"/>
      <c r="AJ83" s="19"/>
      <c r="AK83" s="19"/>
      <c r="AL83" s="19" t="n">
        <v>35</v>
      </c>
      <c r="AM83" s="19" t="n">
        <v>12</v>
      </c>
      <c r="AN83" s="19"/>
      <c r="AO83" s="19"/>
      <c r="AP83" s="19"/>
      <c r="AQ83" s="19"/>
      <c r="AR83" s="19"/>
      <c r="AS83" s="20" t="str">
        <f aca="false">HYPERLINK("http://www.openstreetmap.org/?mlat=34.1883&amp;mlon=42.3695&amp;zoom=12#map=12/34.1883/42.3695","Maplink1")</f>
        <v>Maplink1</v>
      </c>
      <c r="AT83" s="20" t="str">
        <f aca="false">HYPERLINK("https://www.google.iq/maps/search/+34.1883,42.3695/@34.1883,42.3695,14z?hl=en","Maplink2")</f>
        <v>Maplink2</v>
      </c>
      <c r="AU83" s="20" t="str">
        <f aca="false">HYPERLINK("http://www.bing.com/maps/?lvl=14&amp;sty=h&amp;cp=34.1883~42.3695&amp;sp=point.34.1883_42.3695","Maplink3")</f>
        <v>Maplink3</v>
      </c>
    </row>
    <row r="84" customFormat="false" ht="15" hidden="false" customHeight="true" outlineLevel="0" collapsed="false">
      <c r="A84" s="15" t="n">
        <v>245</v>
      </c>
      <c r="B84" s="16" t="s">
        <v>15</v>
      </c>
      <c r="C84" s="16" t="s">
        <v>199</v>
      </c>
      <c r="D84" s="16" t="s">
        <v>213</v>
      </c>
      <c r="E84" s="17" t="s">
        <v>214</v>
      </c>
      <c r="F84" s="16" t="n">
        <v>34.108404</v>
      </c>
      <c r="G84" s="16" t="n">
        <v>42.379335</v>
      </c>
      <c r="H84" s="18" t="n">
        <v>171</v>
      </c>
      <c r="I84" s="18" t="n">
        <v>1026</v>
      </c>
      <c r="J84" s="19" t="n">
        <v>165</v>
      </c>
      <c r="K84" s="19"/>
      <c r="L84" s="19" t="n">
        <v>6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 t="n">
        <v>61</v>
      </c>
      <c r="AD84" s="19"/>
      <c r="AE84" s="19"/>
      <c r="AF84" s="19"/>
      <c r="AG84" s="19"/>
      <c r="AH84" s="19" t="n">
        <v>97</v>
      </c>
      <c r="AI84" s="19" t="n">
        <v>13</v>
      </c>
      <c r="AJ84" s="19"/>
      <c r="AK84" s="19"/>
      <c r="AL84" s="19" t="n">
        <v>165</v>
      </c>
      <c r="AM84" s="19" t="n">
        <v>6</v>
      </c>
      <c r="AN84" s="19"/>
      <c r="AO84" s="19"/>
      <c r="AP84" s="19"/>
      <c r="AQ84" s="19"/>
      <c r="AR84" s="19"/>
      <c r="AS84" s="20" t="str">
        <f aca="false">HYPERLINK("http://www.openstreetmap.org/?mlat=34.1084&amp;mlon=42.3793&amp;zoom=12#map=12/34.1084/42.3793","Maplink1")</f>
        <v>Maplink1</v>
      </c>
      <c r="AT84" s="20" t="str">
        <f aca="false">HYPERLINK("https://www.google.iq/maps/search/+34.1084,42.3793/@34.1084,42.3793,14z?hl=en","Maplink2")</f>
        <v>Maplink2</v>
      </c>
      <c r="AU84" s="20" t="str">
        <f aca="false">HYPERLINK("http://www.bing.com/maps/?lvl=14&amp;sty=h&amp;cp=34.1084~42.3793&amp;sp=point.34.1084_42.3793","Maplink3")</f>
        <v>Maplink3</v>
      </c>
    </row>
    <row r="85" customFormat="false" ht="15" hidden="false" customHeight="true" outlineLevel="0" collapsed="false">
      <c r="A85" s="15" t="n">
        <v>24109</v>
      </c>
      <c r="B85" s="16" t="s">
        <v>15</v>
      </c>
      <c r="C85" s="16" t="s">
        <v>199</v>
      </c>
      <c r="D85" s="16" t="s">
        <v>215</v>
      </c>
      <c r="E85" s="17" t="s">
        <v>216</v>
      </c>
      <c r="F85" s="16" t="n">
        <v>34.10319</v>
      </c>
      <c r="G85" s="16" t="n">
        <v>42.373374</v>
      </c>
      <c r="H85" s="18" t="n">
        <v>151</v>
      </c>
      <c r="I85" s="18" t="n">
        <v>906</v>
      </c>
      <c r="J85" s="19" t="n">
        <v>151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 t="n">
        <v>79</v>
      </c>
      <c r="AD85" s="19"/>
      <c r="AE85" s="19" t="n">
        <v>40</v>
      </c>
      <c r="AF85" s="19"/>
      <c r="AG85" s="19"/>
      <c r="AH85" s="19" t="n">
        <v>32</v>
      </c>
      <c r="AI85" s="19"/>
      <c r="AJ85" s="19"/>
      <c r="AK85" s="19"/>
      <c r="AL85" s="19" t="n">
        <v>95</v>
      </c>
      <c r="AM85" s="19"/>
      <c r="AN85" s="19"/>
      <c r="AO85" s="19" t="n">
        <v>56</v>
      </c>
      <c r="AP85" s="19"/>
      <c r="AQ85" s="19"/>
      <c r="AR85" s="19"/>
      <c r="AS85" s="20" t="str">
        <f aca="false">HYPERLINK("http://www.openstreetmap.org/?mlat=34.1032&amp;mlon=42.3734&amp;zoom=12#map=12/34.1032/42.3734","Maplink1")</f>
        <v>Maplink1</v>
      </c>
      <c r="AT85" s="20" t="str">
        <f aca="false">HYPERLINK("https://www.google.iq/maps/search/+34.1032,42.3734/@34.1032,42.3734,14z?hl=en","Maplink2")</f>
        <v>Maplink2</v>
      </c>
      <c r="AU85" s="20" t="str">
        <f aca="false">HYPERLINK("http://www.bing.com/maps/?lvl=14&amp;sty=h&amp;cp=34.1032~42.3734&amp;sp=point.34.1032_42.3734","Maplink3")</f>
        <v>Maplink3</v>
      </c>
    </row>
    <row r="86" customFormat="false" ht="15" hidden="false" customHeight="true" outlineLevel="0" collapsed="false">
      <c r="A86" s="15" t="n">
        <v>23823</v>
      </c>
      <c r="B86" s="16" t="s">
        <v>15</v>
      </c>
      <c r="C86" s="16" t="s">
        <v>199</v>
      </c>
      <c r="D86" s="16" t="s">
        <v>217</v>
      </c>
      <c r="E86" s="17" t="s">
        <v>218</v>
      </c>
      <c r="F86" s="16" t="n">
        <v>34.086067</v>
      </c>
      <c r="G86" s="16" t="n">
        <v>42.362759</v>
      </c>
      <c r="H86" s="18" t="n">
        <v>88</v>
      </c>
      <c r="I86" s="18" t="n">
        <v>528</v>
      </c>
      <c r="J86" s="19" t="n">
        <v>65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 t="n">
        <v>23</v>
      </c>
      <c r="Y86" s="19"/>
      <c r="Z86" s="19"/>
      <c r="AA86" s="19"/>
      <c r="AB86" s="19"/>
      <c r="AC86" s="19" t="n">
        <v>54</v>
      </c>
      <c r="AD86" s="19"/>
      <c r="AE86" s="19"/>
      <c r="AF86" s="19"/>
      <c r="AG86" s="19"/>
      <c r="AH86" s="19" t="n">
        <v>34</v>
      </c>
      <c r="AI86" s="19"/>
      <c r="AJ86" s="19"/>
      <c r="AK86" s="19"/>
      <c r="AL86" s="19" t="n">
        <v>65</v>
      </c>
      <c r="AM86" s="19" t="n">
        <v>23</v>
      </c>
      <c r="AN86" s="19"/>
      <c r="AO86" s="19"/>
      <c r="AP86" s="19"/>
      <c r="AQ86" s="19"/>
      <c r="AR86" s="19"/>
      <c r="AS86" s="20" t="str">
        <f aca="false">HYPERLINK("http://www.openstreetmap.org/?mlat=34.0861&amp;mlon=42.3628&amp;zoom=12#map=12/34.0861/42.3628","Maplink1")</f>
        <v>Maplink1</v>
      </c>
      <c r="AT86" s="20" t="str">
        <f aca="false">HYPERLINK("https://www.google.iq/maps/search/+34.0861,42.3628/@34.0861,42.3628,14z?hl=en","Maplink2")</f>
        <v>Maplink2</v>
      </c>
      <c r="AU86" s="20" t="str">
        <f aca="false">HYPERLINK("http://www.bing.com/maps/?lvl=14&amp;sty=h&amp;cp=34.0861~42.3628&amp;sp=point.34.0861_42.3628","Maplink3")</f>
        <v>Maplink3</v>
      </c>
    </row>
    <row r="87" customFormat="false" ht="15" hidden="false" customHeight="true" outlineLevel="0" collapsed="false">
      <c r="A87" s="15" t="n">
        <v>24117</v>
      </c>
      <c r="B87" s="16" t="s">
        <v>15</v>
      </c>
      <c r="C87" s="16" t="s">
        <v>199</v>
      </c>
      <c r="D87" s="16" t="s">
        <v>219</v>
      </c>
      <c r="E87" s="17" t="s">
        <v>220</v>
      </c>
      <c r="F87" s="16" t="n">
        <v>34.083125</v>
      </c>
      <c r="G87" s="16" t="n">
        <v>42.36578</v>
      </c>
      <c r="H87" s="18" t="n">
        <v>128</v>
      </c>
      <c r="I87" s="18" t="n">
        <v>768</v>
      </c>
      <c r="J87" s="19" t="n">
        <v>110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 t="n">
        <v>18</v>
      </c>
      <c r="W87" s="19"/>
      <c r="X87" s="19"/>
      <c r="Y87" s="19"/>
      <c r="Z87" s="19"/>
      <c r="AA87" s="19"/>
      <c r="AB87" s="19"/>
      <c r="AC87" s="19" t="n">
        <v>62</v>
      </c>
      <c r="AD87" s="19"/>
      <c r="AE87" s="19"/>
      <c r="AF87" s="19"/>
      <c r="AG87" s="19"/>
      <c r="AH87" s="19" t="n">
        <v>66</v>
      </c>
      <c r="AI87" s="19"/>
      <c r="AJ87" s="19"/>
      <c r="AK87" s="19"/>
      <c r="AL87" s="19" t="n">
        <v>110</v>
      </c>
      <c r="AM87" s="19" t="n">
        <v>18</v>
      </c>
      <c r="AN87" s="19"/>
      <c r="AO87" s="19"/>
      <c r="AP87" s="19"/>
      <c r="AQ87" s="19"/>
      <c r="AR87" s="19"/>
      <c r="AS87" s="20" t="str">
        <f aca="false">HYPERLINK("http://www.openstreetmap.org/?mlat=34.0831&amp;mlon=42.3658&amp;zoom=12#map=12/34.0831/42.3658","Maplink1")</f>
        <v>Maplink1</v>
      </c>
      <c r="AT87" s="20" t="str">
        <f aca="false">HYPERLINK("https://www.google.iq/maps/search/+34.0831,42.3658/@34.0831,42.3658,14z?hl=en","Maplink2")</f>
        <v>Maplink2</v>
      </c>
      <c r="AU87" s="20" t="str">
        <f aca="false">HYPERLINK("http://www.bing.com/maps/?lvl=14&amp;sty=h&amp;cp=34.0831~42.3658&amp;sp=point.34.0831_42.3658","Maplink3")</f>
        <v>Maplink3</v>
      </c>
    </row>
    <row r="88" customFormat="false" ht="15" hidden="false" customHeight="true" outlineLevel="0" collapsed="false">
      <c r="A88" s="15" t="n">
        <v>237</v>
      </c>
      <c r="B88" s="16" t="s">
        <v>15</v>
      </c>
      <c r="C88" s="16" t="s">
        <v>199</v>
      </c>
      <c r="D88" s="16" t="s">
        <v>78</v>
      </c>
      <c r="E88" s="17" t="s">
        <v>79</v>
      </c>
      <c r="F88" s="16" t="n">
        <v>34.129339</v>
      </c>
      <c r="G88" s="16" t="n">
        <v>42.373987</v>
      </c>
      <c r="H88" s="18" t="n">
        <v>252</v>
      </c>
      <c r="I88" s="18" t="n">
        <v>1512</v>
      </c>
      <c r="J88" s="19" t="n">
        <v>224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 t="n">
        <v>28</v>
      </c>
      <c r="W88" s="19"/>
      <c r="X88" s="19"/>
      <c r="Y88" s="19"/>
      <c r="Z88" s="19"/>
      <c r="AA88" s="19"/>
      <c r="AB88" s="19"/>
      <c r="AC88" s="19" t="n">
        <v>101</v>
      </c>
      <c r="AD88" s="19"/>
      <c r="AE88" s="19"/>
      <c r="AF88" s="19"/>
      <c r="AG88" s="19"/>
      <c r="AH88" s="19" t="n">
        <v>112</v>
      </c>
      <c r="AI88" s="19" t="n">
        <v>14</v>
      </c>
      <c r="AJ88" s="19" t="n">
        <v>25</v>
      </c>
      <c r="AK88" s="19"/>
      <c r="AL88" s="19" t="n">
        <v>180</v>
      </c>
      <c r="AM88" s="19" t="n">
        <v>28</v>
      </c>
      <c r="AN88" s="19"/>
      <c r="AO88" s="19" t="n">
        <v>44</v>
      </c>
      <c r="AP88" s="19"/>
      <c r="AQ88" s="19"/>
      <c r="AR88" s="19"/>
      <c r="AS88" s="20" t="str">
        <f aca="false">HYPERLINK("http://www.openstreetmap.org/?mlat=34.1293&amp;mlon=42.374&amp;zoom=12#map=12/34.1293/42.374","Maplink1")</f>
        <v>Maplink1</v>
      </c>
      <c r="AT88" s="20" t="str">
        <f aca="false">HYPERLINK("https://www.google.iq/maps/search/+34.1293,42.374/@34.1293,42.374,14z?hl=en","Maplink2")</f>
        <v>Maplink2</v>
      </c>
      <c r="AU88" s="20" t="str">
        <f aca="false">HYPERLINK("http://www.bing.com/maps/?lvl=14&amp;sty=h&amp;cp=34.1293~42.374&amp;sp=point.34.1293_42.374","Maplink3")</f>
        <v>Maplink3</v>
      </c>
    </row>
    <row r="89" customFormat="false" ht="15" hidden="false" customHeight="true" outlineLevel="0" collapsed="false">
      <c r="A89" s="15" t="n">
        <v>23819</v>
      </c>
      <c r="B89" s="16" t="s">
        <v>15</v>
      </c>
      <c r="C89" s="16" t="s">
        <v>199</v>
      </c>
      <c r="D89" s="16" t="s">
        <v>221</v>
      </c>
      <c r="E89" s="17" t="s">
        <v>222</v>
      </c>
      <c r="F89" s="16" t="n">
        <v>34.086398</v>
      </c>
      <c r="G89" s="16" t="n">
        <v>42.369182</v>
      </c>
      <c r="H89" s="18" t="n">
        <v>187</v>
      </c>
      <c r="I89" s="18" t="n">
        <v>1122</v>
      </c>
      <c r="J89" s="19" t="n">
        <v>187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 t="n">
        <v>93</v>
      </c>
      <c r="AD89" s="19"/>
      <c r="AE89" s="19" t="n">
        <v>12</v>
      </c>
      <c r="AF89" s="19"/>
      <c r="AG89" s="19"/>
      <c r="AH89" s="19" t="n">
        <v>82</v>
      </c>
      <c r="AI89" s="19"/>
      <c r="AJ89" s="19"/>
      <c r="AK89" s="19"/>
      <c r="AL89" s="19" t="n">
        <v>139</v>
      </c>
      <c r="AM89" s="19"/>
      <c r="AN89" s="19"/>
      <c r="AO89" s="19" t="n">
        <v>48</v>
      </c>
      <c r="AP89" s="19"/>
      <c r="AQ89" s="19"/>
      <c r="AR89" s="19"/>
      <c r="AS89" s="20" t="str">
        <f aca="false">HYPERLINK("http://www.openstreetmap.org/?mlat=34.0864&amp;mlon=42.3692&amp;zoom=12#map=12/34.0864/42.3692","Maplink1")</f>
        <v>Maplink1</v>
      </c>
      <c r="AT89" s="20" t="str">
        <f aca="false">HYPERLINK("https://www.google.iq/maps/search/+34.0864,42.3692/@34.0864,42.3692,14z?hl=en","Maplink2")</f>
        <v>Maplink2</v>
      </c>
      <c r="AU89" s="20" t="str">
        <f aca="false">HYPERLINK("http://www.bing.com/maps/?lvl=14&amp;sty=h&amp;cp=34.0864~42.3692&amp;sp=point.34.0864_42.3692","Maplink3")</f>
        <v>Maplink3</v>
      </c>
    </row>
    <row r="90" customFormat="false" ht="15" hidden="false" customHeight="true" outlineLevel="0" collapsed="false">
      <c r="A90" s="15" t="n">
        <v>239</v>
      </c>
      <c r="B90" s="16" t="s">
        <v>15</v>
      </c>
      <c r="C90" s="16" t="s">
        <v>199</v>
      </c>
      <c r="D90" s="16" t="s">
        <v>223</v>
      </c>
      <c r="E90" s="17" t="s">
        <v>224</v>
      </c>
      <c r="F90" s="16" t="n">
        <v>34.140894</v>
      </c>
      <c r="G90" s="16" t="n">
        <v>42.37901</v>
      </c>
      <c r="H90" s="18" t="n">
        <v>154</v>
      </c>
      <c r="I90" s="18" t="n">
        <v>924</v>
      </c>
      <c r="J90" s="19" t="n">
        <v>114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 t="n">
        <v>40</v>
      </c>
      <c r="W90" s="19"/>
      <c r="X90" s="19"/>
      <c r="Y90" s="19"/>
      <c r="Z90" s="19"/>
      <c r="AA90" s="19"/>
      <c r="AB90" s="19"/>
      <c r="AC90" s="19" t="n">
        <v>83</v>
      </c>
      <c r="AD90" s="19"/>
      <c r="AE90" s="19"/>
      <c r="AF90" s="19"/>
      <c r="AG90" s="19"/>
      <c r="AH90" s="19" t="n">
        <v>71</v>
      </c>
      <c r="AI90" s="19"/>
      <c r="AJ90" s="19"/>
      <c r="AK90" s="19"/>
      <c r="AL90" s="19" t="n">
        <v>114</v>
      </c>
      <c r="AM90" s="19" t="n">
        <v>40</v>
      </c>
      <c r="AN90" s="19"/>
      <c r="AO90" s="19"/>
      <c r="AP90" s="19"/>
      <c r="AQ90" s="19"/>
      <c r="AR90" s="19"/>
      <c r="AS90" s="20" t="str">
        <f aca="false">HYPERLINK("http://www.openstreetmap.org/?mlat=34.1409&amp;mlon=42.379&amp;zoom=12#map=12/34.1409/42.379","Maplink1")</f>
        <v>Maplink1</v>
      </c>
      <c r="AT90" s="20" t="str">
        <f aca="false">HYPERLINK("https://www.google.iq/maps/search/+34.1409,42.379/@34.1409,42.379,14z?hl=en","Maplink2")</f>
        <v>Maplink2</v>
      </c>
      <c r="AU90" s="20" t="str">
        <f aca="false">HYPERLINK("http://www.bing.com/maps/?lvl=14&amp;sty=h&amp;cp=34.1409~42.379&amp;sp=point.34.1409_42.379","Maplink3")</f>
        <v>Maplink3</v>
      </c>
    </row>
    <row r="91" customFormat="false" ht="15" hidden="false" customHeight="true" outlineLevel="0" collapsed="false">
      <c r="A91" s="15" t="n">
        <v>236</v>
      </c>
      <c r="B91" s="16" t="s">
        <v>15</v>
      </c>
      <c r="C91" s="16" t="s">
        <v>199</v>
      </c>
      <c r="D91" s="16" t="s">
        <v>225</v>
      </c>
      <c r="E91" s="17" t="s">
        <v>226</v>
      </c>
      <c r="F91" s="16" t="n">
        <v>34.129372</v>
      </c>
      <c r="G91" s="16" t="n">
        <v>42.380523</v>
      </c>
      <c r="H91" s="18" t="n">
        <v>255</v>
      </c>
      <c r="I91" s="18" t="n">
        <v>1530</v>
      </c>
      <c r="J91" s="19" t="n">
        <v>243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 t="n">
        <v>12</v>
      </c>
      <c r="Y91" s="19"/>
      <c r="Z91" s="19"/>
      <c r="AA91" s="19"/>
      <c r="AB91" s="19"/>
      <c r="AC91" s="19" t="n">
        <v>99</v>
      </c>
      <c r="AD91" s="19"/>
      <c r="AE91" s="19"/>
      <c r="AF91" s="19"/>
      <c r="AG91" s="19"/>
      <c r="AH91" s="19" t="n">
        <v>135</v>
      </c>
      <c r="AI91" s="19"/>
      <c r="AJ91" s="19" t="n">
        <v>21</v>
      </c>
      <c r="AK91" s="19"/>
      <c r="AL91" s="19" t="n">
        <v>238</v>
      </c>
      <c r="AM91" s="19" t="n">
        <v>12</v>
      </c>
      <c r="AN91" s="19"/>
      <c r="AO91" s="19" t="n">
        <v>5</v>
      </c>
      <c r="AP91" s="19"/>
      <c r="AQ91" s="19"/>
      <c r="AR91" s="19"/>
      <c r="AS91" s="20" t="str">
        <f aca="false">HYPERLINK("http://www.openstreetmap.org/?mlat=34.1294&amp;mlon=42.3805&amp;zoom=12#map=12/34.1294/42.3805","Maplink1")</f>
        <v>Maplink1</v>
      </c>
      <c r="AT91" s="20" t="str">
        <f aca="false">HYPERLINK("https://www.google.iq/maps/search/+34.1294,42.3805/@34.1294,42.3805,14z?hl=en","Maplink2")</f>
        <v>Maplink2</v>
      </c>
      <c r="AU91" s="20" t="str">
        <f aca="false">HYPERLINK("http://www.bing.com/maps/?lvl=14&amp;sty=h&amp;cp=34.1294~42.3805&amp;sp=point.34.1294_42.3805","Maplink3")</f>
        <v>Maplink3</v>
      </c>
    </row>
    <row r="92" customFormat="false" ht="15" hidden="false" customHeight="true" outlineLevel="0" collapsed="false">
      <c r="A92" s="15" t="n">
        <v>23817</v>
      </c>
      <c r="B92" s="16" t="s">
        <v>15</v>
      </c>
      <c r="C92" s="16" t="s">
        <v>199</v>
      </c>
      <c r="D92" s="16" t="s">
        <v>227</v>
      </c>
      <c r="E92" s="17" t="s">
        <v>228</v>
      </c>
      <c r="F92" s="16" t="n">
        <v>34.099076</v>
      </c>
      <c r="G92" s="16" t="n">
        <v>42.381333</v>
      </c>
      <c r="H92" s="18" t="n">
        <v>97</v>
      </c>
      <c r="I92" s="18" t="n">
        <v>582</v>
      </c>
      <c r="J92" s="19" t="n">
        <v>76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 t="n">
        <v>21</v>
      </c>
      <c r="Y92" s="19"/>
      <c r="Z92" s="19"/>
      <c r="AA92" s="19"/>
      <c r="AB92" s="19"/>
      <c r="AC92" s="19" t="n">
        <v>48</v>
      </c>
      <c r="AD92" s="19"/>
      <c r="AE92" s="19" t="n">
        <v>10</v>
      </c>
      <c r="AF92" s="19"/>
      <c r="AG92" s="19"/>
      <c r="AH92" s="19" t="n">
        <v>39</v>
      </c>
      <c r="AI92" s="19"/>
      <c r="AJ92" s="19"/>
      <c r="AK92" s="19"/>
      <c r="AL92" s="19" t="n">
        <v>76</v>
      </c>
      <c r="AM92" s="19" t="n">
        <v>21</v>
      </c>
      <c r="AN92" s="19"/>
      <c r="AO92" s="19"/>
      <c r="AP92" s="19"/>
      <c r="AQ92" s="19"/>
      <c r="AR92" s="19"/>
      <c r="AS92" s="20" t="str">
        <f aca="false">HYPERLINK("http://www.openstreetmap.org/?mlat=34.0991&amp;mlon=42.3813&amp;zoom=12#map=12/34.0991/42.3813","Maplink1")</f>
        <v>Maplink1</v>
      </c>
      <c r="AT92" s="20" t="str">
        <f aca="false">HYPERLINK("https://www.google.iq/maps/search/+34.0991,42.3813/@34.0991,42.3813,14z?hl=en","Maplink2")</f>
        <v>Maplink2</v>
      </c>
      <c r="AU92" s="20" t="str">
        <f aca="false">HYPERLINK("http://www.bing.com/maps/?lvl=14&amp;sty=h&amp;cp=34.0991~42.3813&amp;sp=point.34.0991_42.3813","Maplink3")</f>
        <v>Maplink3</v>
      </c>
    </row>
    <row r="93" customFormat="false" ht="15" hidden="false" customHeight="true" outlineLevel="0" collapsed="false">
      <c r="A93" s="15" t="n">
        <v>23813</v>
      </c>
      <c r="B93" s="16" t="s">
        <v>15</v>
      </c>
      <c r="C93" s="16" t="s">
        <v>199</v>
      </c>
      <c r="D93" s="16" t="s">
        <v>84</v>
      </c>
      <c r="E93" s="17" t="s">
        <v>85</v>
      </c>
      <c r="F93" s="16" t="n">
        <v>34.107215</v>
      </c>
      <c r="G93" s="16" t="n">
        <v>42.397337</v>
      </c>
      <c r="H93" s="18" t="n">
        <v>177</v>
      </c>
      <c r="I93" s="18" t="n">
        <v>1062</v>
      </c>
      <c r="J93" s="19" t="n">
        <v>158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 t="n">
        <v>19</v>
      </c>
      <c r="W93" s="19"/>
      <c r="X93" s="19"/>
      <c r="Y93" s="19"/>
      <c r="Z93" s="19"/>
      <c r="AA93" s="19"/>
      <c r="AB93" s="19"/>
      <c r="AC93" s="19" t="n">
        <v>82</v>
      </c>
      <c r="AD93" s="19"/>
      <c r="AE93" s="19"/>
      <c r="AF93" s="19"/>
      <c r="AG93" s="19"/>
      <c r="AH93" s="19" t="n">
        <v>95</v>
      </c>
      <c r="AI93" s="19"/>
      <c r="AJ93" s="19"/>
      <c r="AK93" s="19"/>
      <c r="AL93" s="19" t="n">
        <v>158</v>
      </c>
      <c r="AM93" s="19" t="n">
        <v>19</v>
      </c>
      <c r="AN93" s="19"/>
      <c r="AO93" s="19"/>
      <c r="AP93" s="19"/>
      <c r="AQ93" s="19"/>
      <c r="AR93" s="19"/>
      <c r="AS93" s="20" t="str">
        <f aca="false">HYPERLINK("http://www.openstreetmap.org/?mlat=34.1072&amp;mlon=42.3973&amp;zoom=12#map=12/34.1072/42.3973","Maplink1")</f>
        <v>Maplink1</v>
      </c>
      <c r="AT93" s="20" t="str">
        <f aca="false">HYPERLINK("https://www.google.iq/maps/search/+34.1072,42.3973/@34.1072,42.3973,14z?hl=en","Maplink2")</f>
        <v>Maplink2</v>
      </c>
      <c r="AU93" s="20" t="str">
        <f aca="false">HYPERLINK("http://www.bing.com/maps/?lvl=14&amp;sty=h&amp;cp=34.1072~42.3973&amp;sp=point.34.1072_42.3973","Maplink3")</f>
        <v>Maplink3</v>
      </c>
    </row>
    <row r="94" customFormat="false" ht="15" hidden="false" customHeight="true" outlineLevel="0" collapsed="false">
      <c r="A94" s="15" t="n">
        <v>241</v>
      </c>
      <c r="B94" s="16" t="s">
        <v>15</v>
      </c>
      <c r="C94" s="16" t="s">
        <v>199</v>
      </c>
      <c r="D94" s="16" t="s">
        <v>229</v>
      </c>
      <c r="E94" s="17" t="s">
        <v>230</v>
      </c>
      <c r="F94" s="16" t="n">
        <v>34.103185</v>
      </c>
      <c r="G94" s="16" t="n">
        <v>42.373369</v>
      </c>
      <c r="H94" s="18" t="n">
        <v>183</v>
      </c>
      <c r="I94" s="18" t="n">
        <v>1098</v>
      </c>
      <c r="J94" s="19" t="n">
        <v>165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 t="n">
        <v>10</v>
      </c>
      <c r="W94" s="19"/>
      <c r="X94" s="19" t="n">
        <v>8</v>
      </c>
      <c r="Y94" s="19"/>
      <c r="Z94" s="19"/>
      <c r="AA94" s="19"/>
      <c r="AB94" s="19"/>
      <c r="AC94" s="19" t="n">
        <v>82</v>
      </c>
      <c r="AD94" s="19"/>
      <c r="AE94" s="19"/>
      <c r="AF94" s="19"/>
      <c r="AG94" s="19"/>
      <c r="AH94" s="19" t="n">
        <v>101</v>
      </c>
      <c r="AI94" s="19"/>
      <c r="AJ94" s="19"/>
      <c r="AK94" s="19"/>
      <c r="AL94" s="19" t="n">
        <v>157</v>
      </c>
      <c r="AM94" s="19" t="n">
        <v>18</v>
      </c>
      <c r="AN94" s="19"/>
      <c r="AO94" s="19" t="n">
        <v>8</v>
      </c>
      <c r="AP94" s="19"/>
      <c r="AQ94" s="19"/>
      <c r="AR94" s="19"/>
      <c r="AS94" s="20" t="str">
        <f aca="false">HYPERLINK("http://www.openstreetmap.org/?mlat=34.1032&amp;mlon=42.3734&amp;zoom=12#map=12/34.1032/42.3734","Maplink1")</f>
        <v>Maplink1</v>
      </c>
      <c r="AT94" s="20" t="str">
        <f aca="false">HYPERLINK("https://www.google.iq/maps/search/+34.1032,42.3734/@34.1032,42.3734,14z?hl=en","Maplink2")</f>
        <v>Maplink2</v>
      </c>
      <c r="AU94" s="20" t="str">
        <f aca="false">HYPERLINK("http://www.bing.com/maps/?lvl=14&amp;sty=h&amp;cp=34.1032~42.3734&amp;sp=point.34.1032_42.3734","Maplink3")</f>
        <v>Maplink3</v>
      </c>
    </row>
    <row r="95" customFormat="false" ht="15" hidden="false" customHeight="true" outlineLevel="0" collapsed="false">
      <c r="A95" s="15" t="n">
        <v>24318</v>
      </c>
      <c r="B95" s="16" t="s">
        <v>15</v>
      </c>
      <c r="C95" s="16" t="s">
        <v>199</v>
      </c>
      <c r="D95" s="16" t="s">
        <v>231</v>
      </c>
      <c r="E95" s="17" t="s">
        <v>232</v>
      </c>
      <c r="F95" s="16" t="n">
        <v>34.095627</v>
      </c>
      <c r="G95" s="16" t="n">
        <v>42.376703</v>
      </c>
      <c r="H95" s="18" t="n">
        <v>49</v>
      </c>
      <c r="I95" s="18" t="n">
        <v>294</v>
      </c>
      <c r="J95" s="19" t="n">
        <v>29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 t="n">
        <v>20</v>
      </c>
      <c r="W95" s="19"/>
      <c r="X95" s="19"/>
      <c r="Y95" s="19"/>
      <c r="Z95" s="19"/>
      <c r="AA95" s="19"/>
      <c r="AB95" s="19"/>
      <c r="AC95" s="19" t="n">
        <v>49</v>
      </c>
      <c r="AD95" s="19"/>
      <c r="AE95" s="19"/>
      <c r="AF95" s="19"/>
      <c r="AG95" s="19"/>
      <c r="AH95" s="19"/>
      <c r="AI95" s="19"/>
      <c r="AJ95" s="19"/>
      <c r="AK95" s="19"/>
      <c r="AL95" s="19"/>
      <c r="AM95" s="19" t="n">
        <v>20</v>
      </c>
      <c r="AN95" s="19"/>
      <c r="AO95" s="19" t="n">
        <v>29</v>
      </c>
      <c r="AP95" s="19"/>
      <c r="AQ95" s="19"/>
      <c r="AR95" s="19"/>
      <c r="AS95" s="20" t="str">
        <f aca="false">HYPERLINK("http://www.openstreetmap.org/?mlat=34.0956&amp;mlon=42.3767&amp;zoom=12#map=12/34.0956/42.3767","Maplink1")</f>
        <v>Maplink1</v>
      </c>
      <c r="AT95" s="20" t="str">
        <f aca="false">HYPERLINK("https://www.google.iq/maps/search/+34.0956,42.3767/@34.0956,42.3767,14z?hl=en","Maplink2")</f>
        <v>Maplink2</v>
      </c>
      <c r="AU95" s="20" t="str">
        <f aca="false">HYPERLINK("http://www.bing.com/maps/?lvl=14&amp;sty=h&amp;cp=34.0956~42.3767&amp;sp=point.34.0956_42.3767","Maplink3")</f>
        <v>Maplink3</v>
      </c>
    </row>
    <row r="96" customFormat="false" ht="15" hidden="false" customHeight="true" outlineLevel="0" collapsed="false">
      <c r="A96" s="15" t="n">
        <v>244</v>
      </c>
      <c r="B96" s="16" t="s">
        <v>15</v>
      </c>
      <c r="C96" s="16" t="s">
        <v>199</v>
      </c>
      <c r="D96" s="16" t="s">
        <v>233</v>
      </c>
      <c r="E96" s="17" t="s">
        <v>99</v>
      </c>
      <c r="F96" s="16" t="n">
        <v>34.138294</v>
      </c>
      <c r="G96" s="16" t="n">
        <v>42.368899</v>
      </c>
      <c r="H96" s="18" t="n">
        <v>268</v>
      </c>
      <c r="I96" s="18" t="n">
        <v>1608</v>
      </c>
      <c r="J96" s="19" t="n">
        <v>232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 t="n">
        <v>25</v>
      </c>
      <c r="W96" s="19"/>
      <c r="X96" s="19" t="n">
        <v>11</v>
      </c>
      <c r="Y96" s="19"/>
      <c r="Z96" s="19"/>
      <c r="AA96" s="19"/>
      <c r="AB96" s="19"/>
      <c r="AC96" s="19" t="n">
        <v>184</v>
      </c>
      <c r="AD96" s="19"/>
      <c r="AE96" s="19"/>
      <c r="AF96" s="19"/>
      <c r="AG96" s="19"/>
      <c r="AH96" s="19" t="n">
        <v>84</v>
      </c>
      <c r="AI96" s="19"/>
      <c r="AJ96" s="19"/>
      <c r="AK96" s="19"/>
      <c r="AL96" s="19" t="n">
        <v>152</v>
      </c>
      <c r="AM96" s="19" t="n">
        <v>36</v>
      </c>
      <c r="AN96" s="19"/>
      <c r="AO96" s="19" t="n">
        <v>80</v>
      </c>
      <c r="AP96" s="19"/>
      <c r="AQ96" s="19"/>
      <c r="AR96" s="19"/>
      <c r="AS96" s="20" t="str">
        <f aca="false">HYPERLINK("http://www.openstreetmap.org/?mlat=34.1383&amp;mlon=42.3689&amp;zoom=12#map=12/34.1383/42.3689","Maplink1")</f>
        <v>Maplink1</v>
      </c>
      <c r="AT96" s="20" t="str">
        <f aca="false">HYPERLINK("https://www.google.iq/maps/search/+34.1383,42.3689/@34.1383,42.3689,14z?hl=en","Maplink2")</f>
        <v>Maplink2</v>
      </c>
      <c r="AU96" s="20" t="str">
        <f aca="false">HYPERLINK("http://www.bing.com/maps/?lvl=14&amp;sty=h&amp;cp=34.1383~42.3689&amp;sp=point.34.1383_42.3689","Maplink3")</f>
        <v>Maplink3</v>
      </c>
    </row>
    <row r="97" customFormat="false" ht="15" hidden="false" customHeight="true" outlineLevel="0" collapsed="false">
      <c r="A97" s="15" t="n">
        <v>23814</v>
      </c>
      <c r="B97" s="16" t="s">
        <v>15</v>
      </c>
      <c r="C97" s="16" t="s">
        <v>199</v>
      </c>
      <c r="D97" s="16" t="s">
        <v>234</v>
      </c>
      <c r="E97" s="17" t="s">
        <v>235</v>
      </c>
      <c r="F97" s="16" t="n">
        <v>34.07925</v>
      </c>
      <c r="G97" s="16" t="n">
        <v>42.387879</v>
      </c>
      <c r="H97" s="18" t="n">
        <v>88</v>
      </c>
      <c r="I97" s="18" t="n">
        <v>528</v>
      </c>
      <c r="J97" s="19" t="n">
        <v>81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 t="n">
        <v>7</v>
      </c>
      <c r="Y97" s="19"/>
      <c r="Z97" s="19"/>
      <c r="AA97" s="19"/>
      <c r="AB97" s="19"/>
      <c r="AC97" s="19" t="n">
        <v>39</v>
      </c>
      <c r="AD97" s="19"/>
      <c r="AE97" s="19"/>
      <c r="AF97" s="19"/>
      <c r="AG97" s="19"/>
      <c r="AH97" s="19" t="n">
        <v>49</v>
      </c>
      <c r="AI97" s="19"/>
      <c r="AJ97" s="19"/>
      <c r="AK97" s="19"/>
      <c r="AL97" s="19" t="n">
        <v>81</v>
      </c>
      <c r="AM97" s="19" t="n">
        <v>7</v>
      </c>
      <c r="AN97" s="19"/>
      <c r="AO97" s="19"/>
      <c r="AP97" s="19"/>
      <c r="AQ97" s="19"/>
      <c r="AR97" s="19"/>
      <c r="AS97" s="20" t="str">
        <f aca="false">HYPERLINK("http://www.openstreetmap.org/?mlat=34.0793&amp;mlon=42.3879&amp;zoom=12#map=12/34.0793/42.3879","Maplink1")</f>
        <v>Maplink1</v>
      </c>
      <c r="AT97" s="20" t="str">
        <f aca="false">HYPERLINK("https://www.google.iq/maps/search/+34.0793,42.3879/@34.0793,42.3879,14z?hl=en","Maplink2")</f>
        <v>Maplink2</v>
      </c>
      <c r="AU97" s="20" t="str">
        <f aca="false">HYPERLINK("http://www.bing.com/maps/?lvl=14&amp;sty=h&amp;cp=34.0793~42.3879&amp;sp=point.34.0793_42.3879","Maplink3")</f>
        <v>Maplink3</v>
      </c>
    </row>
    <row r="98" customFormat="false" ht="15" hidden="false" customHeight="true" outlineLevel="0" collapsed="false">
      <c r="A98" s="15" t="n">
        <v>23816</v>
      </c>
      <c r="B98" s="16" t="s">
        <v>15</v>
      </c>
      <c r="C98" s="16" t="s">
        <v>199</v>
      </c>
      <c r="D98" s="16" t="s">
        <v>236</v>
      </c>
      <c r="E98" s="17" t="s">
        <v>71</v>
      </c>
      <c r="F98" s="16" t="n">
        <v>34.104987</v>
      </c>
      <c r="G98" s="16" t="n">
        <v>42.392818</v>
      </c>
      <c r="H98" s="18" t="n">
        <v>63</v>
      </c>
      <c r="I98" s="18" t="n">
        <v>378</v>
      </c>
      <c r="J98" s="19" t="n">
        <v>39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 t="n">
        <v>24</v>
      </c>
      <c r="Y98" s="19"/>
      <c r="Z98" s="19"/>
      <c r="AA98" s="19"/>
      <c r="AB98" s="19"/>
      <c r="AC98" s="19" t="n">
        <v>46</v>
      </c>
      <c r="AD98" s="19"/>
      <c r="AE98" s="19"/>
      <c r="AF98" s="19"/>
      <c r="AG98" s="19"/>
      <c r="AH98" s="19" t="n">
        <v>17</v>
      </c>
      <c r="AI98" s="19"/>
      <c r="AJ98" s="19"/>
      <c r="AK98" s="19"/>
      <c r="AL98" s="19" t="n">
        <v>39</v>
      </c>
      <c r="AM98" s="19" t="n">
        <v>24</v>
      </c>
      <c r="AN98" s="19"/>
      <c r="AO98" s="19"/>
      <c r="AP98" s="19"/>
      <c r="AQ98" s="19"/>
      <c r="AR98" s="19"/>
      <c r="AS98" s="20" t="str">
        <f aca="false">HYPERLINK("http://www.openstreetmap.org/?mlat=34.105&amp;mlon=42.3928&amp;zoom=12#map=12/34.105/42.3928","Maplink1")</f>
        <v>Maplink1</v>
      </c>
      <c r="AT98" s="20" t="str">
        <f aca="false">HYPERLINK("https://www.google.iq/maps/search/+34.105,42.3928/@34.105,42.3928,14z?hl=en","Maplink2")</f>
        <v>Maplink2</v>
      </c>
      <c r="AU98" s="20" t="str">
        <f aca="false">HYPERLINK("http://www.bing.com/maps/?lvl=14&amp;sty=h&amp;cp=34.105~42.3928&amp;sp=point.34.105_42.3928","Maplink3")</f>
        <v>Maplink3</v>
      </c>
    </row>
    <row r="99" customFormat="false" ht="15" hidden="false" customHeight="true" outlineLevel="0" collapsed="false">
      <c r="A99" s="15" t="n">
        <v>23815</v>
      </c>
      <c r="B99" s="16" t="s">
        <v>15</v>
      </c>
      <c r="C99" s="16" t="s">
        <v>199</v>
      </c>
      <c r="D99" s="16" t="s">
        <v>237</v>
      </c>
      <c r="E99" s="17" t="s">
        <v>93</v>
      </c>
      <c r="F99" s="16" t="n">
        <v>34.086019</v>
      </c>
      <c r="G99" s="16" t="n">
        <v>42.382788</v>
      </c>
      <c r="H99" s="18" t="n">
        <v>54</v>
      </c>
      <c r="I99" s="18" t="n">
        <v>324</v>
      </c>
      <c r="J99" s="19" t="n">
        <v>54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 t="n">
        <v>37</v>
      </c>
      <c r="AD99" s="19"/>
      <c r="AE99" s="19" t="n">
        <v>8</v>
      </c>
      <c r="AF99" s="19"/>
      <c r="AG99" s="19" t="n">
        <v>3</v>
      </c>
      <c r="AH99" s="19" t="n">
        <v>6</v>
      </c>
      <c r="AI99" s="19"/>
      <c r="AJ99" s="19"/>
      <c r="AK99" s="19"/>
      <c r="AL99" s="19" t="n">
        <v>54</v>
      </c>
      <c r="AM99" s="19"/>
      <c r="AN99" s="19"/>
      <c r="AO99" s="19"/>
      <c r="AP99" s="19"/>
      <c r="AQ99" s="19"/>
      <c r="AR99" s="19"/>
      <c r="AS99" s="20" t="str">
        <f aca="false">HYPERLINK("http://www.openstreetmap.org/?mlat=34.086&amp;mlon=42.3828&amp;zoom=12#map=12/34.086/42.3828","Maplink1")</f>
        <v>Maplink1</v>
      </c>
      <c r="AT99" s="20" t="str">
        <f aca="false">HYPERLINK("https://www.google.iq/maps/search/+34.086,42.3828/@34.086,42.3828,14z?hl=en","Maplink2")</f>
        <v>Maplink2</v>
      </c>
      <c r="AU99" s="20" t="str">
        <f aca="false">HYPERLINK("http://www.bing.com/maps/?lvl=14&amp;sty=h&amp;cp=34.086~42.3828&amp;sp=point.34.086_42.3828","Maplink3")</f>
        <v>Maplink3</v>
      </c>
    </row>
    <row r="100" customFormat="false" ht="15" hidden="false" customHeight="true" outlineLevel="0" collapsed="false">
      <c r="A100" s="15" t="n">
        <v>23892</v>
      </c>
      <c r="B100" s="16" t="s">
        <v>15</v>
      </c>
      <c r="C100" s="16" t="s">
        <v>199</v>
      </c>
      <c r="D100" s="16" t="s">
        <v>238</v>
      </c>
      <c r="E100" s="17" t="s">
        <v>239</v>
      </c>
      <c r="F100" s="16" t="n">
        <v>34.133849</v>
      </c>
      <c r="G100" s="16" t="n">
        <v>42.370732</v>
      </c>
      <c r="H100" s="18" t="n">
        <v>35</v>
      </c>
      <c r="I100" s="18" t="n">
        <v>210</v>
      </c>
      <c r="J100" s="19" t="n">
        <v>16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 t="n">
        <v>19</v>
      </c>
      <c r="Y100" s="19"/>
      <c r="Z100" s="19"/>
      <c r="AA100" s="19"/>
      <c r="AB100" s="19"/>
      <c r="AC100" s="19" t="n">
        <v>35</v>
      </c>
      <c r="AD100" s="19"/>
      <c r="AE100" s="19"/>
      <c r="AF100" s="19"/>
      <c r="AG100" s="19"/>
      <c r="AH100" s="19"/>
      <c r="AI100" s="19"/>
      <c r="AJ100" s="19"/>
      <c r="AK100" s="19"/>
      <c r="AL100" s="19" t="n">
        <v>6</v>
      </c>
      <c r="AM100" s="19" t="n">
        <v>19</v>
      </c>
      <c r="AN100" s="19"/>
      <c r="AO100" s="19" t="n">
        <v>10</v>
      </c>
      <c r="AP100" s="19"/>
      <c r="AQ100" s="19"/>
      <c r="AR100" s="19"/>
      <c r="AS100" s="20" t="str">
        <f aca="false">HYPERLINK("http://www.openstreetmap.org/?mlat=34.1338&amp;mlon=42.3707&amp;zoom=12#map=12/34.1338/42.3707","Maplink1")</f>
        <v>Maplink1</v>
      </c>
      <c r="AT100" s="20" t="str">
        <f aca="false">HYPERLINK("https://www.google.iq/maps/search/+34.1338,42.3707/@34.1338,42.3707,14z?hl=en","Maplink2")</f>
        <v>Maplink2</v>
      </c>
      <c r="AU100" s="20" t="str">
        <f aca="false">HYPERLINK("http://www.bing.com/maps/?lvl=14&amp;sty=h&amp;cp=34.1338~42.3707&amp;sp=point.34.1338_42.3707","Maplink3")</f>
        <v>Maplink3</v>
      </c>
    </row>
    <row r="101" customFormat="false" ht="15" hidden="false" customHeight="true" outlineLevel="0" collapsed="false">
      <c r="A101" s="15" t="n">
        <v>23806</v>
      </c>
      <c r="B101" s="16" t="s">
        <v>15</v>
      </c>
      <c r="C101" s="16" t="s">
        <v>199</v>
      </c>
      <c r="D101" s="16" t="s">
        <v>240</v>
      </c>
      <c r="E101" s="17" t="s">
        <v>241</v>
      </c>
      <c r="F101" s="16" t="n">
        <v>34.132923</v>
      </c>
      <c r="G101" s="16" t="n">
        <v>42.362316</v>
      </c>
      <c r="H101" s="18" t="n">
        <v>159</v>
      </c>
      <c r="I101" s="18" t="n">
        <v>954</v>
      </c>
      <c r="J101" s="19" t="n">
        <v>133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 t="n">
        <v>26</v>
      </c>
      <c r="Y101" s="19"/>
      <c r="Z101" s="19"/>
      <c r="AA101" s="19"/>
      <c r="AB101" s="19"/>
      <c r="AC101" s="19" t="n">
        <v>79</v>
      </c>
      <c r="AD101" s="19"/>
      <c r="AE101" s="19"/>
      <c r="AF101" s="19"/>
      <c r="AG101" s="19"/>
      <c r="AH101" s="19" t="n">
        <v>80</v>
      </c>
      <c r="AI101" s="19"/>
      <c r="AJ101" s="19"/>
      <c r="AK101" s="19"/>
      <c r="AL101" s="19" t="n">
        <v>127</v>
      </c>
      <c r="AM101" s="19" t="n">
        <v>26</v>
      </c>
      <c r="AN101" s="19"/>
      <c r="AO101" s="19" t="n">
        <v>6</v>
      </c>
      <c r="AP101" s="19"/>
      <c r="AQ101" s="19"/>
      <c r="AR101" s="19"/>
      <c r="AS101" s="20" t="str">
        <f aca="false">HYPERLINK("http://www.openstreetmap.org/?mlat=34.1329&amp;mlon=42.3623&amp;zoom=12#map=12/34.1329/42.3623","Maplink1")</f>
        <v>Maplink1</v>
      </c>
      <c r="AT101" s="20" t="str">
        <f aca="false">HYPERLINK("https://www.google.iq/maps/search/+34.1329,42.3623/@34.1329,42.3623,14z?hl=en","Maplink2")</f>
        <v>Maplink2</v>
      </c>
      <c r="AU101" s="20" t="str">
        <f aca="false">HYPERLINK("http://www.bing.com/maps/?lvl=14&amp;sty=h&amp;cp=34.1329~42.3623&amp;sp=point.34.1329_42.3623","Maplink3")</f>
        <v>Maplink3</v>
      </c>
    </row>
    <row r="102" customFormat="false" ht="15" hidden="false" customHeight="true" outlineLevel="0" collapsed="false">
      <c r="A102" s="15" t="n">
        <v>24110</v>
      </c>
      <c r="B102" s="16" t="s">
        <v>15</v>
      </c>
      <c r="C102" s="16" t="s">
        <v>199</v>
      </c>
      <c r="D102" s="16" t="s">
        <v>242</v>
      </c>
      <c r="E102" s="17" t="s">
        <v>243</v>
      </c>
      <c r="F102" s="16" t="n">
        <v>34.086987</v>
      </c>
      <c r="G102" s="16" t="n">
        <v>42.369179</v>
      </c>
      <c r="H102" s="18" t="n">
        <v>78</v>
      </c>
      <c r="I102" s="18" t="n">
        <v>468</v>
      </c>
      <c r="J102" s="19" t="n">
        <v>65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 t="n">
        <v>13</v>
      </c>
      <c r="Y102" s="19"/>
      <c r="Z102" s="19"/>
      <c r="AA102" s="19"/>
      <c r="AB102" s="19"/>
      <c r="AC102" s="19" t="n">
        <v>56</v>
      </c>
      <c r="AD102" s="19"/>
      <c r="AE102" s="19"/>
      <c r="AF102" s="19"/>
      <c r="AG102" s="19"/>
      <c r="AH102" s="19" t="n">
        <v>22</v>
      </c>
      <c r="AI102" s="19"/>
      <c r="AJ102" s="19"/>
      <c r="AK102" s="19"/>
      <c r="AL102" s="19" t="n">
        <v>65</v>
      </c>
      <c r="AM102" s="19" t="n">
        <v>13</v>
      </c>
      <c r="AN102" s="19"/>
      <c r="AO102" s="19"/>
      <c r="AP102" s="19"/>
      <c r="AQ102" s="19"/>
      <c r="AR102" s="19"/>
      <c r="AS102" s="20" t="str">
        <f aca="false">HYPERLINK("http://www.openstreetmap.org/?mlat=34.087&amp;mlon=42.3692&amp;zoom=12#map=12/34.087/42.3692","Maplink1")</f>
        <v>Maplink1</v>
      </c>
      <c r="AT102" s="20" t="str">
        <f aca="false">HYPERLINK("https://www.google.iq/maps/search/+34.087,42.3692/@34.087,42.3692,14z?hl=en","Maplink2")</f>
        <v>Maplink2</v>
      </c>
      <c r="AU102" s="20" t="str">
        <f aca="false">HYPERLINK("http://www.bing.com/maps/?lvl=14&amp;sty=h&amp;cp=34.087~42.3692&amp;sp=point.34.087_42.3692","Maplink3")</f>
        <v>Maplink3</v>
      </c>
    </row>
    <row r="103" customFormat="false" ht="15" hidden="false" customHeight="true" outlineLevel="0" collapsed="false">
      <c r="A103" s="15" t="n">
        <v>23807</v>
      </c>
      <c r="B103" s="16" t="s">
        <v>15</v>
      </c>
      <c r="C103" s="16" t="s">
        <v>199</v>
      </c>
      <c r="D103" s="16" t="s">
        <v>244</v>
      </c>
      <c r="E103" s="17" t="s">
        <v>245</v>
      </c>
      <c r="F103" s="16" t="n">
        <v>34.096346</v>
      </c>
      <c r="G103" s="16" t="n">
        <v>42.364641</v>
      </c>
      <c r="H103" s="18" t="n">
        <v>57</v>
      </c>
      <c r="I103" s="18" t="n">
        <v>342</v>
      </c>
      <c r="J103" s="19" t="n">
        <v>57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 t="n">
        <v>28</v>
      </c>
      <c r="AD103" s="19"/>
      <c r="AE103" s="19"/>
      <c r="AF103" s="19"/>
      <c r="AG103" s="19"/>
      <c r="AH103" s="19" t="n">
        <v>29</v>
      </c>
      <c r="AI103" s="19"/>
      <c r="AJ103" s="19"/>
      <c r="AK103" s="19"/>
      <c r="AL103" s="19" t="n">
        <v>57</v>
      </c>
      <c r="AM103" s="19"/>
      <c r="AN103" s="19"/>
      <c r="AO103" s="19"/>
      <c r="AP103" s="19"/>
      <c r="AQ103" s="19"/>
      <c r="AR103" s="19"/>
      <c r="AS103" s="20" t="str">
        <f aca="false">HYPERLINK("http://www.openstreetmap.org/?mlat=34.0963&amp;mlon=42.3646&amp;zoom=12#map=12/34.0963/42.3646","Maplink1")</f>
        <v>Maplink1</v>
      </c>
      <c r="AT103" s="20" t="str">
        <f aca="false">HYPERLINK("https://www.google.iq/maps/search/+34.0963,42.3646/@34.0963,42.3646,14z?hl=en","Maplink2")</f>
        <v>Maplink2</v>
      </c>
      <c r="AU103" s="20" t="str">
        <f aca="false">HYPERLINK("http://www.bing.com/maps/?lvl=14&amp;sty=h&amp;cp=34.0963~42.3646&amp;sp=point.34.0963_42.3646","Maplink3")</f>
        <v>Maplink3</v>
      </c>
    </row>
    <row r="104" customFormat="false" ht="15" hidden="false" customHeight="true" outlineLevel="0" collapsed="false">
      <c r="A104" s="15" t="n">
        <v>23805</v>
      </c>
      <c r="B104" s="16" t="s">
        <v>15</v>
      </c>
      <c r="C104" s="16" t="s">
        <v>199</v>
      </c>
      <c r="D104" s="16" t="s">
        <v>246</v>
      </c>
      <c r="E104" s="17" t="s">
        <v>247</v>
      </c>
      <c r="F104" s="16" t="n">
        <v>34.166518</v>
      </c>
      <c r="G104" s="16" t="n">
        <v>42.376403</v>
      </c>
      <c r="H104" s="18" t="n">
        <v>59</v>
      </c>
      <c r="I104" s="18" t="n">
        <v>354</v>
      </c>
      <c r="J104" s="19" t="n">
        <v>27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 t="n">
        <v>32</v>
      </c>
      <c r="W104" s="19"/>
      <c r="X104" s="19"/>
      <c r="Y104" s="19"/>
      <c r="Z104" s="19"/>
      <c r="AA104" s="19"/>
      <c r="AB104" s="19"/>
      <c r="AC104" s="19" t="n">
        <v>36</v>
      </c>
      <c r="AD104" s="19"/>
      <c r="AE104" s="19"/>
      <c r="AF104" s="19"/>
      <c r="AG104" s="19"/>
      <c r="AH104" s="19" t="n">
        <v>23</v>
      </c>
      <c r="AI104" s="19"/>
      <c r="AJ104" s="19"/>
      <c r="AK104" s="19"/>
      <c r="AL104" s="19" t="n">
        <v>27</v>
      </c>
      <c r="AM104" s="19" t="n">
        <v>32</v>
      </c>
      <c r="AN104" s="19"/>
      <c r="AO104" s="19"/>
      <c r="AP104" s="19"/>
      <c r="AQ104" s="19"/>
      <c r="AR104" s="19"/>
      <c r="AS104" s="20" t="str">
        <f aca="false">HYPERLINK("http://www.openstreetmap.org/?mlat=34.1665&amp;mlon=42.3764&amp;zoom=12#map=12/34.1665/42.3764","Maplink1")</f>
        <v>Maplink1</v>
      </c>
      <c r="AT104" s="20" t="str">
        <f aca="false">HYPERLINK("https://www.google.iq/maps/search/+34.1665,42.3764/@34.1665,42.3764,14z?hl=en","Maplink2")</f>
        <v>Maplink2</v>
      </c>
      <c r="AU104" s="20" t="str">
        <f aca="false">HYPERLINK("http://www.bing.com/maps/?lvl=14&amp;sty=h&amp;cp=34.1665~42.3764&amp;sp=point.34.1665_42.3764","Maplink3")</f>
        <v>Maplink3</v>
      </c>
    </row>
    <row r="105" customFormat="false" ht="15" hidden="false" customHeight="true" outlineLevel="0" collapsed="false">
      <c r="A105" s="15" t="n">
        <v>79</v>
      </c>
      <c r="B105" s="16" t="s">
        <v>15</v>
      </c>
      <c r="C105" s="16" t="s">
        <v>199</v>
      </c>
      <c r="D105" s="16" t="s">
        <v>248</v>
      </c>
      <c r="E105" s="17" t="s">
        <v>249</v>
      </c>
      <c r="F105" s="16" t="n">
        <v>34.120064</v>
      </c>
      <c r="G105" s="16" t="n">
        <v>42.381936</v>
      </c>
      <c r="H105" s="18" t="n">
        <v>206</v>
      </c>
      <c r="I105" s="18" t="n">
        <v>1236</v>
      </c>
      <c r="J105" s="19" t="n">
        <v>147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 t="n">
        <v>49</v>
      </c>
      <c r="W105" s="19"/>
      <c r="X105" s="19" t="n">
        <v>10</v>
      </c>
      <c r="Y105" s="19"/>
      <c r="Z105" s="19"/>
      <c r="AA105" s="19"/>
      <c r="AB105" s="19"/>
      <c r="AC105" s="19" t="n">
        <v>128</v>
      </c>
      <c r="AD105" s="19"/>
      <c r="AE105" s="19"/>
      <c r="AF105" s="19"/>
      <c r="AG105" s="19"/>
      <c r="AH105" s="19" t="n">
        <v>49</v>
      </c>
      <c r="AI105" s="19" t="n">
        <v>16</v>
      </c>
      <c r="AJ105" s="19" t="n">
        <v>13</v>
      </c>
      <c r="AK105" s="19"/>
      <c r="AL105" s="19" t="n">
        <v>107</v>
      </c>
      <c r="AM105" s="19" t="n">
        <v>59</v>
      </c>
      <c r="AN105" s="19"/>
      <c r="AO105" s="19" t="n">
        <v>40</v>
      </c>
      <c r="AP105" s="19"/>
      <c r="AQ105" s="19"/>
      <c r="AR105" s="19"/>
      <c r="AS105" s="20" t="str">
        <f aca="false">HYPERLINK("http://www.openstreetmap.org/?mlat=34.1201&amp;mlon=42.3819&amp;zoom=12#map=12/34.1201/42.3819","Maplink1")</f>
        <v>Maplink1</v>
      </c>
      <c r="AT105" s="20" t="str">
        <f aca="false">HYPERLINK("https://www.google.iq/maps/search/+34.1201,42.3819/@34.1201,42.3819,14z?hl=en","Maplink2")</f>
        <v>Maplink2</v>
      </c>
      <c r="AU105" s="20" t="str">
        <f aca="false">HYPERLINK("http://www.bing.com/maps/?lvl=14&amp;sty=h&amp;cp=34.1201~42.3819&amp;sp=point.34.1201_42.3819","Maplink3")</f>
        <v>Maplink3</v>
      </c>
    </row>
    <row r="106" customFormat="false" ht="15" hidden="false" customHeight="true" outlineLevel="0" collapsed="false">
      <c r="A106" s="15" t="n">
        <v>23808</v>
      </c>
      <c r="B106" s="16" t="s">
        <v>15</v>
      </c>
      <c r="C106" s="16" t="s">
        <v>199</v>
      </c>
      <c r="D106" s="16" t="s">
        <v>250</v>
      </c>
      <c r="E106" s="17" t="s">
        <v>251</v>
      </c>
      <c r="F106" s="16" t="n">
        <v>34.158132</v>
      </c>
      <c r="G106" s="16" t="n">
        <v>42.378257</v>
      </c>
      <c r="H106" s="18" t="n">
        <v>84</v>
      </c>
      <c r="I106" s="18" t="n">
        <v>504</v>
      </c>
      <c r="J106" s="19" t="n">
        <v>84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 t="n">
        <v>30</v>
      </c>
      <c r="AD106" s="19"/>
      <c r="AE106" s="19"/>
      <c r="AF106" s="19"/>
      <c r="AG106" s="19"/>
      <c r="AH106" s="19" t="n">
        <v>54</v>
      </c>
      <c r="AI106" s="19"/>
      <c r="AJ106" s="19"/>
      <c r="AK106" s="19"/>
      <c r="AL106" s="19" t="n">
        <v>84</v>
      </c>
      <c r="AM106" s="19"/>
      <c r="AN106" s="19"/>
      <c r="AO106" s="19"/>
      <c r="AP106" s="19"/>
      <c r="AQ106" s="19"/>
      <c r="AR106" s="19"/>
      <c r="AS106" s="20" t="str">
        <f aca="false">HYPERLINK("http://www.openstreetmap.org/?mlat=34.1581&amp;mlon=42.3783&amp;zoom=12#map=12/34.1581/42.3783","Maplink1")</f>
        <v>Maplink1</v>
      </c>
      <c r="AT106" s="20" t="str">
        <f aca="false">HYPERLINK("https://www.google.iq/maps/search/+34.1581,42.3783/@34.1581,42.3783,14z?hl=en","Maplink2")</f>
        <v>Maplink2</v>
      </c>
      <c r="AU106" s="20" t="str">
        <f aca="false">HYPERLINK("http://www.bing.com/maps/?lvl=14&amp;sty=h&amp;cp=34.1581~42.3783&amp;sp=point.34.1581_42.3783","Maplink3")</f>
        <v>Maplink3</v>
      </c>
    </row>
    <row r="107" customFormat="false" ht="15" hidden="false" customHeight="true" outlineLevel="0" collapsed="false">
      <c r="A107" s="15" t="n">
        <v>23810</v>
      </c>
      <c r="B107" s="16" t="s">
        <v>15</v>
      </c>
      <c r="C107" s="16" t="s">
        <v>199</v>
      </c>
      <c r="D107" s="16" t="s">
        <v>252</v>
      </c>
      <c r="E107" s="17" t="s">
        <v>253</v>
      </c>
      <c r="F107" s="16" t="n">
        <v>34.096893</v>
      </c>
      <c r="G107" s="16" t="n">
        <v>42.384818</v>
      </c>
      <c r="H107" s="18" t="n">
        <v>183</v>
      </c>
      <c r="I107" s="18" t="n">
        <v>1098</v>
      </c>
      <c r="J107" s="19" t="n">
        <v>153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 t="n">
        <v>30</v>
      </c>
      <c r="Y107" s="19"/>
      <c r="Z107" s="19"/>
      <c r="AA107" s="19"/>
      <c r="AB107" s="19"/>
      <c r="AC107" s="19" t="n">
        <v>93</v>
      </c>
      <c r="AD107" s="19"/>
      <c r="AE107" s="19" t="n">
        <v>20</v>
      </c>
      <c r="AF107" s="19"/>
      <c r="AG107" s="19"/>
      <c r="AH107" s="19" t="n">
        <v>70</v>
      </c>
      <c r="AI107" s="19"/>
      <c r="AJ107" s="19"/>
      <c r="AK107" s="19"/>
      <c r="AL107" s="19" t="n">
        <v>153</v>
      </c>
      <c r="AM107" s="19" t="n">
        <v>30</v>
      </c>
      <c r="AN107" s="19"/>
      <c r="AO107" s="19"/>
      <c r="AP107" s="19"/>
      <c r="AQ107" s="19"/>
      <c r="AR107" s="19"/>
      <c r="AS107" s="20" t="str">
        <f aca="false">HYPERLINK("http://www.openstreetmap.org/?mlat=34.0969&amp;mlon=42.3848&amp;zoom=12#map=12/34.0969/42.3848","Maplink1")</f>
        <v>Maplink1</v>
      </c>
      <c r="AT107" s="20" t="str">
        <f aca="false">HYPERLINK("https://www.google.iq/maps/search/+34.0969,42.3848/@34.0969,42.3848,14z?hl=en","Maplink2")</f>
        <v>Maplink2</v>
      </c>
      <c r="AU107" s="20" t="str">
        <f aca="false">HYPERLINK("http://www.bing.com/maps/?lvl=14&amp;sty=h&amp;cp=34.0969~42.3848&amp;sp=point.34.0969_42.3848","Maplink3")</f>
        <v>Maplink3</v>
      </c>
    </row>
    <row r="108" customFormat="false" ht="15" hidden="false" customHeight="true" outlineLevel="0" collapsed="false">
      <c r="A108" s="15" t="n">
        <v>23818</v>
      </c>
      <c r="B108" s="16" t="s">
        <v>15</v>
      </c>
      <c r="C108" s="16" t="s">
        <v>199</v>
      </c>
      <c r="D108" s="16" t="s">
        <v>254</v>
      </c>
      <c r="E108" s="17" t="s">
        <v>255</v>
      </c>
      <c r="F108" s="16" t="n">
        <v>34.099341</v>
      </c>
      <c r="G108" s="16" t="n">
        <v>42.395789</v>
      </c>
      <c r="H108" s="18" t="n">
        <v>154</v>
      </c>
      <c r="I108" s="18" t="n">
        <v>924</v>
      </c>
      <c r="J108" s="19" t="n">
        <v>154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 t="n">
        <v>115</v>
      </c>
      <c r="AD108" s="19"/>
      <c r="AE108" s="19"/>
      <c r="AF108" s="19"/>
      <c r="AG108" s="19"/>
      <c r="AH108" s="19" t="n">
        <v>39</v>
      </c>
      <c r="AI108" s="19"/>
      <c r="AJ108" s="19"/>
      <c r="AK108" s="19"/>
      <c r="AL108" s="19" t="n">
        <v>67</v>
      </c>
      <c r="AM108" s="19"/>
      <c r="AN108" s="19"/>
      <c r="AO108" s="19" t="n">
        <v>87</v>
      </c>
      <c r="AP108" s="19"/>
      <c r="AQ108" s="19"/>
      <c r="AR108" s="19"/>
      <c r="AS108" s="20" t="str">
        <f aca="false">HYPERLINK("http://www.openstreetmap.org/?mlat=34.0993&amp;mlon=42.3958&amp;zoom=12#map=12/34.0993/42.3958","Maplink1")</f>
        <v>Maplink1</v>
      </c>
      <c r="AT108" s="20" t="str">
        <f aca="false">HYPERLINK("https://www.google.iq/maps/search/+34.0993,42.3958/@34.0993,42.3958,14z?hl=en","Maplink2")</f>
        <v>Maplink2</v>
      </c>
      <c r="AU108" s="20" t="str">
        <f aca="false">HYPERLINK("http://www.bing.com/maps/?lvl=14&amp;sty=h&amp;cp=34.0993~42.3958&amp;sp=point.34.0993_42.3958","Maplink3")</f>
        <v>Maplink3</v>
      </c>
    </row>
    <row r="109" customFormat="false" ht="15" hidden="false" customHeight="true" outlineLevel="0" collapsed="false">
      <c r="A109" s="15" t="n">
        <v>243</v>
      </c>
      <c r="B109" s="16" t="s">
        <v>15</v>
      </c>
      <c r="C109" s="16" t="s">
        <v>199</v>
      </c>
      <c r="D109" s="16" t="s">
        <v>256</v>
      </c>
      <c r="E109" s="17" t="s">
        <v>257</v>
      </c>
      <c r="F109" s="16" t="n">
        <v>34.145498</v>
      </c>
      <c r="G109" s="16" t="n">
        <v>42.367382</v>
      </c>
      <c r="H109" s="18" t="n">
        <v>16</v>
      </c>
      <c r="I109" s="18" t="n">
        <v>96</v>
      </c>
      <c r="J109" s="19" t="n">
        <v>16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 t="n">
        <v>16</v>
      </c>
      <c r="AD109" s="19"/>
      <c r="AE109" s="19"/>
      <c r="AF109" s="19"/>
      <c r="AG109" s="19"/>
      <c r="AH109" s="19"/>
      <c r="AI109" s="19"/>
      <c r="AJ109" s="19"/>
      <c r="AK109" s="19"/>
      <c r="AL109" s="19" t="n">
        <v>16</v>
      </c>
      <c r="AM109" s="19"/>
      <c r="AN109" s="19"/>
      <c r="AO109" s="19"/>
      <c r="AP109" s="19"/>
      <c r="AQ109" s="19"/>
      <c r="AR109" s="19"/>
      <c r="AS109" s="20" t="str">
        <f aca="false">HYPERLINK("http://www.openstreetmap.org/?mlat=34.1455&amp;mlon=42.3674&amp;zoom=12#map=12/34.1455/42.3674","Maplink1")</f>
        <v>Maplink1</v>
      </c>
      <c r="AT109" s="20" t="str">
        <f aca="false">HYPERLINK("https://www.google.iq/maps/search/+34.1455,42.3674/@34.1455,42.3674,14z?hl=en","Maplink2")</f>
        <v>Maplink2</v>
      </c>
      <c r="AU109" s="20" t="str">
        <f aca="false">HYPERLINK("http://www.bing.com/maps/?lvl=14&amp;sty=h&amp;cp=34.1455~42.3674&amp;sp=point.34.1455_42.3674","Maplink3")</f>
        <v>Maplink3</v>
      </c>
    </row>
    <row r="110" customFormat="false" ht="15" hidden="false" customHeight="true" outlineLevel="0" collapsed="false">
      <c r="A110" s="15" t="n">
        <v>24323</v>
      </c>
      <c r="B110" s="16" t="s">
        <v>15</v>
      </c>
      <c r="C110" s="16" t="s">
        <v>199</v>
      </c>
      <c r="D110" s="16" t="s">
        <v>258</v>
      </c>
      <c r="E110" s="17" t="s">
        <v>259</v>
      </c>
      <c r="F110" s="16" t="n">
        <v>34.06524</v>
      </c>
      <c r="G110" s="16" t="n">
        <v>42.408788</v>
      </c>
      <c r="H110" s="18" t="n">
        <v>28</v>
      </c>
      <c r="I110" s="18" t="n">
        <v>168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 t="n">
        <v>28</v>
      </c>
      <c r="W110" s="19"/>
      <c r="X110" s="19"/>
      <c r="Y110" s="19"/>
      <c r="Z110" s="19"/>
      <c r="AA110" s="19"/>
      <c r="AB110" s="19"/>
      <c r="AC110" s="19" t="n">
        <v>28</v>
      </c>
      <c r="AD110" s="19"/>
      <c r="AE110" s="19"/>
      <c r="AF110" s="19"/>
      <c r="AG110" s="19"/>
      <c r="AH110" s="19"/>
      <c r="AI110" s="19"/>
      <c r="AJ110" s="19"/>
      <c r="AK110" s="19"/>
      <c r="AL110" s="19"/>
      <c r="AM110" s="19" t="n">
        <v>28</v>
      </c>
      <c r="AN110" s="19"/>
      <c r="AO110" s="19"/>
      <c r="AP110" s="19"/>
      <c r="AQ110" s="19"/>
      <c r="AR110" s="19"/>
      <c r="AS110" s="20" t="str">
        <f aca="false">HYPERLINK("http://www.openstreetmap.org/?mlat=34.0652&amp;mlon=42.4088&amp;zoom=12#map=12/34.0652/42.4088","Maplink1")</f>
        <v>Maplink1</v>
      </c>
      <c r="AT110" s="20" t="str">
        <f aca="false">HYPERLINK("https://www.google.iq/maps/search/+34.0652,42.4088/@34.0652,42.4088,14z?hl=en","Maplink2")</f>
        <v>Maplink2</v>
      </c>
      <c r="AU110" s="20" t="str">
        <f aca="false">HYPERLINK("http://www.bing.com/maps/?lvl=14&amp;sty=h&amp;cp=34.0652~42.4088&amp;sp=point.34.0652_42.4088","Maplink3")</f>
        <v>Maplink3</v>
      </c>
    </row>
    <row r="111" customFormat="false" ht="15" hidden="false" customHeight="true" outlineLevel="0" collapsed="false">
      <c r="A111" s="15" t="n">
        <v>23825</v>
      </c>
      <c r="B111" s="16" t="s">
        <v>15</v>
      </c>
      <c r="C111" s="16" t="s">
        <v>199</v>
      </c>
      <c r="D111" s="16" t="s">
        <v>260</v>
      </c>
      <c r="E111" s="17" t="s">
        <v>261</v>
      </c>
      <c r="F111" s="16" t="n">
        <v>34.027094</v>
      </c>
      <c r="G111" s="16" t="n">
        <v>42.408029</v>
      </c>
      <c r="H111" s="18" t="n">
        <v>47</v>
      </c>
      <c r="I111" s="18" t="n">
        <v>282</v>
      </c>
      <c r="J111" s="19" t="n">
        <v>47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 t="n">
        <v>17</v>
      </c>
      <c r="AD111" s="19"/>
      <c r="AE111" s="19"/>
      <c r="AF111" s="19"/>
      <c r="AG111" s="19"/>
      <c r="AH111" s="19" t="n">
        <v>30</v>
      </c>
      <c r="AI111" s="19"/>
      <c r="AJ111" s="19"/>
      <c r="AK111" s="19"/>
      <c r="AL111" s="19" t="n">
        <v>47</v>
      </c>
      <c r="AM111" s="19"/>
      <c r="AN111" s="19"/>
      <c r="AO111" s="19"/>
      <c r="AP111" s="19"/>
      <c r="AQ111" s="19"/>
      <c r="AR111" s="19"/>
      <c r="AS111" s="20" t="str">
        <f aca="false">HYPERLINK("http://www.openstreetmap.org/?mlat=34.0271&amp;mlon=42.408&amp;zoom=12#map=12/34.0271/42.408","Maplink1")</f>
        <v>Maplink1</v>
      </c>
      <c r="AT111" s="20" t="str">
        <f aca="false">HYPERLINK("https://www.google.iq/maps/search/+34.0271,42.408/@34.0271,42.408,14z?hl=en","Maplink2")</f>
        <v>Maplink2</v>
      </c>
      <c r="AU111" s="20" t="str">
        <f aca="false">HYPERLINK("http://www.bing.com/maps/?lvl=14&amp;sty=h&amp;cp=34.0271~42.408&amp;sp=point.34.0271_42.408","Maplink3")</f>
        <v>Maplink3</v>
      </c>
    </row>
    <row r="112" customFormat="false" ht="15" hidden="false" customHeight="true" outlineLevel="0" collapsed="false">
      <c r="A112" s="15" t="n">
        <v>100</v>
      </c>
      <c r="B112" s="16" t="s">
        <v>15</v>
      </c>
      <c r="C112" s="16" t="s">
        <v>262</v>
      </c>
      <c r="D112" s="16" t="s">
        <v>263</v>
      </c>
      <c r="E112" s="17" t="s">
        <v>264</v>
      </c>
      <c r="F112" s="16" t="n">
        <v>33.508547</v>
      </c>
      <c r="G112" s="16" t="n">
        <v>42.963501</v>
      </c>
      <c r="H112" s="18" t="n">
        <v>58</v>
      </c>
      <c r="I112" s="18" t="n">
        <v>348</v>
      </c>
      <c r="J112" s="19" t="n">
        <v>58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 t="n">
        <v>22</v>
      </c>
      <c r="AD112" s="19"/>
      <c r="AE112" s="19"/>
      <c r="AF112" s="19"/>
      <c r="AG112" s="19"/>
      <c r="AH112" s="19"/>
      <c r="AI112" s="19"/>
      <c r="AJ112" s="19" t="n">
        <v>36</v>
      </c>
      <c r="AK112" s="19"/>
      <c r="AL112" s="19" t="n">
        <v>58</v>
      </c>
      <c r="AM112" s="19"/>
      <c r="AN112" s="19"/>
      <c r="AO112" s="19"/>
      <c r="AP112" s="19"/>
      <c r="AQ112" s="19"/>
      <c r="AR112" s="19"/>
      <c r="AS112" s="20" t="str">
        <f aca="false">HYPERLINK("http://www.openstreetmap.org/?mlat=33.5085&amp;mlon=42.9635&amp;zoom=12#map=12/33.5085/42.9635","Maplink1")</f>
        <v>Maplink1</v>
      </c>
      <c r="AT112" s="20" t="str">
        <f aca="false">HYPERLINK("https://www.google.iq/maps/search/+33.5085,42.9635/@33.5085,42.9635,14z?hl=en","Maplink2")</f>
        <v>Maplink2</v>
      </c>
      <c r="AU112" s="20" t="str">
        <f aca="false">HYPERLINK("http://www.bing.com/maps/?lvl=14&amp;sty=h&amp;cp=33.5085~42.9635&amp;sp=point.33.5085_42.9635","Maplink3")</f>
        <v>Maplink3</v>
      </c>
    </row>
    <row r="113" customFormat="false" ht="15" hidden="false" customHeight="true" outlineLevel="0" collapsed="false">
      <c r="A113" s="15" t="n">
        <v>23828</v>
      </c>
      <c r="B113" s="16" t="s">
        <v>15</v>
      </c>
      <c r="C113" s="16" t="s">
        <v>262</v>
      </c>
      <c r="D113" s="16" t="s">
        <v>265</v>
      </c>
      <c r="E113" s="17" t="s">
        <v>266</v>
      </c>
      <c r="F113" s="16" t="n">
        <v>33.642339</v>
      </c>
      <c r="G113" s="16" t="n">
        <v>42.596165</v>
      </c>
      <c r="H113" s="18" t="n">
        <v>48</v>
      </c>
      <c r="I113" s="18" t="n">
        <v>288</v>
      </c>
      <c r="J113" s="19" t="n">
        <v>48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 t="n">
        <v>23</v>
      </c>
      <c r="AD113" s="19"/>
      <c r="AE113" s="19"/>
      <c r="AF113" s="19"/>
      <c r="AG113" s="19"/>
      <c r="AH113" s="19"/>
      <c r="AI113" s="19"/>
      <c r="AJ113" s="19" t="n">
        <v>25</v>
      </c>
      <c r="AK113" s="19"/>
      <c r="AL113" s="19" t="n">
        <v>42</v>
      </c>
      <c r="AM113" s="19"/>
      <c r="AN113" s="19"/>
      <c r="AO113" s="19" t="n">
        <v>6</v>
      </c>
      <c r="AP113" s="19"/>
      <c r="AQ113" s="19"/>
      <c r="AR113" s="19"/>
      <c r="AS113" s="20" t="str">
        <f aca="false">HYPERLINK("http://www.openstreetmap.org/?mlat=33.6423&amp;mlon=42.5962&amp;zoom=12#map=12/33.6423/42.5962","Maplink1")</f>
        <v>Maplink1</v>
      </c>
      <c r="AT113" s="20" t="str">
        <f aca="false">HYPERLINK("https://www.google.iq/maps/search/+33.6423,42.5962/@33.6423,42.5962,14z?hl=en","Maplink2")</f>
        <v>Maplink2</v>
      </c>
      <c r="AU113" s="20" t="str">
        <f aca="false">HYPERLINK("http://www.bing.com/maps/?lvl=14&amp;sty=h&amp;cp=33.6423~42.5962&amp;sp=point.33.6423_42.5962","Maplink3")</f>
        <v>Maplink3</v>
      </c>
    </row>
    <row r="114" customFormat="false" ht="15" hidden="false" customHeight="true" outlineLevel="0" collapsed="false">
      <c r="A114" s="15" t="n">
        <v>24724</v>
      </c>
      <c r="B114" s="16" t="s">
        <v>15</v>
      </c>
      <c r="C114" s="16" t="s">
        <v>262</v>
      </c>
      <c r="D114" s="16" t="s">
        <v>267</v>
      </c>
      <c r="E114" s="17" t="s">
        <v>268</v>
      </c>
      <c r="F114" s="16" t="n">
        <v>33.639006</v>
      </c>
      <c r="G114" s="16" t="n">
        <v>42.830588</v>
      </c>
      <c r="H114" s="18" t="n">
        <v>33</v>
      </c>
      <c r="I114" s="18" t="n">
        <v>198</v>
      </c>
      <c r="J114" s="19" t="n">
        <v>33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 t="n">
        <v>33</v>
      </c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 t="n">
        <v>33</v>
      </c>
      <c r="AP114" s="19"/>
      <c r="AQ114" s="19"/>
      <c r="AR114" s="19"/>
      <c r="AS114" s="20" t="str">
        <f aca="false">HYPERLINK("http://www.openstreetmap.org/?mlat=33.639&amp;mlon=42.8306&amp;zoom=12#map=12/33.639/42.8306","Maplink1")</f>
        <v>Maplink1</v>
      </c>
      <c r="AT114" s="20" t="str">
        <f aca="false">HYPERLINK("https://www.google.iq/maps/search/+33.639,42.8306/@33.639,42.8306,14z?hl=en","Maplink2")</f>
        <v>Maplink2</v>
      </c>
      <c r="AU114" s="20" t="str">
        <f aca="false">HYPERLINK("http://www.bing.com/maps/?lvl=14&amp;sty=h&amp;cp=33.639~42.8306&amp;sp=point.33.639_42.8306","Maplink3")</f>
        <v>Maplink3</v>
      </c>
    </row>
    <row r="115" customFormat="false" ht="15" hidden="false" customHeight="true" outlineLevel="0" collapsed="false">
      <c r="A115" s="15" t="n">
        <v>21323</v>
      </c>
      <c r="B115" s="16" t="s">
        <v>15</v>
      </c>
      <c r="C115" s="16" t="s">
        <v>262</v>
      </c>
      <c r="D115" s="16" t="s">
        <v>269</v>
      </c>
      <c r="E115" s="17" t="s">
        <v>270</v>
      </c>
      <c r="F115" s="16" t="n">
        <v>33.921732</v>
      </c>
      <c r="G115" s="16" t="n">
        <v>42.524162</v>
      </c>
      <c r="H115" s="18" t="n">
        <v>75</v>
      </c>
      <c r="I115" s="18" t="n">
        <v>450</v>
      </c>
      <c r="J115" s="19" t="n">
        <v>75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 t="n">
        <v>39</v>
      </c>
      <c r="AD115" s="19"/>
      <c r="AE115" s="19"/>
      <c r="AF115" s="19"/>
      <c r="AG115" s="19"/>
      <c r="AH115" s="19" t="n">
        <v>5</v>
      </c>
      <c r="AI115" s="19" t="n">
        <v>16</v>
      </c>
      <c r="AJ115" s="19" t="n">
        <v>15</v>
      </c>
      <c r="AK115" s="19"/>
      <c r="AL115" s="19" t="n">
        <v>75</v>
      </c>
      <c r="AM115" s="19"/>
      <c r="AN115" s="19"/>
      <c r="AO115" s="19"/>
      <c r="AP115" s="19"/>
      <c r="AQ115" s="19"/>
      <c r="AR115" s="19"/>
      <c r="AS115" s="20" t="str">
        <f aca="false">HYPERLINK("http://www.openstreetmap.org/?mlat=33.9217&amp;mlon=42.5242&amp;zoom=12#map=12/33.9217/42.5242","Maplink1")</f>
        <v>Maplink1</v>
      </c>
      <c r="AT115" s="20" t="str">
        <f aca="false">HYPERLINK("https://www.google.iq/maps/search/+33.9217,42.5242/@33.9217,42.5242,14z?hl=en","Maplink2")</f>
        <v>Maplink2</v>
      </c>
      <c r="AU115" s="20" t="str">
        <f aca="false">HYPERLINK("http://www.bing.com/maps/?lvl=14&amp;sty=h&amp;cp=33.9217~42.5242&amp;sp=point.33.9217_42.5242","Maplink3")</f>
        <v>Maplink3</v>
      </c>
    </row>
    <row r="116" customFormat="false" ht="15" hidden="false" customHeight="true" outlineLevel="0" collapsed="false">
      <c r="A116" s="15" t="n">
        <v>23830</v>
      </c>
      <c r="B116" s="16" t="s">
        <v>15</v>
      </c>
      <c r="C116" s="16" t="s">
        <v>262</v>
      </c>
      <c r="D116" s="16" t="s">
        <v>271</v>
      </c>
      <c r="E116" s="17" t="s">
        <v>272</v>
      </c>
      <c r="F116" s="16" t="n">
        <v>33.603279</v>
      </c>
      <c r="G116" s="16" t="n">
        <v>42.870421</v>
      </c>
      <c r="H116" s="18" t="n">
        <v>101</v>
      </c>
      <c r="I116" s="18" t="n">
        <v>606</v>
      </c>
      <c r="J116" s="19" t="n">
        <v>101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 t="n">
        <v>72</v>
      </c>
      <c r="AD116" s="19"/>
      <c r="AE116" s="19"/>
      <c r="AF116" s="19"/>
      <c r="AG116" s="19"/>
      <c r="AH116" s="19"/>
      <c r="AI116" s="19"/>
      <c r="AJ116" s="19" t="n">
        <v>29</v>
      </c>
      <c r="AK116" s="19"/>
      <c r="AL116" s="19" t="n">
        <v>90</v>
      </c>
      <c r="AM116" s="19"/>
      <c r="AN116" s="19"/>
      <c r="AO116" s="19" t="n">
        <v>11</v>
      </c>
      <c r="AP116" s="19"/>
      <c r="AQ116" s="19"/>
      <c r="AR116" s="19"/>
      <c r="AS116" s="20" t="str">
        <f aca="false">HYPERLINK("http://www.openstreetmap.org/?mlat=33.6033&amp;mlon=42.8704&amp;zoom=12#map=12/33.6033/42.8704","Maplink1")</f>
        <v>Maplink1</v>
      </c>
      <c r="AT116" s="20" t="str">
        <f aca="false">HYPERLINK("https://www.google.iq/maps/search/+33.6033,42.8704/@33.6033,42.8704,14z?hl=en","Maplink2")</f>
        <v>Maplink2</v>
      </c>
      <c r="AU116" s="20" t="str">
        <f aca="false">HYPERLINK("http://www.bing.com/maps/?lvl=14&amp;sty=h&amp;cp=33.6033~42.8704&amp;sp=point.33.6033_42.8704","Maplink3")</f>
        <v>Maplink3</v>
      </c>
    </row>
    <row r="117" customFormat="false" ht="15" hidden="false" customHeight="true" outlineLevel="0" collapsed="false">
      <c r="A117" s="15" t="n">
        <v>152</v>
      </c>
      <c r="B117" s="16" t="s">
        <v>15</v>
      </c>
      <c r="C117" s="16" t="s">
        <v>262</v>
      </c>
      <c r="D117" s="16" t="s">
        <v>273</v>
      </c>
      <c r="E117" s="17" t="s">
        <v>274</v>
      </c>
      <c r="F117" s="16" t="n">
        <v>33.552555</v>
      </c>
      <c r="G117" s="16" t="n">
        <v>42.901504</v>
      </c>
      <c r="H117" s="18" t="n">
        <v>460</v>
      </c>
      <c r="I117" s="18" t="n">
        <v>2760</v>
      </c>
      <c r="J117" s="19" t="n">
        <v>460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 t="n">
        <v>359</v>
      </c>
      <c r="AD117" s="19"/>
      <c r="AE117" s="19" t="n">
        <v>12</v>
      </c>
      <c r="AF117" s="19"/>
      <c r="AG117" s="19"/>
      <c r="AH117" s="19" t="n">
        <v>30</v>
      </c>
      <c r="AI117" s="19" t="n">
        <v>7</v>
      </c>
      <c r="AJ117" s="19" t="n">
        <v>52</v>
      </c>
      <c r="AK117" s="19"/>
      <c r="AL117" s="19" t="n">
        <v>460</v>
      </c>
      <c r="AM117" s="19"/>
      <c r="AN117" s="19"/>
      <c r="AO117" s="19"/>
      <c r="AP117" s="19"/>
      <c r="AQ117" s="19"/>
      <c r="AR117" s="19"/>
      <c r="AS117" s="20" t="str">
        <f aca="false">HYPERLINK("http://www.openstreetmap.org/?mlat=33.5526&amp;mlon=42.9015&amp;zoom=12#map=12/33.5526/42.9015","Maplink1")</f>
        <v>Maplink1</v>
      </c>
      <c r="AT117" s="20" t="str">
        <f aca="false">HYPERLINK("https://www.google.iq/maps/search/+33.5526,42.9015/@33.5526,42.9015,14z?hl=en","Maplink2")</f>
        <v>Maplink2</v>
      </c>
      <c r="AU117" s="20" t="str">
        <f aca="false">HYPERLINK("http://www.bing.com/maps/?lvl=14&amp;sty=h&amp;cp=33.5526~42.9015&amp;sp=point.33.5526_42.9015","Maplink3")</f>
        <v>Maplink3</v>
      </c>
    </row>
    <row r="118" customFormat="false" ht="15" hidden="false" customHeight="true" outlineLevel="0" collapsed="false">
      <c r="A118" s="15" t="n">
        <v>24113</v>
      </c>
      <c r="B118" s="16" t="s">
        <v>15</v>
      </c>
      <c r="C118" s="16" t="s">
        <v>262</v>
      </c>
      <c r="D118" s="16" t="s">
        <v>275</v>
      </c>
      <c r="E118" s="17" t="s">
        <v>276</v>
      </c>
      <c r="F118" s="16" t="n">
        <v>33.641776</v>
      </c>
      <c r="G118" s="16" t="n">
        <v>42.827755</v>
      </c>
      <c r="H118" s="18" t="n">
        <v>45</v>
      </c>
      <c r="I118" s="18" t="n">
        <v>270</v>
      </c>
      <c r="J118" s="19" t="n">
        <v>45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 t="n">
        <v>45</v>
      </c>
      <c r="AD118" s="19"/>
      <c r="AE118" s="19"/>
      <c r="AF118" s="19"/>
      <c r="AG118" s="19"/>
      <c r="AH118" s="19"/>
      <c r="AI118" s="19"/>
      <c r="AJ118" s="19"/>
      <c r="AK118" s="19"/>
      <c r="AL118" s="19" t="n">
        <v>21</v>
      </c>
      <c r="AM118" s="19"/>
      <c r="AN118" s="19"/>
      <c r="AO118" s="19"/>
      <c r="AP118" s="19" t="n">
        <v>24</v>
      </c>
      <c r="AQ118" s="19"/>
      <c r="AR118" s="19"/>
      <c r="AS118" s="20" t="str">
        <f aca="false">HYPERLINK("http://www.openstreetmap.org/?mlat=33.6418&amp;mlon=42.8278&amp;zoom=12#map=12/33.6418/42.8278","Maplink1")</f>
        <v>Maplink1</v>
      </c>
      <c r="AT118" s="20" t="str">
        <f aca="false">HYPERLINK("https://www.google.iq/maps/search/+33.6418,42.8278/@33.6418,42.8278,14z?hl=en","Maplink2")</f>
        <v>Maplink2</v>
      </c>
      <c r="AU118" s="20" t="str">
        <f aca="false">HYPERLINK("http://www.bing.com/maps/?lvl=14&amp;sty=h&amp;cp=33.6418~42.8278&amp;sp=point.33.6418_42.8278","Maplink3")</f>
        <v>Maplink3</v>
      </c>
    </row>
    <row r="119" customFormat="false" ht="15" hidden="false" customHeight="true" outlineLevel="0" collapsed="false">
      <c r="A119" s="15" t="n">
        <v>24329</v>
      </c>
      <c r="B119" s="16" t="s">
        <v>15</v>
      </c>
      <c r="C119" s="16" t="s">
        <v>262</v>
      </c>
      <c r="D119" s="16" t="s">
        <v>277</v>
      </c>
      <c r="E119" s="17" t="s">
        <v>278</v>
      </c>
      <c r="F119" s="16" t="n">
        <v>33.732866</v>
      </c>
      <c r="G119" s="16" t="n">
        <v>42.716144</v>
      </c>
      <c r="H119" s="18" t="n">
        <v>40</v>
      </c>
      <c r="I119" s="18" t="n">
        <v>240</v>
      </c>
      <c r="J119" s="19" t="n">
        <v>40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 t="n">
        <v>40</v>
      </c>
      <c r="AD119" s="19"/>
      <c r="AE119" s="19"/>
      <c r="AF119" s="19"/>
      <c r="AG119" s="19"/>
      <c r="AH119" s="19"/>
      <c r="AI119" s="19"/>
      <c r="AJ119" s="19"/>
      <c r="AK119" s="19"/>
      <c r="AL119" s="19"/>
      <c r="AM119" s="19" t="n">
        <v>40</v>
      </c>
      <c r="AN119" s="19"/>
      <c r="AO119" s="19"/>
      <c r="AP119" s="19"/>
      <c r="AQ119" s="19"/>
      <c r="AR119" s="19"/>
      <c r="AS119" s="20" t="str">
        <f aca="false">HYPERLINK("http://www.openstreetmap.org/?mlat=33.7329&amp;mlon=42.7161&amp;zoom=12#map=12/33.7329/42.7161","Maplink1")</f>
        <v>Maplink1</v>
      </c>
      <c r="AT119" s="20" t="str">
        <f aca="false">HYPERLINK("https://www.google.iq/maps/search/+33.7329,42.7161/@33.7329,42.7161,14z?hl=en","Maplink2")</f>
        <v>Maplink2</v>
      </c>
      <c r="AU119" s="20" t="str">
        <f aca="false">HYPERLINK("http://www.bing.com/maps/?lvl=14&amp;sty=h&amp;cp=33.7329~42.7161&amp;sp=point.33.7329_42.7161","Maplink3")</f>
        <v>Maplink3</v>
      </c>
    </row>
    <row r="120" customFormat="false" ht="15" hidden="false" customHeight="true" outlineLevel="0" collapsed="false">
      <c r="A120" s="15" t="n">
        <v>23826</v>
      </c>
      <c r="B120" s="16" t="s">
        <v>15</v>
      </c>
      <c r="C120" s="16" t="s">
        <v>262</v>
      </c>
      <c r="D120" s="16" t="s">
        <v>279</v>
      </c>
      <c r="E120" s="17" t="s">
        <v>280</v>
      </c>
      <c r="F120" s="16" t="n">
        <v>33.70247</v>
      </c>
      <c r="G120" s="16" t="n">
        <v>42.742977</v>
      </c>
      <c r="H120" s="18" t="n">
        <v>155</v>
      </c>
      <c r="I120" s="18" t="n">
        <v>930</v>
      </c>
      <c r="J120" s="19" t="n">
        <v>155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 t="n">
        <v>155</v>
      </c>
      <c r="AD120" s="19"/>
      <c r="AE120" s="19"/>
      <c r="AF120" s="19"/>
      <c r="AG120" s="19"/>
      <c r="AH120" s="19"/>
      <c r="AI120" s="19"/>
      <c r="AJ120" s="19"/>
      <c r="AK120" s="19"/>
      <c r="AL120" s="19" t="n">
        <v>155</v>
      </c>
      <c r="AM120" s="19"/>
      <c r="AN120" s="19"/>
      <c r="AO120" s="19"/>
      <c r="AP120" s="19"/>
      <c r="AQ120" s="19"/>
      <c r="AR120" s="19"/>
      <c r="AS120" s="20" t="str">
        <f aca="false">HYPERLINK("http://www.openstreetmap.org/?mlat=33.7025&amp;mlon=42.743&amp;zoom=12#map=12/33.7025/42.743","Maplink1")</f>
        <v>Maplink1</v>
      </c>
      <c r="AT120" s="20" t="str">
        <f aca="false">HYPERLINK("https://www.google.iq/maps/search/+33.7025,42.743/@33.7025,42.743,14z?hl=en","Maplink2")</f>
        <v>Maplink2</v>
      </c>
      <c r="AU120" s="20" t="str">
        <f aca="false">HYPERLINK("http://www.bing.com/maps/?lvl=14&amp;sty=h&amp;cp=33.7025~42.743&amp;sp=point.33.7025_42.743","Maplink3")</f>
        <v>Maplink3</v>
      </c>
    </row>
    <row r="121" customFormat="false" ht="15" hidden="false" customHeight="true" outlineLevel="0" collapsed="false">
      <c r="A121" s="15" t="n">
        <v>23832</v>
      </c>
      <c r="B121" s="16" t="s">
        <v>15</v>
      </c>
      <c r="C121" s="16" t="s">
        <v>262</v>
      </c>
      <c r="D121" s="16" t="s">
        <v>281</v>
      </c>
      <c r="E121" s="17" t="s">
        <v>282</v>
      </c>
      <c r="F121" s="16" t="n">
        <v>33.633801</v>
      </c>
      <c r="G121" s="16" t="n">
        <v>42.794168</v>
      </c>
      <c r="H121" s="18" t="n">
        <v>110</v>
      </c>
      <c r="I121" s="18" t="n">
        <v>660</v>
      </c>
      <c r="J121" s="19" t="n">
        <v>110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 t="n">
        <v>110</v>
      </c>
      <c r="AD121" s="19"/>
      <c r="AE121" s="19"/>
      <c r="AF121" s="19"/>
      <c r="AG121" s="19"/>
      <c r="AH121" s="19"/>
      <c r="AI121" s="19"/>
      <c r="AJ121" s="19"/>
      <c r="AK121" s="19"/>
      <c r="AL121" s="19" t="n">
        <v>110</v>
      </c>
      <c r="AM121" s="19"/>
      <c r="AN121" s="19"/>
      <c r="AO121" s="19"/>
      <c r="AP121" s="19"/>
      <c r="AQ121" s="19"/>
      <c r="AR121" s="19"/>
      <c r="AS121" s="20" t="str">
        <f aca="false">HYPERLINK("http://www.openstreetmap.org/?mlat=33.6338&amp;mlon=42.7942&amp;zoom=12#map=12/33.6338/42.7942","Maplink1")</f>
        <v>Maplink1</v>
      </c>
      <c r="AT121" s="20" t="str">
        <f aca="false">HYPERLINK("https://www.google.iq/maps/search/+33.6338,42.7942/@33.6338,42.7942,14z?hl=en","Maplink2")</f>
        <v>Maplink2</v>
      </c>
      <c r="AU121" s="20" t="str">
        <f aca="false">HYPERLINK("http://www.bing.com/maps/?lvl=14&amp;sty=h&amp;cp=33.6338~42.7942&amp;sp=point.33.6338_42.7942","Maplink3")</f>
        <v>Maplink3</v>
      </c>
    </row>
    <row r="122" customFormat="false" ht="15" hidden="false" customHeight="true" outlineLevel="0" collapsed="false">
      <c r="A122" s="15" t="n">
        <v>135</v>
      </c>
      <c r="B122" s="16" t="s">
        <v>15</v>
      </c>
      <c r="C122" s="16" t="s">
        <v>262</v>
      </c>
      <c r="D122" s="16" t="s">
        <v>283</v>
      </c>
      <c r="E122" s="17" t="s">
        <v>284</v>
      </c>
      <c r="F122" s="16" t="n">
        <v>33.63271</v>
      </c>
      <c r="G122" s="16" t="n">
        <v>42.848387</v>
      </c>
      <c r="H122" s="18" t="n">
        <v>87</v>
      </c>
      <c r="I122" s="18" t="n">
        <v>522</v>
      </c>
      <c r="J122" s="19" t="n">
        <v>87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 t="n">
        <v>64</v>
      </c>
      <c r="AD122" s="19"/>
      <c r="AE122" s="19"/>
      <c r="AF122" s="19"/>
      <c r="AG122" s="19"/>
      <c r="AH122" s="19"/>
      <c r="AI122" s="19"/>
      <c r="AJ122" s="19" t="n">
        <v>23</v>
      </c>
      <c r="AK122" s="19"/>
      <c r="AL122" s="19" t="n">
        <v>87</v>
      </c>
      <c r="AM122" s="19"/>
      <c r="AN122" s="19"/>
      <c r="AO122" s="19"/>
      <c r="AP122" s="19"/>
      <c r="AQ122" s="19"/>
      <c r="AR122" s="19"/>
      <c r="AS122" s="20" t="str">
        <f aca="false">HYPERLINK("http://www.openstreetmap.org/?mlat=33.6327&amp;mlon=42.8484&amp;zoom=12#map=12/33.6327/42.8484","Maplink1")</f>
        <v>Maplink1</v>
      </c>
      <c r="AT122" s="20" t="str">
        <f aca="false">HYPERLINK("https://www.google.iq/maps/search/+33.6327,42.8484/@33.6327,42.8484,14z?hl=en","Maplink2")</f>
        <v>Maplink2</v>
      </c>
      <c r="AU122" s="20" t="str">
        <f aca="false">HYPERLINK("http://www.bing.com/maps/?lvl=14&amp;sty=h&amp;cp=33.6327~42.8484&amp;sp=point.33.6327_42.8484","Maplink3")</f>
        <v>Maplink3</v>
      </c>
    </row>
    <row r="123" customFormat="false" ht="15" hidden="false" customHeight="true" outlineLevel="0" collapsed="false">
      <c r="A123" s="15" t="n">
        <v>23827</v>
      </c>
      <c r="B123" s="16" t="s">
        <v>15</v>
      </c>
      <c r="C123" s="16" t="s">
        <v>262</v>
      </c>
      <c r="D123" s="16" t="s">
        <v>285</v>
      </c>
      <c r="E123" s="17" t="s">
        <v>286</v>
      </c>
      <c r="F123" s="16" t="n">
        <v>33.644216</v>
      </c>
      <c r="G123" s="16" t="n">
        <v>42.822706</v>
      </c>
      <c r="H123" s="18" t="n">
        <v>200</v>
      </c>
      <c r="I123" s="18" t="n">
        <v>1200</v>
      </c>
      <c r="J123" s="19" t="n">
        <v>200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 t="n">
        <v>200</v>
      </c>
      <c r="AD123" s="19"/>
      <c r="AE123" s="19"/>
      <c r="AF123" s="19"/>
      <c r="AG123" s="19"/>
      <c r="AH123" s="19"/>
      <c r="AI123" s="19"/>
      <c r="AJ123" s="19"/>
      <c r="AK123" s="19"/>
      <c r="AL123" s="19" t="n">
        <v>200</v>
      </c>
      <c r="AM123" s="19"/>
      <c r="AN123" s="19"/>
      <c r="AO123" s="19"/>
      <c r="AP123" s="19"/>
      <c r="AQ123" s="19"/>
      <c r="AR123" s="19"/>
      <c r="AS123" s="20" t="str">
        <f aca="false">HYPERLINK("http://www.openstreetmap.org/?mlat=33.6442&amp;mlon=42.8227&amp;zoom=12#map=12/33.6442/42.8227","Maplink1")</f>
        <v>Maplink1</v>
      </c>
      <c r="AT123" s="20" t="str">
        <f aca="false">HYPERLINK("https://www.google.iq/maps/search/+33.6442,42.8227/@33.6442,42.8227,14z?hl=en","Maplink2")</f>
        <v>Maplink2</v>
      </c>
      <c r="AU123" s="20" t="str">
        <f aca="false">HYPERLINK("http://www.bing.com/maps/?lvl=14&amp;sty=h&amp;cp=33.6442~42.8227&amp;sp=point.33.6442_42.8227","Maplink3")</f>
        <v>Maplink3</v>
      </c>
    </row>
    <row r="124" customFormat="false" ht="15" hidden="false" customHeight="true" outlineLevel="0" collapsed="false">
      <c r="A124" s="15" t="n">
        <v>136</v>
      </c>
      <c r="B124" s="16" t="s">
        <v>15</v>
      </c>
      <c r="C124" s="16" t="s">
        <v>262</v>
      </c>
      <c r="D124" s="16" t="s">
        <v>287</v>
      </c>
      <c r="E124" s="17" t="s">
        <v>288</v>
      </c>
      <c r="F124" s="16" t="n">
        <v>33.888698</v>
      </c>
      <c r="G124" s="16" t="n">
        <v>42.52212</v>
      </c>
      <c r="H124" s="18" t="n">
        <v>60</v>
      </c>
      <c r="I124" s="18" t="n">
        <v>360</v>
      </c>
      <c r="J124" s="19" t="n">
        <v>60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 t="n">
        <v>60</v>
      </c>
      <c r="AD124" s="19"/>
      <c r="AE124" s="19"/>
      <c r="AF124" s="19"/>
      <c r="AG124" s="19"/>
      <c r="AH124" s="19"/>
      <c r="AI124" s="19"/>
      <c r="AJ124" s="19"/>
      <c r="AK124" s="19"/>
      <c r="AL124" s="19"/>
      <c r="AM124" s="19" t="n">
        <v>60</v>
      </c>
      <c r="AN124" s="19"/>
      <c r="AO124" s="19"/>
      <c r="AP124" s="19"/>
      <c r="AQ124" s="19"/>
      <c r="AR124" s="19"/>
      <c r="AS124" s="20" t="str">
        <f aca="false">HYPERLINK("http://www.openstreetmap.org/?mlat=33.8887&amp;mlon=42.5221&amp;zoom=12#map=12/33.8887/42.5221","Maplink1")</f>
        <v>Maplink1</v>
      </c>
      <c r="AT124" s="20" t="str">
        <f aca="false">HYPERLINK("https://www.google.iq/maps/search/+33.8887,42.5221/@33.8887,42.5221,14z?hl=en","Maplink2")</f>
        <v>Maplink2</v>
      </c>
      <c r="AU124" s="20" t="str">
        <f aca="false">HYPERLINK("http://www.bing.com/maps/?lvl=14&amp;sty=h&amp;cp=33.8887~42.5221&amp;sp=point.33.8887_42.5221","Maplink3")</f>
        <v>Maplink3</v>
      </c>
    </row>
    <row r="125" customFormat="false" ht="15" hidden="false" customHeight="true" outlineLevel="0" collapsed="false">
      <c r="A125" s="15" t="n">
        <v>23831</v>
      </c>
      <c r="B125" s="16" t="s">
        <v>15</v>
      </c>
      <c r="C125" s="16" t="s">
        <v>262</v>
      </c>
      <c r="D125" s="16" t="s">
        <v>289</v>
      </c>
      <c r="E125" s="17" t="s">
        <v>290</v>
      </c>
      <c r="F125" s="16" t="n">
        <v>33.630186</v>
      </c>
      <c r="G125" s="16" t="n">
        <v>42.819652</v>
      </c>
      <c r="H125" s="18" t="n">
        <v>19</v>
      </c>
      <c r="I125" s="18" t="n">
        <v>114</v>
      </c>
      <c r="J125" s="19" t="n">
        <v>19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 t="n">
        <v>19</v>
      </c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 t="n">
        <v>19</v>
      </c>
      <c r="AQ125" s="19"/>
      <c r="AR125" s="19"/>
      <c r="AS125" s="20" t="str">
        <f aca="false">HYPERLINK("http://www.openstreetmap.org/?mlat=33.6302&amp;mlon=42.8197&amp;zoom=12#map=12/33.6302/42.8197","Maplink1")</f>
        <v>Maplink1</v>
      </c>
      <c r="AT125" s="20" t="str">
        <f aca="false">HYPERLINK("https://www.google.iq/maps/search/+33.6302,42.8197/@33.6302,42.8197,14z?hl=en","Maplink2")</f>
        <v>Maplink2</v>
      </c>
      <c r="AU125" s="20" t="str">
        <f aca="false">HYPERLINK("http://www.bing.com/maps/?lvl=14&amp;sty=h&amp;cp=33.6302~42.8197&amp;sp=point.33.6302_42.8197","Maplink3")</f>
        <v>Maplink3</v>
      </c>
    </row>
    <row r="126" customFormat="false" ht="15" hidden="false" customHeight="true" outlineLevel="0" collapsed="false">
      <c r="A126" s="15" t="n">
        <v>312</v>
      </c>
      <c r="B126" s="16" t="s">
        <v>15</v>
      </c>
      <c r="C126" s="16" t="s">
        <v>262</v>
      </c>
      <c r="D126" s="16" t="s">
        <v>291</v>
      </c>
      <c r="E126" s="17" t="s">
        <v>292</v>
      </c>
      <c r="F126" s="16" t="n">
        <v>33.635909</v>
      </c>
      <c r="G126" s="16" t="n">
        <v>42.826883</v>
      </c>
      <c r="H126" s="18" t="n">
        <v>380</v>
      </c>
      <c r="I126" s="18" t="n">
        <v>2280</v>
      </c>
      <c r="J126" s="19" t="n">
        <v>380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 t="n">
        <v>271</v>
      </c>
      <c r="AD126" s="19"/>
      <c r="AE126" s="19"/>
      <c r="AF126" s="19"/>
      <c r="AG126" s="19"/>
      <c r="AH126" s="19" t="n">
        <v>24</v>
      </c>
      <c r="AI126" s="19" t="n">
        <v>14</v>
      </c>
      <c r="AJ126" s="19" t="n">
        <v>71</v>
      </c>
      <c r="AK126" s="19"/>
      <c r="AL126" s="19" t="n">
        <v>370</v>
      </c>
      <c r="AM126" s="19"/>
      <c r="AN126" s="19"/>
      <c r="AO126" s="19" t="n">
        <v>10</v>
      </c>
      <c r="AP126" s="19"/>
      <c r="AQ126" s="19"/>
      <c r="AR126" s="19"/>
      <c r="AS126" s="20" t="str">
        <f aca="false">HYPERLINK("http://www.openstreetmap.org/?mlat=33.6359&amp;mlon=42.8269&amp;zoom=12#map=12/33.6359/42.8269","Maplink1")</f>
        <v>Maplink1</v>
      </c>
      <c r="AT126" s="20" t="str">
        <f aca="false">HYPERLINK("https://www.google.iq/maps/search/+33.6359,42.8269/@33.6359,42.8269,14z?hl=en","Maplink2")</f>
        <v>Maplink2</v>
      </c>
      <c r="AU126" s="20" t="str">
        <f aca="false">HYPERLINK("http://www.bing.com/maps/?lvl=14&amp;sty=h&amp;cp=33.6359~42.8269&amp;sp=point.33.6359_42.8269","Maplink3")</f>
        <v>Maplink3</v>
      </c>
    </row>
    <row r="127" customFormat="false" ht="15" hidden="false" customHeight="true" outlineLevel="0" collapsed="false">
      <c r="A127" s="15" t="n">
        <v>23829</v>
      </c>
      <c r="B127" s="16" t="s">
        <v>15</v>
      </c>
      <c r="C127" s="16" t="s">
        <v>262</v>
      </c>
      <c r="D127" s="16" t="s">
        <v>293</v>
      </c>
      <c r="E127" s="17" t="s">
        <v>294</v>
      </c>
      <c r="F127" s="16" t="n">
        <v>33.584776</v>
      </c>
      <c r="G127" s="16" t="n">
        <v>42.88073</v>
      </c>
      <c r="H127" s="18" t="n">
        <v>240</v>
      </c>
      <c r="I127" s="18" t="n">
        <v>1440</v>
      </c>
      <c r="J127" s="19" t="n">
        <v>240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 t="n">
        <v>220</v>
      </c>
      <c r="AD127" s="19"/>
      <c r="AE127" s="19"/>
      <c r="AF127" s="19"/>
      <c r="AG127" s="19"/>
      <c r="AH127" s="19"/>
      <c r="AI127" s="19"/>
      <c r="AJ127" s="19" t="n">
        <v>20</v>
      </c>
      <c r="AK127" s="19"/>
      <c r="AL127" s="19" t="n">
        <v>140</v>
      </c>
      <c r="AM127" s="19"/>
      <c r="AN127" s="19"/>
      <c r="AO127" s="19"/>
      <c r="AP127" s="19" t="n">
        <v>100</v>
      </c>
      <c r="AQ127" s="19"/>
      <c r="AR127" s="19"/>
      <c r="AS127" s="20" t="str">
        <f aca="false">HYPERLINK("http://www.openstreetmap.org/?mlat=33.5848&amp;mlon=42.8807&amp;zoom=12#map=12/33.5848/42.8807","Maplink1")</f>
        <v>Maplink1</v>
      </c>
      <c r="AT127" s="20" t="str">
        <f aca="false">HYPERLINK("https://www.google.iq/maps/search/+33.5848,42.8807/@33.5848,42.8807,14z?hl=en","Maplink2")</f>
        <v>Maplink2</v>
      </c>
      <c r="AU127" s="20" t="str">
        <f aca="false">HYPERLINK("http://www.bing.com/maps/?lvl=14&amp;sty=h&amp;cp=33.5848~42.8807&amp;sp=point.33.5848_42.8807","Maplink3")</f>
        <v>Maplink3</v>
      </c>
    </row>
    <row r="128" customFormat="false" ht="15" hidden="false" customHeight="true" outlineLevel="0" collapsed="false">
      <c r="A128" s="15" t="n">
        <v>21471</v>
      </c>
      <c r="B128" s="16" t="s">
        <v>15</v>
      </c>
      <c r="C128" s="16" t="s">
        <v>262</v>
      </c>
      <c r="D128" s="16" t="s">
        <v>295</v>
      </c>
      <c r="E128" s="17" t="s">
        <v>296</v>
      </c>
      <c r="F128" s="16" t="n">
        <v>33.885179</v>
      </c>
      <c r="G128" s="16" t="n">
        <v>42.524752</v>
      </c>
      <c r="H128" s="18" t="n">
        <v>102</v>
      </c>
      <c r="I128" s="18" t="n">
        <v>612</v>
      </c>
      <c r="J128" s="19" t="n">
        <v>102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 t="n">
        <v>85</v>
      </c>
      <c r="AD128" s="19"/>
      <c r="AE128" s="19"/>
      <c r="AF128" s="19"/>
      <c r="AG128" s="19"/>
      <c r="AH128" s="19" t="n">
        <v>17</v>
      </c>
      <c r="AI128" s="19"/>
      <c r="AJ128" s="19"/>
      <c r="AK128" s="19"/>
      <c r="AL128" s="19" t="n">
        <v>93</v>
      </c>
      <c r="AM128" s="19" t="n">
        <v>9</v>
      </c>
      <c r="AN128" s="19"/>
      <c r="AO128" s="19"/>
      <c r="AP128" s="19"/>
      <c r="AQ128" s="19"/>
      <c r="AR128" s="19"/>
      <c r="AS128" s="20" t="str">
        <f aca="false">HYPERLINK("http://www.openstreetmap.org/?mlat=33.8852&amp;mlon=42.5248&amp;zoom=12#map=12/33.8852/42.5248","Maplink1")</f>
        <v>Maplink1</v>
      </c>
      <c r="AT128" s="20" t="str">
        <f aca="false">HYPERLINK("https://www.google.iq/maps/search/+33.8852,42.5248/@33.8852,42.5248,14z?hl=en","Maplink2")</f>
        <v>Maplink2</v>
      </c>
      <c r="AU128" s="20" t="str">
        <f aca="false">HYPERLINK("http://www.bing.com/maps/?lvl=14&amp;sty=h&amp;cp=33.8852~42.5248&amp;sp=point.33.8852_42.5248","Maplink3")</f>
        <v>Maplink3</v>
      </c>
    </row>
    <row r="129" customFormat="false" ht="15" hidden="false" customHeight="true" outlineLevel="0" collapsed="false">
      <c r="A129" s="15" t="n">
        <v>21470</v>
      </c>
      <c r="B129" s="16" t="s">
        <v>15</v>
      </c>
      <c r="C129" s="16" t="s">
        <v>262</v>
      </c>
      <c r="D129" s="16" t="s">
        <v>297</v>
      </c>
      <c r="E129" s="17" t="s">
        <v>298</v>
      </c>
      <c r="F129" s="16" t="n">
        <v>33.881144</v>
      </c>
      <c r="G129" s="16" t="n">
        <v>42.525905</v>
      </c>
      <c r="H129" s="18" t="n">
        <v>61</v>
      </c>
      <c r="I129" s="18" t="n">
        <v>366</v>
      </c>
      <c r="J129" s="19" t="n">
        <v>61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 t="n">
        <v>27</v>
      </c>
      <c r="AD129" s="19"/>
      <c r="AE129" s="19"/>
      <c r="AF129" s="19"/>
      <c r="AG129" s="19"/>
      <c r="AH129" s="19" t="n">
        <v>14</v>
      </c>
      <c r="AI129" s="19"/>
      <c r="AJ129" s="19" t="n">
        <v>20</v>
      </c>
      <c r="AK129" s="19"/>
      <c r="AL129" s="19" t="n">
        <v>49</v>
      </c>
      <c r="AM129" s="19"/>
      <c r="AN129" s="19"/>
      <c r="AO129" s="19" t="n">
        <v>12</v>
      </c>
      <c r="AP129" s="19"/>
      <c r="AQ129" s="19"/>
      <c r="AR129" s="19"/>
      <c r="AS129" s="20" t="str">
        <f aca="false">HYPERLINK("http://www.openstreetmap.org/?mlat=33.8811&amp;mlon=42.5259&amp;zoom=12#map=12/33.8811/42.5259","Maplink1")</f>
        <v>Maplink1</v>
      </c>
      <c r="AT129" s="20" t="str">
        <f aca="false">HYPERLINK("https://www.google.iq/maps/search/+33.8811,42.5259/@33.8811,42.5259,14z?hl=en","Maplink2")</f>
        <v>Maplink2</v>
      </c>
      <c r="AU129" s="20" t="str">
        <f aca="false">HYPERLINK("http://www.bing.com/maps/?lvl=14&amp;sty=h&amp;cp=33.8811~42.5259&amp;sp=point.33.8811_42.5259","Maplink3")</f>
        <v>Maplink3</v>
      </c>
    </row>
    <row r="130" customFormat="false" ht="15" hidden="false" customHeight="true" outlineLevel="0" collapsed="false">
      <c r="A130" s="15" t="n">
        <v>221</v>
      </c>
      <c r="B130" s="16" t="s">
        <v>15</v>
      </c>
      <c r="C130" s="16" t="s">
        <v>262</v>
      </c>
      <c r="D130" s="16" t="s">
        <v>299</v>
      </c>
      <c r="E130" s="17" t="s">
        <v>300</v>
      </c>
      <c r="F130" s="16" t="n">
        <v>33.590408</v>
      </c>
      <c r="G130" s="16" t="n">
        <v>42.613314</v>
      </c>
      <c r="H130" s="18" t="n">
        <v>139</v>
      </c>
      <c r="I130" s="18" t="n">
        <v>834</v>
      </c>
      <c r="J130" s="19" t="n">
        <v>139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 t="n">
        <v>88</v>
      </c>
      <c r="AD130" s="19"/>
      <c r="AE130" s="19"/>
      <c r="AF130" s="19"/>
      <c r="AG130" s="19" t="n">
        <v>5</v>
      </c>
      <c r="AH130" s="19" t="n">
        <v>21</v>
      </c>
      <c r="AI130" s="19"/>
      <c r="AJ130" s="19" t="n">
        <v>25</v>
      </c>
      <c r="AK130" s="19"/>
      <c r="AL130" s="19" t="n">
        <v>101</v>
      </c>
      <c r="AM130" s="19" t="n">
        <v>38</v>
      </c>
      <c r="AN130" s="19"/>
      <c r="AO130" s="19"/>
      <c r="AP130" s="19"/>
      <c r="AQ130" s="19"/>
      <c r="AR130" s="19"/>
      <c r="AS130" s="20" t="str">
        <f aca="false">HYPERLINK("http://www.openstreetmap.org/?mlat=33.5904&amp;mlon=42.6133&amp;zoom=12#map=12/33.5904/42.6133","Maplink1")</f>
        <v>Maplink1</v>
      </c>
      <c r="AT130" s="20" t="str">
        <f aca="false">HYPERLINK("https://www.google.iq/maps/search/+33.5904,42.6133/@33.5904,42.6133,14z?hl=en","Maplink2")</f>
        <v>Maplink2</v>
      </c>
      <c r="AU130" s="20" t="str">
        <f aca="false">HYPERLINK("http://www.bing.com/maps/?lvl=14&amp;sty=h&amp;cp=33.5904~42.6133&amp;sp=point.33.5904_42.6133","Maplink3")</f>
        <v>Maplink3</v>
      </c>
    </row>
    <row r="131" customFormat="false" ht="15" hidden="false" customHeight="true" outlineLevel="0" collapsed="false">
      <c r="A131" s="15" t="n">
        <v>21230</v>
      </c>
      <c r="B131" s="16" t="s">
        <v>15</v>
      </c>
      <c r="C131" s="16" t="s">
        <v>262</v>
      </c>
      <c r="D131" s="16" t="s">
        <v>301</v>
      </c>
      <c r="E131" s="17" t="s">
        <v>302</v>
      </c>
      <c r="F131" s="16" t="n">
        <v>33.637311</v>
      </c>
      <c r="G131" s="16" t="n">
        <v>42.834653</v>
      </c>
      <c r="H131" s="18" t="n">
        <v>10</v>
      </c>
      <c r="I131" s="18" t="n">
        <v>60</v>
      </c>
      <c r="J131" s="19" t="n">
        <v>10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 t="n">
        <v>10</v>
      </c>
      <c r="AJ131" s="19"/>
      <c r="AK131" s="19"/>
      <c r="AL131" s="19"/>
      <c r="AM131" s="19"/>
      <c r="AN131" s="19"/>
      <c r="AO131" s="19" t="n">
        <v>10</v>
      </c>
      <c r="AP131" s="19"/>
      <c r="AQ131" s="19"/>
      <c r="AR131" s="19"/>
      <c r="AS131" s="20" t="str">
        <f aca="false">HYPERLINK("http://www.openstreetmap.org/?mlat=33.6373&amp;mlon=42.8347&amp;zoom=12#map=12/33.6373/42.8347","Maplink1")</f>
        <v>Maplink1</v>
      </c>
      <c r="AT131" s="20" t="str">
        <f aca="false">HYPERLINK("https://www.google.iq/maps/search/+33.6373,42.8347/@33.6373,42.8347,14z?hl=en","Maplink2")</f>
        <v>Maplink2</v>
      </c>
      <c r="AU131" s="20" t="str">
        <f aca="false">HYPERLINK("http://www.bing.com/maps/?lvl=14&amp;sty=h&amp;cp=33.6373~42.8347&amp;sp=point.33.6373_42.8347","Maplink3")</f>
        <v>Maplink3</v>
      </c>
    </row>
    <row r="132" customFormat="false" ht="15" hidden="false" customHeight="true" outlineLevel="0" collapsed="false">
      <c r="A132" s="15" t="n">
        <v>218</v>
      </c>
      <c r="B132" s="16" t="s">
        <v>15</v>
      </c>
      <c r="C132" s="16" t="s">
        <v>262</v>
      </c>
      <c r="D132" s="16" t="s">
        <v>303</v>
      </c>
      <c r="E132" s="17" t="s">
        <v>304</v>
      </c>
      <c r="F132" s="16" t="n">
        <v>33.632506</v>
      </c>
      <c r="G132" s="16" t="n">
        <v>42.830697</v>
      </c>
      <c r="H132" s="18" t="n">
        <v>503</v>
      </c>
      <c r="I132" s="18" t="n">
        <v>3018</v>
      </c>
      <c r="J132" s="19" t="n">
        <v>503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 t="n">
        <v>407</v>
      </c>
      <c r="AD132" s="19"/>
      <c r="AE132" s="19"/>
      <c r="AF132" s="19"/>
      <c r="AG132" s="19"/>
      <c r="AH132" s="19" t="n">
        <v>58</v>
      </c>
      <c r="AI132" s="19"/>
      <c r="AJ132" s="19" t="n">
        <v>38</v>
      </c>
      <c r="AK132" s="19"/>
      <c r="AL132" s="19" t="n">
        <v>503</v>
      </c>
      <c r="AM132" s="19"/>
      <c r="AN132" s="19"/>
      <c r="AO132" s="19"/>
      <c r="AP132" s="19"/>
      <c r="AQ132" s="19"/>
      <c r="AR132" s="19"/>
      <c r="AS132" s="20" t="str">
        <f aca="false">HYPERLINK("http://www.openstreetmap.org/?mlat=33.6325&amp;mlon=42.8307&amp;zoom=12#map=12/33.6325/42.8307","Maplink1")</f>
        <v>Maplink1</v>
      </c>
      <c r="AT132" s="20" t="str">
        <f aca="false">HYPERLINK("https://www.google.iq/maps/search/+33.6325,42.8307/@33.6325,42.8307,14z?hl=en","Maplink2")</f>
        <v>Maplink2</v>
      </c>
      <c r="AU132" s="20" t="str">
        <f aca="false">HYPERLINK("http://www.bing.com/maps/?lvl=14&amp;sty=h&amp;cp=33.6325~42.8307&amp;sp=point.33.6325_42.8307","Maplink3")</f>
        <v>Maplink3</v>
      </c>
    </row>
    <row r="133" customFormat="false" ht="15" hidden="false" customHeight="true" outlineLevel="0" collapsed="false">
      <c r="A133" s="15" t="n">
        <v>220</v>
      </c>
      <c r="B133" s="16" t="s">
        <v>15</v>
      </c>
      <c r="C133" s="16" t="s">
        <v>262</v>
      </c>
      <c r="D133" s="16" t="s">
        <v>305</v>
      </c>
      <c r="E133" s="17" t="s">
        <v>306</v>
      </c>
      <c r="F133" s="16" t="n">
        <v>33.658118</v>
      </c>
      <c r="G133" s="16" t="n">
        <v>42.573441</v>
      </c>
      <c r="H133" s="18" t="n">
        <v>75</v>
      </c>
      <c r="I133" s="18" t="n">
        <v>450</v>
      </c>
      <c r="J133" s="19" t="n">
        <v>75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 t="n">
        <v>53</v>
      </c>
      <c r="AD133" s="19"/>
      <c r="AE133" s="19"/>
      <c r="AF133" s="19"/>
      <c r="AG133" s="19"/>
      <c r="AH133" s="19" t="n">
        <v>22</v>
      </c>
      <c r="AI133" s="19"/>
      <c r="AJ133" s="19"/>
      <c r="AK133" s="19"/>
      <c r="AL133" s="19"/>
      <c r="AM133" s="19"/>
      <c r="AN133" s="19"/>
      <c r="AO133" s="19" t="n">
        <v>75</v>
      </c>
      <c r="AP133" s="19"/>
      <c r="AQ133" s="19"/>
      <c r="AR133" s="19"/>
      <c r="AS133" s="20" t="str">
        <f aca="false">HYPERLINK("http://www.openstreetmap.org/?mlat=33.6581&amp;mlon=42.5734&amp;zoom=12#map=12/33.6581/42.5734","Maplink1")</f>
        <v>Maplink1</v>
      </c>
      <c r="AT133" s="20" t="str">
        <f aca="false">HYPERLINK("https://www.google.iq/maps/search/+33.6581,42.5734/@33.6581,42.5734,14z?hl=en","Maplink2")</f>
        <v>Maplink2</v>
      </c>
      <c r="AU133" s="20" t="str">
        <f aca="false">HYPERLINK("http://www.bing.com/maps/?lvl=14&amp;sty=h&amp;cp=33.6581~42.5734&amp;sp=point.33.6581_42.5734","Maplink3")</f>
        <v>Maplink3</v>
      </c>
    </row>
    <row r="134" customFormat="false" ht="15" hidden="false" customHeight="true" outlineLevel="0" collapsed="false">
      <c r="A134" s="15" t="n">
        <v>23885</v>
      </c>
      <c r="B134" s="16" t="s">
        <v>15</v>
      </c>
      <c r="C134" s="16" t="s">
        <v>262</v>
      </c>
      <c r="D134" s="16" t="s">
        <v>307</v>
      </c>
      <c r="E134" s="17" t="s">
        <v>308</v>
      </c>
      <c r="F134" s="16" t="n">
        <v>33.630026</v>
      </c>
      <c r="G134" s="16" t="n">
        <v>42.843529</v>
      </c>
      <c r="H134" s="18" t="n">
        <v>247</v>
      </c>
      <c r="I134" s="18" t="n">
        <v>1482</v>
      </c>
      <c r="J134" s="19" t="n">
        <v>247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 t="n">
        <v>207</v>
      </c>
      <c r="AD134" s="19"/>
      <c r="AE134" s="19"/>
      <c r="AF134" s="19"/>
      <c r="AG134" s="19"/>
      <c r="AH134" s="19" t="n">
        <v>40</v>
      </c>
      <c r="AI134" s="19"/>
      <c r="AJ134" s="19"/>
      <c r="AK134" s="19"/>
      <c r="AL134" s="19" t="n">
        <v>230</v>
      </c>
      <c r="AM134" s="19"/>
      <c r="AN134" s="19"/>
      <c r="AO134" s="19"/>
      <c r="AP134" s="19" t="n">
        <v>17</v>
      </c>
      <c r="AQ134" s="19"/>
      <c r="AR134" s="19"/>
      <c r="AS134" s="20" t="str">
        <f aca="false">HYPERLINK("http://www.openstreetmap.org/?mlat=33.63&amp;mlon=42.8435&amp;zoom=12#map=12/33.63/42.8435","Maplink1")</f>
        <v>Maplink1</v>
      </c>
      <c r="AT134" s="20" t="str">
        <f aca="false">HYPERLINK("https://www.google.iq/maps/search/+33.63,42.8435/@33.63,42.8435,14z?hl=en","Maplink2")</f>
        <v>Maplink2</v>
      </c>
      <c r="AU134" s="20" t="str">
        <f aca="false">HYPERLINK("http://www.bing.com/maps/?lvl=14&amp;sty=h&amp;cp=33.63~42.8435&amp;sp=point.33.63_42.8435","Maplink3")</f>
        <v>Maplink3</v>
      </c>
    </row>
    <row r="135" customFormat="false" ht="15" hidden="false" customHeight="true" outlineLevel="0" collapsed="false">
      <c r="A135" s="15" t="n">
        <v>21231</v>
      </c>
      <c r="B135" s="16" t="s">
        <v>15</v>
      </c>
      <c r="C135" s="16" t="s">
        <v>262</v>
      </c>
      <c r="D135" s="16" t="s">
        <v>309</v>
      </c>
      <c r="E135" s="17" t="s">
        <v>310</v>
      </c>
      <c r="F135" s="16" t="n">
        <v>33.638007</v>
      </c>
      <c r="G135" s="16" t="n">
        <v>42.836699</v>
      </c>
      <c r="H135" s="18" t="n">
        <v>123</v>
      </c>
      <c r="I135" s="18" t="n">
        <v>738</v>
      </c>
      <c r="J135" s="19" t="n">
        <v>123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 t="n">
        <v>86</v>
      </c>
      <c r="AD135" s="19"/>
      <c r="AE135" s="19"/>
      <c r="AF135" s="19"/>
      <c r="AG135" s="19"/>
      <c r="AH135" s="19" t="n">
        <v>13</v>
      </c>
      <c r="AI135" s="19"/>
      <c r="AJ135" s="19" t="n">
        <v>24</v>
      </c>
      <c r="AK135" s="19"/>
      <c r="AL135" s="19" t="n">
        <v>77</v>
      </c>
      <c r="AM135" s="19"/>
      <c r="AN135" s="19"/>
      <c r="AO135" s="19" t="n">
        <v>14</v>
      </c>
      <c r="AP135" s="19" t="n">
        <v>32</v>
      </c>
      <c r="AQ135" s="19"/>
      <c r="AR135" s="19"/>
      <c r="AS135" s="20" t="str">
        <f aca="false">HYPERLINK("http://www.openstreetmap.org/?mlat=33.638&amp;mlon=42.8367&amp;zoom=12#map=12/33.638/42.8367","Maplink1")</f>
        <v>Maplink1</v>
      </c>
      <c r="AT135" s="20" t="str">
        <f aca="false">HYPERLINK("https://www.google.iq/maps/search/+33.638,42.8367/@33.638,42.8367,14z?hl=en","Maplink2")</f>
        <v>Maplink2</v>
      </c>
      <c r="AU135" s="20" t="str">
        <f aca="false">HYPERLINK("http://www.bing.com/maps/?lvl=14&amp;sty=h&amp;cp=33.638~42.8367&amp;sp=point.33.638_42.8367","Maplink3")</f>
        <v>Maplink3</v>
      </c>
    </row>
    <row r="136" customFormat="false" ht="15" hidden="false" customHeight="true" outlineLevel="0" collapsed="false">
      <c r="A136" s="15" t="n">
        <v>23837</v>
      </c>
      <c r="B136" s="16" t="s">
        <v>15</v>
      </c>
      <c r="C136" s="16" t="s">
        <v>262</v>
      </c>
      <c r="D136" s="16" t="s">
        <v>311</v>
      </c>
      <c r="E136" s="17" t="s">
        <v>312</v>
      </c>
      <c r="F136" s="16" t="n">
        <v>33.58747</v>
      </c>
      <c r="G136" s="16" t="n">
        <v>42.608139</v>
      </c>
      <c r="H136" s="18" t="n">
        <v>111</v>
      </c>
      <c r="I136" s="18" t="n">
        <v>666</v>
      </c>
      <c r="J136" s="19" t="n">
        <v>111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 t="n">
        <v>61</v>
      </c>
      <c r="AD136" s="19"/>
      <c r="AE136" s="19"/>
      <c r="AF136" s="19"/>
      <c r="AG136" s="19"/>
      <c r="AH136" s="19" t="n">
        <v>17</v>
      </c>
      <c r="AI136" s="19"/>
      <c r="AJ136" s="19" t="n">
        <v>33</v>
      </c>
      <c r="AK136" s="19"/>
      <c r="AL136" s="19" t="n">
        <v>111</v>
      </c>
      <c r="AM136" s="19"/>
      <c r="AN136" s="19"/>
      <c r="AO136" s="19"/>
      <c r="AP136" s="19"/>
      <c r="AQ136" s="19"/>
      <c r="AR136" s="19"/>
      <c r="AS136" s="20" t="str">
        <f aca="false">HYPERLINK("http://www.openstreetmap.org/?mlat=33.5875&amp;mlon=42.6081&amp;zoom=12#map=12/33.5875/42.6081","Maplink1")</f>
        <v>Maplink1</v>
      </c>
      <c r="AT136" s="20" t="str">
        <f aca="false">HYPERLINK("https://www.google.iq/maps/search/+33.5875,42.6081/@33.5875,42.6081,14z?hl=en","Maplink2")</f>
        <v>Maplink2</v>
      </c>
      <c r="AU136" s="20" t="str">
        <f aca="false">HYPERLINK("http://www.bing.com/maps/?lvl=14&amp;sty=h&amp;cp=33.5875~42.6081&amp;sp=point.33.5875_42.6081","Maplink3")</f>
        <v>Maplink3</v>
      </c>
    </row>
    <row r="137" customFormat="false" ht="15" hidden="false" customHeight="true" outlineLevel="0" collapsed="false">
      <c r="A137" s="15" t="n">
        <v>226</v>
      </c>
      <c r="B137" s="16" t="s">
        <v>15</v>
      </c>
      <c r="C137" s="16" t="s">
        <v>262</v>
      </c>
      <c r="D137" s="16" t="s">
        <v>313</v>
      </c>
      <c r="E137" s="17" t="s">
        <v>314</v>
      </c>
      <c r="F137" s="16" t="n">
        <v>33.626868</v>
      </c>
      <c r="G137" s="16" t="n">
        <v>42.839903</v>
      </c>
      <c r="H137" s="18" t="n">
        <v>77</v>
      </c>
      <c r="I137" s="18" t="n">
        <v>462</v>
      </c>
      <c r="J137" s="19" t="n">
        <v>77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 t="n">
        <v>67</v>
      </c>
      <c r="AD137" s="19"/>
      <c r="AE137" s="19"/>
      <c r="AF137" s="19"/>
      <c r="AG137" s="19"/>
      <c r="AH137" s="19" t="n">
        <v>10</v>
      </c>
      <c r="AI137" s="19"/>
      <c r="AJ137" s="19"/>
      <c r="AK137" s="19"/>
      <c r="AL137" s="19" t="n">
        <v>55</v>
      </c>
      <c r="AM137" s="19"/>
      <c r="AN137" s="19"/>
      <c r="AO137" s="19" t="n">
        <v>22</v>
      </c>
      <c r="AP137" s="19"/>
      <c r="AQ137" s="19"/>
      <c r="AR137" s="19"/>
      <c r="AS137" s="20" t="str">
        <f aca="false">HYPERLINK("http://www.openstreetmap.org/?mlat=33.6269&amp;mlon=42.8399&amp;zoom=12#map=12/33.6269/42.8399","Maplink1")</f>
        <v>Maplink1</v>
      </c>
      <c r="AT137" s="20" t="str">
        <f aca="false">HYPERLINK("https://www.google.iq/maps/search/+33.6269,42.8399/@33.6269,42.8399,14z?hl=en","Maplink2")</f>
        <v>Maplink2</v>
      </c>
      <c r="AU137" s="20" t="str">
        <f aca="false">HYPERLINK("http://www.bing.com/maps/?lvl=14&amp;sty=h&amp;cp=33.6269~42.8399&amp;sp=point.33.6269_42.8399","Maplink3")</f>
        <v>Maplink3</v>
      </c>
    </row>
    <row r="138" customFormat="false" ht="15" hidden="false" customHeight="true" outlineLevel="0" collapsed="false">
      <c r="A138" s="15" t="n">
        <v>53</v>
      </c>
      <c r="B138" s="16" t="s">
        <v>15</v>
      </c>
      <c r="C138" s="16" t="s">
        <v>262</v>
      </c>
      <c r="D138" s="16" t="s">
        <v>315</v>
      </c>
      <c r="E138" s="17" t="s">
        <v>316</v>
      </c>
      <c r="F138" s="16" t="n">
        <v>33.69806</v>
      </c>
      <c r="G138" s="16" t="n">
        <v>42.74638</v>
      </c>
      <c r="H138" s="18" t="n">
        <v>75</v>
      </c>
      <c r="I138" s="18" t="n">
        <v>450</v>
      </c>
      <c r="J138" s="19" t="n">
        <v>75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 t="n">
        <v>75</v>
      </c>
      <c r="AD138" s="19"/>
      <c r="AE138" s="19"/>
      <c r="AF138" s="19"/>
      <c r="AG138" s="19"/>
      <c r="AH138" s="19"/>
      <c r="AI138" s="19"/>
      <c r="AJ138" s="19"/>
      <c r="AK138" s="19"/>
      <c r="AL138" s="19" t="n">
        <v>60</v>
      </c>
      <c r="AM138" s="19"/>
      <c r="AN138" s="19"/>
      <c r="AO138" s="19"/>
      <c r="AP138" s="19" t="n">
        <v>15</v>
      </c>
      <c r="AQ138" s="19"/>
      <c r="AR138" s="19"/>
      <c r="AS138" s="20" t="str">
        <f aca="false">HYPERLINK("http://www.openstreetmap.org/?mlat=33.6981&amp;mlon=42.7464&amp;zoom=12#map=12/33.6981/42.7464","Maplink1")</f>
        <v>Maplink1</v>
      </c>
      <c r="AT138" s="20" t="str">
        <f aca="false">HYPERLINK("https://www.google.iq/maps/search/+33.6981,42.7464/@33.6981,42.7464,14z?hl=en","Maplink2")</f>
        <v>Maplink2</v>
      </c>
      <c r="AU138" s="20" t="str">
        <f aca="false">HYPERLINK("http://www.bing.com/maps/?lvl=14&amp;sty=h&amp;cp=33.6981~42.7464&amp;sp=point.33.6981_42.7464","Maplink3")</f>
        <v>Maplink3</v>
      </c>
    </row>
    <row r="139" customFormat="false" ht="15" hidden="false" customHeight="true" outlineLevel="0" collapsed="false">
      <c r="A139" s="15" t="n">
        <v>5</v>
      </c>
      <c r="B139" s="16" t="s">
        <v>15</v>
      </c>
      <c r="C139" s="16" t="s">
        <v>262</v>
      </c>
      <c r="D139" s="16" t="s">
        <v>317</v>
      </c>
      <c r="E139" s="17" t="s">
        <v>318</v>
      </c>
      <c r="F139" s="16" t="n">
        <v>33.591861</v>
      </c>
      <c r="G139" s="16" t="n">
        <v>42.611405</v>
      </c>
      <c r="H139" s="18" t="n">
        <v>81</v>
      </c>
      <c r="I139" s="18" t="n">
        <v>486</v>
      </c>
      <c r="J139" s="19" t="n">
        <v>81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 t="n">
        <v>57</v>
      </c>
      <c r="AD139" s="19"/>
      <c r="AE139" s="19"/>
      <c r="AF139" s="19"/>
      <c r="AG139" s="19"/>
      <c r="AH139" s="19"/>
      <c r="AI139" s="19"/>
      <c r="AJ139" s="19" t="n">
        <v>24</v>
      </c>
      <c r="AK139" s="19"/>
      <c r="AL139" s="19" t="n">
        <v>81</v>
      </c>
      <c r="AM139" s="19"/>
      <c r="AN139" s="19"/>
      <c r="AO139" s="19"/>
      <c r="AP139" s="19"/>
      <c r="AQ139" s="19"/>
      <c r="AR139" s="19"/>
      <c r="AS139" s="20" t="str">
        <f aca="false">HYPERLINK("http://www.openstreetmap.org/?mlat=33.5919&amp;mlon=42.6114&amp;zoom=12#map=12/33.5919/42.6114","Maplink1")</f>
        <v>Maplink1</v>
      </c>
      <c r="AT139" s="20" t="str">
        <f aca="false">HYPERLINK("https://www.google.iq/maps/search/+33.5919,42.6114/@33.5919,42.6114,14z?hl=en","Maplink2")</f>
        <v>Maplink2</v>
      </c>
      <c r="AU139" s="20" t="str">
        <f aca="false">HYPERLINK("http://www.bing.com/maps/?lvl=14&amp;sty=h&amp;cp=33.5919~42.6114&amp;sp=point.33.5919_42.6114","Maplink3")</f>
        <v>Maplink3</v>
      </c>
    </row>
    <row r="140" customFormat="false" ht="15" hidden="false" customHeight="true" outlineLevel="0" collapsed="false">
      <c r="A140" s="15" t="n">
        <v>191</v>
      </c>
      <c r="B140" s="16" t="s">
        <v>15</v>
      </c>
      <c r="C140" s="16" t="s">
        <v>262</v>
      </c>
      <c r="D140" s="16" t="s">
        <v>319</v>
      </c>
      <c r="E140" s="17" t="s">
        <v>320</v>
      </c>
      <c r="F140" s="16" t="n">
        <v>33.642051</v>
      </c>
      <c r="G140" s="16" t="n">
        <v>42.812999</v>
      </c>
      <c r="H140" s="18" t="n">
        <v>215</v>
      </c>
      <c r="I140" s="18" t="n">
        <v>1290</v>
      </c>
      <c r="J140" s="19" t="n">
        <v>215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 t="n">
        <v>158</v>
      </c>
      <c r="AD140" s="19"/>
      <c r="AE140" s="19"/>
      <c r="AF140" s="19"/>
      <c r="AG140" s="19"/>
      <c r="AH140" s="19" t="n">
        <v>10</v>
      </c>
      <c r="AI140" s="19"/>
      <c r="AJ140" s="19" t="n">
        <v>47</v>
      </c>
      <c r="AK140" s="19"/>
      <c r="AL140" s="19" t="n">
        <v>208</v>
      </c>
      <c r="AM140" s="19"/>
      <c r="AN140" s="19"/>
      <c r="AO140" s="19" t="n">
        <v>7</v>
      </c>
      <c r="AP140" s="19"/>
      <c r="AQ140" s="19"/>
      <c r="AR140" s="19"/>
      <c r="AS140" s="20" t="str">
        <f aca="false">HYPERLINK("http://www.openstreetmap.org/?mlat=33.6421&amp;mlon=42.813&amp;zoom=12#map=12/33.6421/42.813","Maplink1")</f>
        <v>Maplink1</v>
      </c>
      <c r="AT140" s="20" t="str">
        <f aca="false">HYPERLINK("https://www.google.iq/maps/search/+33.6421,42.813/@33.6421,42.813,14z?hl=en","Maplink2")</f>
        <v>Maplink2</v>
      </c>
      <c r="AU140" s="20" t="str">
        <f aca="false">HYPERLINK("http://www.bing.com/maps/?lvl=14&amp;sty=h&amp;cp=33.6421~42.813&amp;sp=point.33.6421_42.813","Maplink3")</f>
        <v>Maplink3</v>
      </c>
    </row>
    <row r="141" customFormat="false" ht="15" hidden="false" customHeight="true" outlineLevel="0" collapsed="false">
      <c r="A141" s="15" t="n">
        <v>200</v>
      </c>
      <c r="B141" s="16" t="s">
        <v>15</v>
      </c>
      <c r="C141" s="16" t="s">
        <v>321</v>
      </c>
      <c r="D141" s="16" t="s">
        <v>322</v>
      </c>
      <c r="E141" s="17" t="s">
        <v>79</v>
      </c>
      <c r="F141" s="16" t="n">
        <v>34.480606</v>
      </c>
      <c r="G141" s="16" t="n">
        <v>41.914784</v>
      </c>
      <c r="H141" s="18" t="n">
        <v>172</v>
      </c>
      <c r="I141" s="18" t="n">
        <v>1032</v>
      </c>
      <c r="J141" s="19" t="n">
        <v>172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 t="n">
        <v>59</v>
      </c>
      <c r="AD141" s="19"/>
      <c r="AE141" s="19" t="n">
        <v>10</v>
      </c>
      <c r="AF141" s="19"/>
      <c r="AG141" s="19" t="n">
        <v>5</v>
      </c>
      <c r="AH141" s="19" t="n">
        <v>86</v>
      </c>
      <c r="AI141" s="19" t="n">
        <v>6</v>
      </c>
      <c r="AJ141" s="19" t="n">
        <v>6</v>
      </c>
      <c r="AK141" s="19"/>
      <c r="AL141" s="19" t="n">
        <v>172</v>
      </c>
      <c r="AM141" s="19"/>
      <c r="AN141" s="19"/>
      <c r="AO141" s="19"/>
      <c r="AP141" s="19"/>
      <c r="AQ141" s="19"/>
      <c r="AR141" s="19"/>
      <c r="AS141" s="20" t="str">
        <f aca="false">HYPERLINK("http://www.openstreetmap.org/?mlat=34.4806&amp;mlon=41.9148&amp;zoom=12#map=12/34.4806/41.9148","Maplink1")</f>
        <v>Maplink1</v>
      </c>
      <c r="AT141" s="20" t="str">
        <f aca="false">HYPERLINK("https://www.google.iq/maps/search/+34.4806,41.9148/@34.4806,41.9148,14z?hl=en","Maplink2")</f>
        <v>Maplink2</v>
      </c>
      <c r="AU141" s="20" t="str">
        <f aca="false">HYPERLINK("http://www.bing.com/maps/?lvl=14&amp;sty=h&amp;cp=34.4806~41.9148&amp;sp=point.34.4806_41.9148","Maplink3")</f>
        <v>Maplink3</v>
      </c>
    </row>
    <row r="142" customFormat="false" ht="15" hidden="false" customHeight="true" outlineLevel="0" collapsed="false">
      <c r="A142" s="15" t="n">
        <v>264</v>
      </c>
      <c r="B142" s="16" t="s">
        <v>15</v>
      </c>
      <c r="C142" s="16" t="s">
        <v>321</v>
      </c>
      <c r="D142" s="16" t="s">
        <v>323</v>
      </c>
      <c r="E142" s="17" t="s">
        <v>324</v>
      </c>
      <c r="F142" s="16" t="n">
        <v>34.463354</v>
      </c>
      <c r="G142" s="16" t="n">
        <v>41.914002</v>
      </c>
      <c r="H142" s="18" t="n">
        <v>117</v>
      </c>
      <c r="I142" s="18" t="n">
        <v>702</v>
      </c>
      <c r="J142" s="19" t="n">
        <v>117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 t="n">
        <v>78</v>
      </c>
      <c r="AD142" s="19"/>
      <c r="AE142" s="19"/>
      <c r="AF142" s="19"/>
      <c r="AG142" s="19" t="n">
        <v>2</v>
      </c>
      <c r="AH142" s="19" t="n">
        <v>37</v>
      </c>
      <c r="AI142" s="19"/>
      <c r="AJ142" s="19"/>
      <c r="AK142" s="19"/>
      <c r="AL142" s="19" t="n">
        <v>117</v>
      </c>
      <c r="AM142" s="19"/>
      <c r="AN142" s="19"/>
      <c r="AO142" s="19"/>
      <c r="AP142" s="19"/>
      <c r="AQ142" s="19"/>
      <c r="AR142" s="19"/>
      <c r="AS142" s="20" t="str">
        <f aca="false">HYPERLINK("http://www.openstreetmap.org/?mlat=34.4634&amp;mlon=41.914&amp;zoom=12#map=12/34.4634/41.914","Maplink1")</f>
        <v>Maplink1</v>
      </c>
      <c r="AT142" s="20" t="str">
        <f aca="false">HYPERLINK("https://www.google.iq/maps/search/+34.4634,41.914/@34.4634,41.914,14z?hl=en","Maplink2")</f>
        <v>Maplink2</v>
      </c>
      <c r="AU142" s="20" t="str">
        <f aca="false">HYPERLINK("http://www.bing.com/maps/?lvl=14&amp;sty=h&amp;cp=34.4634~41.914&amp;sp=point.34.4634_41.914","Maplink3")</f>
        <v>Maplink3</v>
      </c>
    </row>
    <row r="143" customFormat="false" ht="15" hidden="false" customHeight="true" outlineLevel="0" collapsed="false">
      <c r="A143" s="15" t="n">
        <v>23861</v>
      </c>
      <c r="B143" s="16" t="s">
        <v>15</v>
      </c>
      <c r="C143" s="16" t="s">
        <v>321</v>
      </c>
      <c r="D143" s="16" t="s">
        <v>325</v>
      </c>
      <c r="E143" s="17" t="s">
        <v>326</v>
      </c>
      <c r="F143" s="16" t="n">
        <v>34.486485</v>
      </c>
      <c r="G143" s="16" t="n">
        <v>41.879828</v>
      </c>
      <c r="H143" s="18" t="n">
        <v>114</v>
      </c>
      <c r="I143" s="18" t="n">
        <v>684</v>
      </c>
      <c r="J143" s="19" t="n">
        <v>114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 t="n">
        <v>68</v>
      </c>
      <c r="AD143" s="19"/>
      <c r="AE143" s="19"/>
      <c r="AF143" s="19"/>
      <c r="AG143" s="19"/>
      <c r="AH143" s="19" t="n">
        <v>44</v>
      </c>
      <c r="AI143" s="19" t="n">
        <v>2</v>
      </c>
      <c r="AJ143" s="19"/>
      <c r="AK143" s="19"/>
      <c r="AL143" s="19" t="n">
        <v>114</v>
      </c>
      <c r="AM143" s="19"/>
      <c r="AN143" s="19"/>
      <c r="AO143" s="19"/>
      <c r="AP143" s="19"/>
      <c r="AQ143" s="19"/>
      <c r="AR143" s="19"/>
      <c r="AS143" s="20" t="str">
        <f aca="false">HYPERLINK("http://www.openstreetmap.org/?mlat=34.4865&amp;mlon=41.8798&amp;zoom=12#map=12/34.4865/41.8798","Maplink1")</f>
        <v>Maplink1</v>
      </c>
      <c r="AT143" s="20" t="str">
        <f aca="false">HYPERLINK("https://www.google.iq/maps/search/+34.4865,41.8798/@34.4865,41.8798,14z?hl=en","Maplink2")</f>
        <v>Maplink2</v>
      </c>
      <c r="AU143" s="20" t="str">
        <f aca="false">HYPERLINK("http://www.bing.com/maps/?lvl=14&amp;sty=h&amp;cp=34.4865~41.8798&amp;sp=point.34.4865_41.8798","Maplink3")</f>
        <v>Maplink3</v>
      </c>
    </row>
    <row r="144" customFormat="false" ht="15" hidden="false" customHeight="true" outlineLevel="0" collapsed="false">
      <c r="A144" s="15" t="n">
        <v>267</v>
      </c>
      <c r="B144" s="16" t="s">
        <v>15</v>
      </c>
      <c r="C144" s="16" t="s">
        <v>321</v>
      </c>
      <c r="D144" s="16" t="s">
        <v>134</v>
      </c>
      <c r="E144" s="17" t="s">
        <v>135</v>
      </c>
      <c r="F144" s="16" t="n">
        <v>34.484053</v>
      </c>
      <c r="G144" s="16" t="n">
        <v>41.910807</v>
      </c>
      <c r="H144" s="18" t="n">
        <v>196</v>
      </c>
      <c r="I144" s="18" t="n">
        <v>1176</v>
      </c>
      <c r="J144" s="19" t="n">
        <v>196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 t="n">
        <v>64</v>
      </c>
      <c r="AD144" s="19"/>
      <c r="AE144" s="19" t="n">
        <v>39</v>
      </c>
      <c r="AF144" s="19"/>
      <c r="AG144" s="19"/>
      <c r="AH144" s="19" t="n">
        <v>76</v>
      </c>
      <c r="AI144" s="19" t="n">
        <v>17</v>
      </c>
      <c r="AJ144" s="19"/>
      <c r="AK144" s="19"/>
      <c r="AL144" s="19" t="n">
        <v>196</v>
      </c>
      <c r="AM144" s="19"/>
      <c r="AN144" s="19"/>
      <c r="AO144" s="19"/>
      <c r="AP144" s="19"/>
      <c r="AQ144" s="19"/>
      <c r="AR144" s="19"/>
      <c r="AS144" s="20" t="str">
        <f aca="false">HYPERLINK("http://www.openstreetmap.org/?mlat=34.4841&amp;mlon=41.9108&amp;zoom=12#map=12/34.4841/41.9108","Maplink1")</f>
        <v>Maplink1</v>
      </c>
      <c r="AT144" s="20" t="str">
        <f aca="false">HYPERLINK("https://www.google.iq/maps/search/+34.4841,41.9108/@34.4841,41.9108,14z?hl=en","Maplink2")</f>
        <v>Maplink2</v>
      </c>
      <c r="AU144" s="20" t="str">
        <f aca="false">HYPERLINK("http://www.bing.com/maps/?lvl=14&amp;sty=h&amp;cp=34.4841~41.9108&amp;sp=point.34.4841_41.9108","Maplink3")</f>
        <v>Maplink3</v>
      </c>
    </row>
    <row r="145" customFormat="false" ht="15" hidden="false" customHeight="true" outlineLevel="0" collapsed="false">
      <c r="A145" s="15" t="n">
        <v>23640</v>
      </c>
      <c r="B145" s="16" t="s">
        <v>15</v>
      </c>
      <c r="C145" s="16" t="s">
        <v>321</v>
      </c>
      <c r="D145" s="16" t="s">
        <v>136</v>
      </c>
      <c r="E145" s="17" t="s">
        <v>327</v>
      </c>
      <c r="F145" s="16" t="n">
        <v>34.490068</v>
      </c>
      <c r="G145" s="16" t="n">
        <v>41.906718</v>
      </c>
      <c r="H145" s="18" t="n">
        <v>121</v>
      </c>
      <c r="I145" s="18" t="n">
        <v>726</v>
      </c>
      <c r="J145" s="19" t="n">
        <v>121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 t="n">
        <v>50</v>
      </c>
      <c r="AD145" s="19"/>
      <c r="AE145" s="19"/>
      <c r="AF145" s="19"/>
      <c r="AG145" s="19"/>
      <c r="AH145" s="19" t="n">
        <v>44</v>
      </c>
      <c r="AI145" s="19" t="n">
        <v>15</v>
      </c>
      <c r="AJ145" s="19" t="n">
        <v>12</v>
      </c>
      <c r="AK145" s="19"/>
      <c r="AL145" s="19" t="n">
        <v>121</v>
      </c>
      <c r="AM145" s="19"/>
      <c r="AN145" s="19"/>
      <c r="AO145" s="19"/>
      <c r="AP145" s="19"/>
      <c r="AQ145" s="19"/>
      <c r="AR145" s="19"/>
      <c r="AS145" s="20" t="str">
        <f aca="false">HYPERLINK("http://www.openstreetmap.org/?mlat=34.4901&amp;mlon=41.9067&amp;zoom=12#map=12/34.4901/41.9067","Maplink1")</f>
        <v>Maplink1</v>
      </c>
      <c r="AT145" s="20" t="str">
        <f aca="false">HYPERLINK("https://www.google.iq/maps/search/+34.4901,41.9067/@34.4901,41.9067,14z?hl=en","Maplink2")</f>
        <v>Maplink2</v>
      </c>
      <c r="AU145" s="20" t="str">
        <f aca="false">HYPERLINK("http://www.bing.com/maps/?lvl=14&amp;sty=h&amp;cp=34.4901~41.9067&amp;sp=point.34.4901_41.9067","Maplink3")</f>
        <v>Maplink3</v>
      </c>
    </row>
    <row r="146" customFormat="false" ht="15" hidden="false" customHeight="true" outlineLevel="0" collapsed="false">
      <c r="A146" s="15" t="n">
        <v>262</v>
      </c>
      <c r="B146" s="16" t="s">
        <v>15</v>
      </c>
      <c r="C146" s="16" t="s">
        <v>321</v>
      </c>
      <c r="D146" s="16" t="s">
        <v>328</v>
      </c>
      <c r="E146" s="17" t="s">
        <v>329</v>
      </c>
      <c r="F146" s="16" t="n">
        <v>34.468632</v>
      </c>
      <c r="G146" s="16" t="n">
        <v>41.918468</v>
      </c>
      <c r="H146" s="18" t="n">
        <v>131</v>
      </c>
      <c r="I146" s="18" t="n">
        <v>786</v>
      </c>
      <c r="J146" s="19" t="n">
        <v>131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 t="n">
        <v>67</v>
      </c>
      <c r="AD146" s="19"/>
      <c r="AE146" s="19" t="n">
        <v>6</v>
      </c>
      <c r="AF146" s="19"/>
      <c r="AG146" s="19"/>
      <c r="AH146" s="19" t="n">
        <v>58</v>
      </c>
      <c r="AI146" s="19"/>
      <c r="AJ146" s="19"/>
      <c r="AK146" s="19"/>
      <c r="AL146" s="19" t="n">
        <v>124</v>
      </c>
      <c r="AM146" s="19"/>
      <c r="AN146" s="19"/>
      <c r="AO146" s="19" t="n">
        <v>7</v>
      </c>
      <c r="AP146" s="19"/>
      <c r="AQ146" s="19"/>
      <c r="AR146" s="19"/>
      <c r="AS146" s="20" t="str">
        <f aca="false">HYPERLINK("http://www.openstreetmap.org/?mlat=34.4686&amp;mlon=41.9185&amp;zoom=12#map=12/34.4686/41.9185","Maplink1")</f>
        <v>Maplink1</v>
      </c>
      <c r="AT146" s="20" t="str">
        <f aca="false">HYPERLINK("https://www.google.iq/maps/search/+34.4686,41.9185/@34.4686,41.9185,14z?hl=en","Maplink2")</f>
        <v>Maplink2</v>
      </c>
      <c r="AU146" s="20" t="str">
        <f aca="false">HYPERLINK("http://www.bing.com/maps/?lvl=14&amp;sty=h&amp;cp=34.4686~41.9185&amp;sp=point.34.4686_41.9185","Maplink3")</f>
        <v>Maplink3</v>
      </c>
    </row>
    <row r="147" customFormat="false" ht="15" hidden="false" customHeight="true" outlineLevel="0" collapsed="false">
      <c r="A147" s="15" t="n">
        <v>23860</v>
      </c>
      <c r="B147" s="16" t="s">
        <v>15</v>
      </c>
      <c r="C147" s="16" t="s">
        <v>321</v>
      </c>
      <c r="D147" s="16" t="s">
        <v>84</v>
      </c>
      <c r="E147" s="17" t="s">
        <v>85</v>
      </c>
      <c r="F147" s="16" t="n">
        <v>34.487735</v>
      </c>
      <c r="G147" s="16" t="n">
        <v>41.917477</v>
      </c>
      <c r="H147" s="18" t="n">
        <v>95</v>
      </c>
      <c r="I147" s="18" t="n">
        <v>570</v>
      </c>
      <c r="J147" s="19" t="n">
        <v>95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 t="n">
        <v>77</v>
      </c>
      <c r="AD147" s="19"/>
      <c r="AE147" s="19"/>
      <c r="AF147" s="19"/>
      <c r="AG147" s="19"/>
      <c r="AH147" s="19" t="n">
        <v>18</v>
      </c>
      <c r="AI147" s="19"/>
      <c r="AJ147" s="19"/>
      <c r="AK147" s="19"/>
      <c r="AL147" s="19" t="n">
        <v>95</v>
      </c>
      <c r="AM147" s="19"/>
      <c r="AN147" s="19"/>
      <c r="AO147" s="19"/>
      <c r="AP147" s="19"/>
      <c r="AQ147" s="19"/>
      <c r="AR147" s="19"/>
      <c r="AS147" s="20" t="str">
        <f aca="false">HYPERLINK("http://www.openstreetmap.org/?mlat=34.4877&amp;mlon=41.9175&amp;zoom=12#map=12/34.4877/41.9175","Maplink1")</f>
        <v>Maplink1</v>
      </c>
      <c r="AT147" s="20" t="str">
        <f aca="false">HYPERLINK("https://www.google.iq/maps/search/+34.4877,41.9175/@34.4877,41.9175,14z?hl=en","Maplink2")</f>
        <v>Maplink2</v>
      </c>
      <c r="AU147" s="20" t="str">
        <f aca="false">HYPERLINK("http://www.bing.com/maps/?lvl=14&amp;sty=h&amp;cp=34.4877~41.9175&amp;sp=point.34.4877_41.9175","Maplink3")</f>
        <v>Maplink3</v>
      </c>
    </row>
    <row r="148" customFormat="false" ht="15" hidden="false" customHeight="true" outlineLevel="0" collapsed="false">
      <c r="A148" s="15" t="n">
        <v>23859</v>
      </c>
      <c r="B148" s="16" t="s">
        <v>15</v>
      </c>
      <c r="C148" s="16" t="s">
        <v>321</v>
      </c>
      <c r="D148" s="16" t="s">
        <v>330</v>
      </c>
      <c r="E148" s="17" t="s">
        <v>331</v>
      </c>
      <c r="F148" s="16" t="n">
        <v>34.483769</v>
      </c>
      <c r="G148" s="16" t="n">
        <v>41.925285</v>
      </c>
      <c r="H148" s="18" t="n">
        <v>276</v>
      </c>
      <c r="I148" s="18" t="n">
        <v>1656</v>
      </c>
      <c r="J148" s="19" t="n">
        <v>276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 t="n">
        <v>121</v>
      </c>
      <c r="AD148" s="19"/>
      <c r="AE148" s="19" t="n">
        <v>10</v>
      </c>
      <c r="AF148" s="19"/>
      <c r="AG148" s="19"/>
      <c r="AH148" s="19" t="n">
        <v>113</v>
      </c>
      <c r="AI148" s="19" t="n">
        <v>17</v>
      </c>
      <c r="AJ148" s="19" t="n">
        <v>15</v>
      </c>
      <c r="AK148" s="19"/>
      <c r="AL148" s="19" t="n">
        <v>267</v>
      </c>
      <c r="AM148" s="19"/>
      <c r="AN148" s="19"/>
      <c r="AO148" s="19" t="n">
        <v>9</v>
      </c>
      <c r="AP148" s="19"/>
      <c r="AQ148" s="19"/>
      <c r="AR148" s="19"/>
      <c r="AS148" s="20" t="str">
        <f aca="false">HYPERLINK("http://www.openstreetmap.org/?mlat=34.4838&amp;mlon=41.9253&amp;zoom=12#map=12/34.4838/41.9253","Maplink1")</f>
        <v>Maplink1</v>
      </c>
      <c r="AT148" s="20" t="str">
        <f aca="false">HYPERLINK("https://www.google.iq/maps/search/+34.4838,41.9253/@34.4838,41.9253,14z?hl=en","Maplink2")</f>
        <v>Maplink2</v>
      </c>
      <c r="AU148" s="20" t="str">
        <f aca="false">HYPERLINK("http://www.bing.com/maps/?lvl=14&amp;sty=h&amp;cp=34.4838~41.9253&amp;sp=point.34.4838_41.9253","Maplink3")</f>
        <v>Maplink3</v>
      </c>
    </row>
    <row r="149" customFormat="false" ht="15" hidden="false" customHeight="true" outlineLevel="0" collapsed="false">
      <c r="A149" s="15" t="n">
        <v>265</v>
      </c>
      <c r="B149" s="16" t="s">
        <v>15</v>
      </c>
      <c r="C149" s="16" t="s">
        <v>321</v>
      </c>
      <c r="D149" s="16" t="s">
        <v>332</v>
      </c>
      <c r="E149" s="17" t="s">
        <v>333</v>
      </c>
      <c r="F149" s="16" t="n">
        <v>34.474779</v>
      </c>
      <c r="G149" s="16" t="n">
        <v>41.915935</v>
      </c>
      <c r="H149" s="18" t="n">
        <v>209</v>
      </c>
      <c r="I149" s="18" t="n">
        <v>1254</v>
      </c>
      <c r="J149" s="19" t="n">
        <v>209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 t="n">
        <v>98</v>
      </c>
      <c r="AD149" s="19"/>
      <c r="AE149" s="19" t="n">
        <v>21</v>
      </c>
      <c r="AF149" s="19"/>
      <c r="AG149" s="19" t="n">
        <v>4</v>
      </c>
      <c r="AH149" s="19" t="n">
        <v>86</v>
      </c>
      <c r="AI149" s="19"/>
      <c r="AJ149" s="19"/>
      <c r="AK149" s="19"/>
      <c r="AL149" s="19" t="n">
        <v>201</v>
      </c>
      <c r="AM149" s="19"/>
      <c r="AN149" s="19"/>
      <c r="AO149" s="19" t="n">
        <v>8</v>
      </c>
      <c r="AP149" s="19"/>
      <c r="AQ149" s="19"/>
      <c r="AR149" s="19"/>
      <c r="AS149" s="20" t="str">
        <f aca="false">HYPERLINK("http://www.openstreetmap.org/?mlat=34.4748&amp;mlon=41.9159&amp;zoom=12#map=12/34.4748/41.9159","Maplink1")</f>
        <v>Maplink1</v>
      </c>
      <c r="AT149" s="20" t="str">
        <f aca="false">HYPERLINK("https://www.google.iq/maps/search/+34.4748,41.9159/@34.4748,41.9159,14z?hl=en","Maplink2")</f>
        <v>Maplink2</v>
      </c>
      <c r="AU149" s="20" t="str">
        <f aca="false">HYPERLINK("http://www.bing.com/maps/?lvl=14&amp;sty=h&amp;cp=34.4748~41.9159&amp;sp=point.34.4748_41.9159","Maplink3")</f>
        <v>Maplink3</v>
      </c>
    </row>
    <row r="150" customFormat="false" ht="15" hidden="false" customHeight="true" outlineLevel="0" collapsed="false">
      <c r="A150" s="15" t="n">
        <v>23858</v>
      </c>
      <c r="B150" s="16" t="s">
        <v>15</v>
      </c>
      <c r="C150" s="16" t="s">
        <v>334</v>
      </c>
      <c r="D150" s="16" t="s">
        <v>335</v>
      </c>
      <c r="E150" s="17" t="s">
        <v>336</v>
      </c>
      <c r="F150" s="16" t="n">
        <v>33.387912</v>
      </c>
      <c r="G150" s="16" t="n">
        <v>43.532187</v>
      </c>
      <c r="H150" s="18" t="n">
        <v>394</v>
      </c>
      <c r="I150" s="18" t="n">
        <v>2364</v>
      </c>
      <c r="J150" s="19" t="n">
        <v>353</v>
      </c>
      <c r="K150" s="19" t="n">
        <v>22</v>
      </c>
      <c r="L150" s="19" t="n">
        <v>19</v>
      </c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 t="n">
        <v>300</v>
      </c>
      <c r="AD150" s="19"/>
      <c r="AE150" s="19" t="n">
        <v>8</v>
      </c>
      <c r="AF150" s="19"/>
      <c r="AG150" s="19"/>
      <c r="AH150" s="19" t="n">
        <v>12</v>
      </c>
      <c r="AI150" s="19"/>
      <c r="AJ150" s="19" t="n">
        <v>74</v>
      </c>
      <c r="AK150" s="19"/>
      <c r="AL150" s="19" t="n">
        <v>64</v>
      </c>
      <c r="AM150" s="19"/>
      <c r="AN150" s="19"/>
      <c r="AO150" s="19" t="n">
        <v>167</v>
      </c>
      <c r="AP150" s="19" t="n">
        <v>70</v>
      </c>
      <c r="AQ150" s="19" t="n">
        <v>93</v>
      </c>
      <c r="AR150" s="19"/>
      <c r="AS150" s="20" t="str">
        <f aca="false">HYPERLINK("http://www.openstreetmap.org/?mlat=33.3879&amp;mlon=43.5322&amp;zoom=12#map=12/33.3879/43.5322","Maplink1")</f>
        <v>Maplink1</v>
      </c>
      <c r="AT150" s="20" t="str">
        <f aca="false">HYPERLINK("https://www.google.iq/maps/search/+33.3879,43.5322/@33.3879,43.5322,14z?hl=en","Maplink2")</f>
        <v>Maplink2</v>
      </c>
      <c r="AU150" s="20" t="str">
        <f aca="false">HYPERLINK("http://www.bing.com/maps/?lvl=14&amp;sty=h&amp;cp=33.3879~43.5322&amp;sp=point.33.3879_43.5322","Maplink3")</f>
        <v>Maplink3</v>
      </c>
    </row>
    <row r="151" customFormat="false" ht="15" hidden="false" customHeight="true" outlineLevel="0" collapsed="false">
      <c r="A151" s="15" t="n">
        <v>29479</v>
      </c>
      <c r="B151" s="16" t="s">
        <v>15</v>
      </c>
      <c r="C151" s="16" t="s">
        <v>334</v>
      </c>
      <c r="D151" s="16" t="s">
        <v>263</v>
      </c>
      <c r="E151" s="17" t="s">
        <v>264</v>
      </c>
      <c r="F151" s="16" t="n">
        <v>33.491343</v>
      </c>
      <c r="G151" s="16" t="n">
        <v>43.133495</v>
      </c>
      <c r="H151" s="18" t="n">
        <v>90</v>
      </c>
      <c r="I151" s="18" t="n">
        <v>540</v>
      </c>
      <c r="J151" s="19" t="n">
        <v>90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 t="n">
        <v>90</v>
      </c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 t="n">
        <v>90</v>
      </c>
      <c r="AR151" s="19"/>
      <c r="AS151" s="20" t="str">
        <f aca="false">HYPERLINK("http://www.openstreetmap.org/?mlat=33.4913&amp;mlon=43.1335&amp;zoom=12#map=12/33.4913/43.1335","Maplink1")</f>
        <v>Maplink1</v>
      </c>
      <c r="AT151" s="20" t="str">
        <f aca="false">HYPERLINK("https://www.google.iq/maps/search/+33.4913,43.1335/@33.4913,43.1335,14z?hl=en","Maplink2")</f>
        <v>Maplink2</v>
      </c>
      <c r="AU151" s="20" t="str">
        <f aca="false">HYPERLINK("http://www.bing.com/maps/?lvl=14&amp;sty=h&amp;cp=33.4913~43.1335&amp;sp=point.33.4913_43.1335","Maplink3")</f>
        <v>Maplink3</v>
      </c>
    </row>
    <row r="152" customFormat="false" ht="15" hidden="false" customHeight="true" outlineLevel="0" collapsed="false">
      <c r="A152" s="15" t="n">
        <v>24730</v>
      </c>
      <c r="B152" s="16" t="s">
        <v>15</v>
      </c>
      <c r="C152" s="16" t="s">
        <v>334</v>
      </c>
      <c r="D152" s="16" t="s">
        <v>337</v>
      </c>
      <c r="E152" s="17" t="s">
        <v>338</v>
      </c>
      <c r="F152" s="16" t="n">
        <v>33.378565</v>
      </c>
      <c r="G152" s="16" t="n">
        <v>43.532009</v>
      </c>
      <c r="H152" s="18" t="n">
        <v>354</v>
      </c>
      <c r="I152" s="18" t="n">
        <v>2124</v>
      </c>
      <c r="J152" s="19" t="n">
        <v>345</v>
      </c>
      <c r="K152" s="19" t="n">
        <v>4</v>
      </c>
      <c r="L152" s="19" t="n">
        <v>5</v>
      </c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 t="n">
        <v>311</v>
      </c>
      <c r="AD152" s="19"/>
      <c r="AE152" s="19" t="n">
        <v>10</v>
      </c>
      <c r="AF152" s="19"/>
      <c r="AG152" s="19"/>
      <c r="AH152" s="19"/>
      <c r="AI152" s="19" t="n">
        <v>18</v>
      </c>
      <c r="AJ152" s="19" t="n">
        <v>15</v>
      </c>
      <c r="AK152" s="19"/>
      <c r="AL152" s="19"/>
      <c r="AM152" s="19"/>
      <c r="AN152" s="19"/>
      <c r="AO152" s="19" t="n">
        <v>163</v>
      </c>
      <c r="AP152" s="19" t="n">
        <v>43</v>
      </c>
      <c r="AQ152" s="19" t="n">
        <v>148</v>
      </c>
      <c r="AR152" s="19"/>
      <c r="AS152" s="20" t="str">
        <f aca="false">HYPERLINK("http://www.openstreetmap.org/?mlat=33.3786&amp;mlon=43.532&amp;zoom=12#map=12/33.3786/43.532","Maplink1")</f>
        <v>Maplink1</v>
      </c>
      <c r="AT152" s="20" t="str">
        <f aca="false">HYPERLINK("https://www.google.iq/maps/search/+33.3786,43.532/@33.3786,43.532,14z?hl=en","Maplink2")</f>
        <v>Maplink2</v>
      </c>
      <c r="AU152" s="20" t="str">
        <f aca="false">HYPERLINK("http://www.bing.com/maps/?lvl=14&amp;sty=h&amp;cp=33.3786~43.532&amp;sp=point.33.3786_43.532","Maplink3")</f>
        <v>Maplink3</v>
      </c>
    </row>
    <row r="153" customFormat="false" ht="15" hidden="false" customHeight="true" outlineLevel="0" collapsed="false">
      <c r="A153" s="15" t="n">
        <v>24729</v>
      </c>
      <c r="B153" s="16" t="s">
        <v>15</v>
      </c>
      <c r="C153" s="16" t="s">
        <v>334</v>
      </c>
      <c r="D153" s="16" t="s">
        <v>339</v>
      </c>
      <c r="E153" s="17" t="s">
        <v>340</v>
      </c>
      <c r="F153" s="16" t="n">
        <v>33.383673</v>
      </c>
      <c r="G153" s="16" t="n">
        <v>43.526364</v>
      </c>
      <c r="H153" s="18" t="n">
        <v>119</v>
      </c>
      <c r="I153" s="18" t="n">
        <v>714</v>
      </c>
      <c r="J153" s="19" t="n">
        <v>119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 t="n">
        <v>109</v>
      </c>
      <c r="AD153" s="19"/>
      <c r="AE153" s="19"/>
      <c r="AF153" s="19"/>
      <c r="AG153" s="19"/>
      <c r="AH153" s="19"/>
      <c r="AI153" s="19" t="n">
        <v>10</v>
      </c>
      <c r="AJ153" s="19"/>
      <c r="AK153" s="19"/>
      <c r="AL153" s="19"/>
      <c r="AM153" s="19"/>
      <c r="AN153" s="19"/>
      <c r="AO153" s="19" t="n">
        <v>19</v>
      </c>
      <c r="AP153" s="19" t="n">
        <v>100</v>
      </c>
      <c r="AQ153" s="19"/>
      <c r="AR153" s="19"/>
      <c r="AS153" s="20" t="str">
        <f aca="false">HYPERLINK("http://www.openstreetmap.org/?mlat=33.3837&amp;mlon=43.5264&amp;zoom=12#map=12/33.3837/43.5264","Maplink1")</f>
        <v>Maplink1</v>
      </c>
      <c r="AT153" s="20" t="str">
        <f aca="false">HYPERLINK("https://www.google.iq/maps/search/+33.3837,43.5264/@33.3837,43.5264,14z?hl=en","Maplink2")</f>
        <v>Maplink2</v>
      </c>
      <c r="AU153" s="20" t="str">
        <f aca="false">HYPERLINK("http://www.bing.com/maps/?lvl=14&amp;sty=h&amp;cp=33.3837~43.5264&amp;sp=point.33.3837_43.5264","Maplink3")</f>
        <v>Maplink3</v>
      </c>
    </row>
    <row r="154" customFormat="false" ht="15" hidden="false" customHeight="true" outlineLevel="0" collapsed="false">
      <c r="A154" s="15" t="n">
        <v>23891</v>
      </c>
      <c r="B154" s="16" t="s">
        <v>15</v>
      </c>
      <c r="C154" s="16" t="s">
        <v>334</v>
      </c>
      <c r="D154" s="16" t="s">
        <v>341</v>
      </c>
      <c r="E154" s="17" t="s">
        <v>342</v>
      </c>
      <c r="F154" s="16" t="n">
        <v>33.374498</v>
      </c>
      <c r="G154" s="16" t="n">
        <v>42.847052</v>
      </c>
      <c r="H154" s="18" t="n">
        <v>30</v>
      </c>
      <c r="I154" s="18" t="n">
        <v>180</v>
      </c>
      <c r="J154" s="19" t="n">
        <v>30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 t="n">
        <v>15</v>
      </c>
      <c r="AD154" s="19"/>
      <c r="AE154" s="19"/>
      <c r="AF154" s="19"/>
      <c r="AG154" s="19"/>
      <c r="AH154" s="19" t="n">
        <v>7</v>
      </c>
      <c r="AI154" s="19"/>
      <c r="AJ154" s="19" t="n">
        <v>8</v>
      </c>
      <c r="AK154" s="19"/>
      <c r="AL154" s="19"/>
      <c r="AM154" s="19"/>
      <c r="AN154" s="19"/>
      <c r="AO154" s="19" t="n">
        <v>30</v>
      </c>
      <c r="AP154" s="19"/>
      <c r="AQ154" s="19"/>
      <c r="AR154" s="19"/>
      <c r="AS154" s="20" t="str">
        <f aca="false">HYPERLINK("http://www.openstreetmap.org/?mlat=33.3745&amp;mlon=42.8471&amp;zoom=12#map=12/33.3745/42.8471","Maplink1")</f>
        <v>Maplink1</v>
      </c>
      <c r="AT154" s="20" t="str">
        <f aca="false">HYPERLINK("https://www.google.iq/maps/search/+33.3745,42.8471/@33.3745,42.8471,14z?hl=en","Maplink2")</f>
        <v>Maplink2</v>
      </c>
      <c r="AU154" s="20" t="str">
        <f aca="false">HYPERLINK("http://www.bing.com/maps/?lvl=14&amp;sty=h&amp;cp=33.3745~42.8471&amp;sp=point.33.3745_42.8471","Maplink3")</f>
        <v>Maplink3</v>
      </c>
    </row>
    <row r="155" customFormat="false" ht="15" hidden="false" customHeight="true" outlineLevel="0" collapsed="false">
      <c r="A155" s="15" t="n">
        <v>29480</v>
      </c>
      <c r="B155" s="16" t="s">
        <v>15</v>
      </c>
      <c r="C155" s="16" t="s">
        <v>334</v>
      </c>
      <c r="D155" s="16" t="s">
        <v>343</v>
      </c>
      <c r="E155" s="17" t="s">
        <v>344</v>
      </c>
      <c r="F155" s="16" t="n">
        <v>33.34996459</v>
      </c>
      <c r="G155" s="16" t="n">
        <v>43.54961769</v>
      </c>
      <c r="H155" s="18" t="n">
        <v>1595</v>
      </c>
      <c r="I155" s="18" t="n">
        <v>9570</v>
      </c>
      <c r="J155" s="19" t="n">
        <v>1595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 t="n">
        <v>1595</v>
      </c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 t="n">
        <v>1595</v>
      </c>
      <c r="AR155" s="19"/>
      <c r="AS155" s="20" t="str">
        <f aca="false">HYPERLINK("http://www.openstreetmap.org/?mlat=33.35&amp;mlon=43.5496&amp;zoom=12#map=12/33.35/43.5496","Maplink1")</f>
        <v>Maplink1</v>
      </c>
      <c r="AT155" s="20" t="str">
        <f aca="false">HYPERLINK("https://www.google.iq/maps/search/+33.35,43.5496/@33.35,43.5496,14z?hl=en","Maplink2")</f>
        <v>Maplink2</v>
      </c>
      <c r="AU155" s="20" t="str">
        <f aca="false">HYPERLINK("http://www.bing.com/maps/?lvl=14&amp;sty=h&amp;cp=33.35~43.5496&amp;sp=point.33.35_43.5496","Maplink3")</f>
        <v>Maplink3</v>
      </c>
    </row>
    <row r="156" customFormat="false" ht="15" hidden="false" customHeight="true" outlineLevel="0" collapsed="false">
      <c r="A156" s="15" t="n">
        <v>23854</v>
      </c>
      <c r="B156" s="16" t="s">
        <v>15</v>
      </c>
      <c r="C156" s="16" t="s">
        <v>334</v>
      </c>
      <c r="D156" s="16" t="s">
        <v>345</v>
      </c>
      <c r="E156" s="17" t="s">
        <v>346</v>
      </c>
      <c r="F156" s="16" t="n">
        <v>33.383175</v>
      </c>
      <c r="G156" s="16" t="n">
        <v>43.585312</v>
      </c>
      <c r="H156" s="18" t="n">
        <v>112</v>
      </c>
      <c r="I156" s="18" t="n">
        <v>672</v>
      </c>
      <c r="J156" s="19" t="n">
        <v>112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 t="n">
        <v>112</v>
      </c>
      <c r="AK156" s="19"/>
      <c r="AL156" s="19" t="n">
        <v>100</v>
      </c>
      <c r="AM156" s="19"/>
      <c r="AN156" s="19"/>
      <c r="AO156" s="19" t="n">
        <v>12</v>
      </c>
      <c r="AP156" s="19"/>
      <c r="AQ156" s="19"/>
      <c r="AR156" s="19"/>
      <c r="AS156" s="20" t="str">
        <f aca="false">HYPERLINK("http://www.openstreetmap.org/?mlat=33.3832&amp;mlon=43.5853&amp;zoom=12#map=12/33.3832/43.5853","Maplink1")</f>
        <v>Maplink1</v>
      </c>
      <c r="AT156" s="20" t="str">
        <f aca="false">HYPERLINK("https://www.google.iq/maps/search/+33.3832,43.5853/@33.3832,43.5853,14z?hl=en","Maplink2")</f>
        <v>Maplink2</v>
      </c>
      <c r="AU156" s="20" t="str">
        <f aca="false">HYPERLINK("http://www.bing.com/maps/?lvl=14&amp;sty=h&amp;cp=33.3832~43.5853&amp;sp=point.33.3832_43.5853","Maplink3")</f>
        <v>Maplink3</v>
      </c>
    </row>
    <row r="157" customFormat="false" ht="15" hidden="false" customHeight="true" outlineLevel="0" collapsed="false">
      <c r="A157" s="15" t="n">
        <v>23857</v>
      </c>
      <c r="B157" s="16" t="s">
        <v>15</v>
      </c>
      <c r="C157" s="16" t="s">
        <v>334</v>
      </c>
      <c r="D157" s="16" t="s">
        <v>347</v>
      </c>
      <c r="E157" s="17" t="s">
        <v>348</v>
      </c>
      <c r="F157" s="16" t="n">
        <v>33.392502</v>
      </c>
      <c r="G157" s="16" t="n">
        <v>43.497919</v>
      </c>
      <c r="H157" s="18" t="n">
        <v>156</v>
      </c>
      <c r="I157" s="18" t="n">
        <v>936</v>
      </c>
      <c r="J157" s="19" t="n">
        <v>121</v>
      </c>
      <c r="K157" s="19" t="n">
        <v>35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 t="n">
        <v>116</v>
      </c>
      <c r="AD157" s="19"/>
      <c r="AE157" s="19" t="n">
        <v>19</v>
      </c>
      <c r="AF157" s="19"/>
      <c r="AG157" s="19"/>
      <c r="AH157" s="19"/>
      <c r="AI157" s="19"/>
      <c r="AJ157" s="19" t="n">
        <v>21</v>
      </c>
      <c r="AK157" s="19"/>
      <c r="AL157" s="19" t="n">
        <v>60</v>
      </c>
      <c r="AM157" s="19"/>
      <c r="AN157" s="19"/>
      <c r="AO157" s="19" t="n">
        <v>58</v>
      </c>
      <c r="AP157" s="19" t="n">
        <v>38</v>
      </c>
      <c r="AQ157" s="19"/>
      <c r="AR157" s="19"/>
      <c r="AS157" s="20" t="str">
        <f aca="false">HYPERLINK("http://www.openstreetmap.org/?mlat=33.3925&amp;mlon=43.4979&amp;zoom=12#map=12/33.3925/43.4979","Maplink1")</f>
        <v>Maplink1</v>
      </c>
      <c r="AT157" s="20" t="str">
        <f aca="false">HYPERLINK("https://www.google.iq/maps/search/+33.3925,43.4979/@33.3925,43.4979,14z?hl=en","Maplink2")</f>
        <v>Maplink2</v>
      </c>
      <c r="AU157" s="20" t="str">
        <f aca="false">HYPERLINK("http://www.bing.com/maps/?lvl=14&amp;sty=h&amp;cp=33.3925~43.4979&amp;sp=point.33.3925_43.4979","Maplink3")</f>
        <v>Maplink3</v>
      </c>
    </row>
    <row r="158" customFormat="false" ht="15" hidden="false" customHeight="true" outlineLevel="0" collapsed="false">
      <c r="A158" s="15" t="n">
        <v>206</v>
      </c>
      <c r="B158" s="16" t="s">
        <v>15</v>
      </c>
      <c r="C158" s="16" t="s">
        <v>334</v>
      </c>
      <c r="D158" s="16" t="s">
        <v>349</v>
      </c>
      <c r="E158" s="17" t="s">
        <v>85</v>
      </c>
      <c r="F158" s="16" t="n">
        <v>33.386231</v>
      </c>
      <c r="G158" s="16" t="n">
        <v>43.524839</v>
      </c>
      <c r="H158" s="18" t="n">
        <v>57</v>
      </c>
      <c r="I158" s="18" t="n">
        <v>342</v>
      </c>
      <c r="J158" s="19" t="n">
        <v>57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 t="n">
        <v>18</v>
      </c>
      <c r="AF158" s="19"/>
      <c r="AG158" s="19"/>
      <c r="AH158" s="19"/>
      <c r="AI158" s="19"/>
      <c r="AJ158" s="19" t="n">
        <v>39</v>
      </c>
      <c r="AK158" s="19"/>
      <c r="AL158" s="19" t="n">
        <v>6</v>
      </c>
      <c r="AM158" s="19"/>
      <c r="AN158" s="19"/>
      <c r="AO158" s="19" t="n">
        <v>43</v>
      </c>
      <c r="AP158" s="19" t="n">
        <v>8</v>
      </c>
      <c r="AQ158" s="19"/>
      <c r="AR158" s="19"/>
      <c r="AS158" s="20" t="str">
        <f aca="false">HYPERLINK("http://www.openstreetmap.org/?mlat=33.3862&amp;mlon=43.5248&amp;zoom=12#map=12/33.3862/43.5248","Maplink1")</f>
        <v>Maplink1</v>
      </c>
      <c r="AT158" s="20" t="str">
        <f aca="false">HYPERLINK("https://www.google.iq/maps/search/+33.3862,43.5248/@33.3862,43.5248,14z?hl=en","Maplink2")</f>
        <v>Maplink2</v>
      </c>
      <c r="AU158" s="20" t="str">
        <f aca="false">HYPERLINK("http://www.bing.com/maps/?lvl=14&amp;sty=h&amp;cp=33.3862~43.5248&amp;sp=point.33.3862_43.5248","Maplink3")</f>
        <v>Maplink3</v>
      </c>
    </row>
    <row r="159" customFormat="false" ht="15" hidden="false" customHeight="true" outlineLevel="0" collapsed="false">
      <c r="A159" s="15" t="n">
        <v>23887</v>
      </c>
      <c r="B159" s="16" t="s">
        <v>15</v>
      </c>
      <c r="C159" s="16" t="s">
        <v>334</v>
      </c>
      <c r="D159" s="16" t="s">
        <v>350</v>
      </c>
      <c r="E159" s="17" t="s">
        <v>351</v>
      </c>
      <c r="F159" s="16" t="n">
        <v>33.385134</v>
      </c>
      <c r="G159" s="16" t="n">
        <v>43.520748</v>
      </c>
      <c r="H159" s="18" t="n">
        <v>200</v>
      </c>
      <c r="I159" s="18" t="n">
        <v>1200</v>
      </c>
      <c r="J159" s="19" t="n">
        <v>165</v>
      </c>
      <c r="K159" s="19" t="n">
        <v>35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 t="n">
        <v>200</v>
      </c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 t="n">
        <v>159</v>
      </c>
      <c r="AP159" s="19" t="n">
        <v>41</v>
      </c>
      <c r="AQ159" s="19"/>
      <c r="AR159" s="19"/>
      <c r="AS159" s="20" t="str">
        <f aca="false">HYPERLINK("http://www.openstreetmap.org/?mlat=33.3851&amp;mlon=43.5207&amp;zoom=12#map=12/33.3851/43.5207","Maplink1")</f>
        <v>Maplink1</v>
      </c>
      <c r="AT159" s="20" t="str">
        <f aca="false">HYPERLINK("https://www.google.iq/maps/search/+33.3851,43.5207/@33.3851,43.5207,14z?hl=en","Maplink2")</f>
        <v>Maplink2</v>
      </c>
      <c r="AU159" s="20" t="str">
        <f aca="false">HYPERLINK("http://www.bing.com/maps/?lvl=14&amp;sty=h&amp;cp=33.3851~43.5207&amp;sp=point.33.3851_43.5207","Maplink3")</f>
        <v>Maplink3</v>
      </c>
    </row>
    <row r="160" customFormat="false" ht="15" hidden="false" customHeight="true" outlineLevel="0" collapsed="false">
      <c r="A160" s="15" t="n">
        <v>23853</v>
      </c>
      <c r="B160" s="16" t="s">
        <v>15</v>
      </c>
      <c r="C160" s="16" t="s">
        <v>334</v>
      </c>
      <c r="D160" s="16" t="s">
        <v>352</v>
      </c>
      <c r="E160" s="17" t="s">
        <v>353</v>
      </c>
      <c r="F160" s="16" t="n">
        <v>33.377589</v>
      </c>
      <c r="G160" s="16" t="n">
        <v>43.570919</v>
      </c>
      <c r="H160" s="18" t="n">
        <v>132</v>
      </c>
      <c r="I160" s="18" t="n">
        <v>792</v>
      </c>
      <c r="J160" s="19" t="n">
        <v>132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 t="n">
        <v>12</v>
      </c>
      <c r="AF160" s="19"/>
      <c r="AG160" s="19"/>
      <c r="AH160" s="19" t="n">
        <v>20</v>
      </c>
      <c r="AI160" s="19" t="n">
        <v>76</v>
      </c>
      <c r="AJ160" s="19" t="n">
        <v>24</v>
      </c>
      <c r="AK160" s="19"/>
      <c r="AL160" s="19" t="n">
        <v>96</v>
      </c>
      <c r="AM160" s="19"/>
      <c r="AN160" s="19"/>
      <c r="AO160" s="19" t="n">
        <v>12</v>
      </c>
      <c r="AP160" s="19" t="n">
        <v>24</v>
      </c>
      <c r="AQ160" s="19"/>
      <c r="AR160" s="19"/>
      <c r="AS160" s="20" t="str">
        <f aca="false">HYPERLINK("http://www.openstreetmap.org/?mlat=33.3776&amp;mlon=43.5709&amp;zoom=12#map=12/33.3776/43.5709","Maplink1")</f>
        <v>Maplink1</v>
      </c>
      <c r="AT160" s="20" t="str">
        <f aca="false">HYPERLINK("https://www.google.iq/maps/search/+33.3776,43.5709/@33.3776,43.5709,14z?hl=en","Maplink2")</f>
        <v>Maplink2</v>
      </c>
      <c r="AU160" s="20" t="str">
        <f aca="false">HYPERLINK("http://www.bing.com/maps/?lvl=14&amp;sty=h&amp;cp=33.3776~43.5709&amp;sp=point.33.3776_43.5709","Maplink3")</f>
        <v>Maplink3</v>
      </c>
    </row>
    <row r="161" customFormat="false" ht="15" hidden="false" customHeight="true" outlineLevel="0" collapsed="false">
      <c r="A161" s="15" t="n">
        <v>21409</v>
      </c>
      <c r="B161" s="16" t="s">
        <v>15</v>
      </c>
      <c r="C161" s="16" t="s">
        <v>334</v>
      </c>
      <c r="D161" s="16" t="s">
        <v>96</v>
      </c>
      <c r="E161" s="17" t="s">
        <v>354</v>
      </c>
      <c r="F161" s="16" t="n">
        <v>33.374562</v>
      </c>
      <c r="G161" s="16" t="n">
        <v>43.535583</v>
      </c>
      <c r="H161" s="18" t="n">
        <v>52</v>
      </c>
      <c r="I161" s="18" t="n">
        <v>312</v>
      </c>
      <c r="J161" s="19" t="n">
        <v>52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 t="n">
        <v>52</v>
      </c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 t="n">
        <v>52</v>
      </c>
      <c r="AP161" s="19"/>
      <c r="AQ161" s="19"/>
      <c r="AR161" s="19"/>
      <c r="AS161" s="20" t="str">
        <f aca="false">HYPERLINK("http://www.openstreetmap.org/?mlat=33.3746&amp;mlon=43.5356&amp;zoom=12#map=12/33.3746/43.5356","Maplink1")</f>
        <v>Maplink1</v>
      </c>
      <c r="AT161" s="20" t="str">
        <f aca="false">HYPERLINK("https://www.google.iq/maps/search/+33.3746,43.5356/@33.3746,43.5356,14z?hl=en","Maplink2")</f>
        <v>Maplink2</v>
      </c>
      <c r="AU161" s="20" t="str">
        <f aca="false">HYPERLINK("http://www.bing.com/maps/?lvl=14&amp;sty=h&amp;cp=33.3746~43.5356&amp;sp=point.33.3746_43.5356","Maplink3")</f>
        <v>Maplink3</v>
      </c>
    </row>
    <row r="162" customFormat="false" ht="15" hidden="false" customHeight="true" outlineLevel="0" collapsed="false">
      <c r="A162" s="15" t="n">
        <v>23855</v>
      </c>
      <c r="B162" s="16" t="s">
        <v>15</v>
      </c>
      <c r="C162" s="16" t="s">
        <v>334</v>
      </c>
      <c r="D162" s="16" t="s">
        <v>355</v>
      </c>
      <c r="E162" s="17" t="s">
        <v>356</v>
      </c>
      <c r="F162" s="16" t="n">
        <v>33.39182</v>
      </c>
      <c r="G162" s="16" t="n">
        <v>43.517092</v>
      </c>
      <c r="H162" s="18" t="n">
        <v>208</v>
      </c>
      <c r="I162" s="18" t="n">
        <v>1248</v>
      </c>
      <c r="J162" s="19" t="n">
        <v>208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 t="n">
        <v>208</v>
      </c>
      <c r="AD162" s="19"/>
      <c r="AE162" s="19"/>
      <c r="AF162" s="19"/>
      <c r="AG162" s="19"/>
      <c r="AH162" s="19"/>
      <c r="AI162" s="19"/>
      <c r="AJ162" s="19"/>
      <c r="AK162" s="19"/>
      <c r="AL162" s="19" t="n">
        <v>67</v>
      </c>
      <c r="AM162" s="19"/>
      <c r="AN162" s="19"/>
      <c r="AO162" s="19" t="n">
        <v>18</v>
      </c>
      <c r="AP162" s="19" t="n">
        <v>123</v>
      </c>
      <c r="AQ162" s="19"/>
      <c r="AR162" s="19"/>
      <c r="AS162" s="20" t="str">
        <f aca="false">HYPERLINK("http://www.openstreetmap.org/?mlat=33.3918&amp;mlon=43.5171&amp;zoom=12#map=12/33.3918/43.5171","Maplink1")</f>
        <v>Maplink1</v>
      </c>
      <c r="AT162" s="20" t="str">
        <f aca="false">HYPERLINK("https://www.google.iq/maps/search/+33.3918,43.5171/@33.3918,43.5171,14z?hl=en","Maplink2")</f>
        <v>Maplink2</v>
      </c>
      <c r="AU162" s="20" t="str">
        <f aca="false">HYPERLINK("http://www.bing.com/maps/?lvl=14&amp;sty=h&amp;cp=33.3918~43.5171&amp;sp=point.33.3918_43.5171","Maplink3")</f>
        <v>Maplink3</v>
      </c>
    </row>
    <row r="163" customFormat="false" ht="15" hidden="false" customHeight="true" outlineLevel="0" collapsed="false">
      <c r="A163" s="15" t="n">
        <v>113</v>
      </c>
      <c r="B163" s="16" t="s">
        <v>15</v>
      </c>
      <c r="C163" s="16" t="s">
        <v>334</v>
      </c>
      <c r="D163" s="16" t="s">
        <v>357</v>
      </c>
      <c r="E163" s="17" t="s">
        <v>358</v>
      </c>
      <c r="F163" s="16" t="n">
        <v>33.409582</v>
      </c>
      <c r="G163" s="16" t="n">
        <v>43.445441</v>
      </c>
      <c r="H163" s="18" t="n">
        <v>65</v>
      </c>
      <c r="I163" s="18" t="n">
        <v>390</v>
      </c>
      <c r="J163" s="19" t="n">
        <v>65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 t="n">
        <v>65</v>
      </c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 t="n">
        <v>65</v>
      </c>
      <c r="AR163" s="19"/>
      <c r="AS163" s="20" t="str">
        <f aca="false">HYPERLINK("http://www.openstreetmap.org/?mlat=33.4096&amp;mlon=43.4454&amp;zoom=12#map=12/33.4096/43.4454","Maplink1")</f>
        <v>Maplink1</v>
      </c>
      <c r="AT163" s="20" t="str">
        <f aca="false">HYPERLINK("https://www.google.iq/maps/search/+33.4096,43.4454/@33.4096,43.4454,14z?hl=en","Maplink2")</f>
        <v>Maplink2</v>
      </c>
      <c r="AU163" s="20" t="str">
        <f aca="false">HYPERLINK("http://www.bing.com/maps/?lvl=14&amp;sty=h&amp;cp=33.4096~43.4454&amp;sp=point.33.4096_43.4454","Maplink3")</f>
        <v>Maplink3</v>
      </c>
    </row>
    <row r="164" customFormat="false" ht="15" hidden="false" customHeight="true" outlineLevel="0" collapsed="false">
      <c r="A164" s="15" t="n">
        <v>28472</v>
      </c>
      <c r="B164" s="16" t="s">
        <v>15</v>
      </c>
      <c r="C164" s="16" t="s">
        <v>334</v>
      </c>
      <c r="D164" s="16" t="s">
        <v>359</v>
      </c>
      <c r="E164" s="17" t="s">
        <v>360</v>
      </c>
      <c r="F164" s="16" t="n">
        <v>33.40059946</v>
      </c>
      <c r="G164" s="16" t="n">
        <v>43.13493054</v>
      </c>
      <c r="H164" s="18" t="n">
        <v>1618</v>
      </c>
      <c r="I164" s="18" t="n">
        <v>9708</v>
      </c>
      <c r="J164" s="19" t="n">
        <v>1448</v>
      </c>
      <c r="K164" s="19"/>
      <c r="L164" s="19"/>
      <c r="M164" s="19"/>
      <c r="N164" s="19"/>
      <c r="O164" s="19"/>
      <c r="P164" s="19"/>
      <c r="Q164" s="19"/>
      <c r="R164" s="19" t="n">
        <v>27</v>
      </c>
      <c r="S164" s="19"/>
      <c r="T164" s="19"/>
      <c r="U164" s="19"/>
      <c r="V164" s="19" t="n">
        <v>20</v>
      </c>
      <c r="W164" s="19"/>
      <c r="X164" s="19" t="n">
        <v>123</v>
      </c>
      <c r="Y164" s="19"/>
      <c r="Z164" s="19"/>
      <c r="AA164" s="19"/>
      <c r="AB164" s="19" t="n">
        <v>1618</v>
      </c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 t="n">
        <v>1050</v>
      </c>
      <c r="AR164" s="19" t="n">
        <v>568</v>
      </c>
      <c r="AS164" s="20" t="str">
        <f aca="false">HYPERLINK("http://www.openstreetmap.org/?mlat=33.4006&amp;mlon=43.1349&amp;zoom=12#map=12/33.4006/43.1349","Maplink1")</f>
        <v>Maplink1</v>
      </c>
      <c r="AT164" s="20" t="str">
        <f aca="false">HYPERLINK("https://www.google.iq/maps/search/+33.4006,43.1349/@33.4006,43.1349,14z?hl=en","Maplink2")</f>
        <v>Maplink2</v>
      </c>
      <c r="AU164" s="20" t="str">
        <f aca="false">HYPERLINK("http://www.bing.com/maps/?lvl=14&amp;sty=h&amp;cp=33.4006~43.1349&amp;sp=point.33.4006_43.1349","Maplink3")</f>
        <v>Maplink3</v>
      </c>
    </row>
    <row r="165" customFormat="false" ht="15" hidden="false" customHeight="true" outlineLevel="0" collapsed="false">
      <c r="A165" s="15" t="n">
        <v>29478</v>
      </c>
      <c r="B165" s="16" t="s">
        <v>15</v>
      </c>
      <c r="C165" s="16" t="s">
        <v>334</v>
      </c>
      <c r="D165" s="16" t="s">
        <v>361</v>
      </c>
      <c r="E165" s="17" t="s">
        <v>362</v>
      </c>
      <c r="F165" s="16" t="n">
        <v>33.340912</v>
      </c>
      <c r="G165" s="16" t="n">
        <v>42.785191</v>
      </c>
      <c r="H165" s="18" t="n">
        <v>58</v>
      </c>
      <c r="I165" s="18" t="n">
        <v>348</v>
      </c>
      <c r="J165" s="19" t="n">
        <v>58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 t="n">
        <v>58</v>
      </c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 t="n">
        <v>58</v>
      </c>
      <c r="AR165" s="19"/>
      <c r="AS165" s="20" t="str">
        <f aca="false">HYPERLINK("http://www.openstreetmap.org/?mlat=33.3409&amp;mlon=42.7852&amp;zoom=12#map=12/33.3409/42.7852","Maplink1")</f>
        <v>Maplink1</v>
      </c>
      <c r="AT165" s="20" t="str">
        <f aca="false">HYPERLINK("https://www.google.iq/maps/search/+33.3409,42.7852/@33.3409,42.7852,14z?hl=en","Maplink2")</f>
        <v>Maplink2</v>
      </c>
      <c r="AU165" s="20" t="str">
        <f aca="false">HYPERLINK("http://www.bing.com/maps/?lvl=14&amp;sty=h&amp;cp=33.3409~42.7852&amp;sp=point.33.3409_42.7852","Maplink3")</f>
        <v>Maplink3</v>
      </c>
    </row>
    <row r="166" customFormat="false" ht="15" hidden="false" customHeight="true" outlineLevel="0" collapsed="false">
      <c r="A166" s="15" t="n">
        <v>20901</v>
      </c>
      <c r="B166" s="16" t="s">
        <v>15</v>
      </c>
      <c r="C166" s="16" t="s">
        <v>334</v>
      </c>
      <c r="D166" s="16" t="s">
        <v>363</v>
      </c>
      <c r="E166" s="17" t="s">
        <v>364</v>
      </c>
      <c r="F166" s="16" t="n">
        <v>33.399116</v>
      </c>
      <c r="G166" s="16" t="n">
        <v>43.546907</v>
      </c>
      <c r="H166" s="18" t="n">
        <v>176</v>
      </c>
      <c r="I166" s="18" t="n">
        <v>1056</v>
      </c>
      <c r="J166" s="19" t="n">
        <v>176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 t="n">
        <v>97</v>
      </c>
      <c r="AD166" s="19"/>
      <c r="AE166" s="19" t="n">
        <v>79</v>
      </c>
      <c r="AF166" s="19"/>
      <c r="AG166" s="19"/>
      <c r="AH166" s="19"/>
      <c r="AI166" s="19"/>
      <c r="AJ166" s="19"/>
      <c r="AK166" s="19"/>
      <c r="AL166" s="19"/>
      <c r="AM166" s="19"/>
      <c r="AN166" s="19"/>
      <c r="AO166" s="19" t="n">
        <v>109</v>
      </c>
      <c r="AP166" s="19" t="n">
        <v>67</v>
      </c>
      <c r="AQ166" s="19"/>
      <c r="AR166" s="19"/>
      <c r="AS166" s="20" t="str">
        <f aca="false">HYPERLINK("http://www.openstreetmap.org/?mlat=33.3991&amp;mlon=43.5469&amp;zoom=12#map=12/33.3991/43.5469","Maplink1")</f>
        <v>Maplink1</v>
      </c>
      <c r="AT166" s="20" t="str">
        <f aca="false">HYPERLINK("https://www.google.iq/maps/search/+33.3991,43.5469/@33.3991,43.5469,14z?hl=en","Maplink2")</f>
        <v>Maplink2</v>
      </c>
      <c r="AU166" s="20" t="str">
        <f aca="false">HYPERLINK("http://www.bing.com/maps/?lvl=14&amp;sty=h&amp;cp=33.3991~43.5469&amp;sp=point.33.3991_43.5469","Maplink3")</f>
        <v>Maplink3</v>
      </c>
    </row>
    <row r="167" customFormat="false" ht="15" hidden="false" customHeight="true" outlineLevel="0" collapsed="false">
      <c r="A167" s="15" t="n">
        <v>23856</v>
      </c>
      <c r="B167" s="16" t="s">
        <v>15</v>
      </c>
      <c r="C167" s="16" t="s">
        <v>334</v>
      </c>
      <c r="D167" s="16" t="s">
        <v>365</v>
      </c>
      <c r="E167" s="17" t="s">
        <v>366</v>
      </c>
      <c r="F167" s="16" t="n">
        <v>33.393008</v>
      </c>
      <c r="G167" s="16" t="n">
        <v>43.560879</v>
      </c>
      <c r="H167" s="18" t="n">
        <v>400</v>
      </c>
      <c r="I167" s="18" t="n">
        <v>2400</v>
      </c>
      <c r="J167" s="19" t="n">
        <v>356</v>
      </c>
      <c r="K167" s="19" t="n">
        <v>44</v>
      </c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 t="n">
        <v>385</v>
      </c>
      <c r="AD167" s="19"/>
      <c r="AE167" s="19" t="n">
        <v>8</v>
      </c>
      <c r="AF167" s="19"/>
      <c r="AG167" s="19"/>
      <c r="AH167" s="19" t="n">
        <v>7</v>
      </c>
      <c r="AI167" s="19"/>
      <c r="AJ167" s="19"/>
      <c r="AK167" s="19"/>
      <c r="AL167" s="19" t="n">
        <v>7</v>
      </c>
      <c r="AM167" s="19"/>
      <c r="AN167" s="19"/>
      <c r="AO167" s="19" t="n">
        <v>109</v>
      </c>
      <c r="AP167" s="19" t="n">
        <v>284</v>
      </c>
      <c r="AQ167" s="19"/>
      <c r="AR167" s="19"/>
      <c r="AS167" s="20" t="str">
        <f aca="false">HYPERLINK("http://www.openstreetmap.org/?mlat=33.393&amp;mlon=43.5609&amp;zoom=12#map=12/33.393/43.5609","Maplink1")</f>
        <v>Maplink1</v>
      </c>
      <c r="AT167" s="20" t="str">
        <f aca="false">HYPERLINK("https://www.google.iq/maps/search/+33.393,43.5609/@33.393,43.5609,14z?hl=en","Maplink2")</f>
        <v>Maplink2</v>
      </c>
      <c r="AU167" s="20" t="str">
        <f aca="false">HYPERLINK("http://www.bing.com/maps/?lvl=14&amp;sty=h&amp;cp=33.393~43.5609&amp;sp=point.33.393_43.5609","Maplink3")</f>
        <v>Maplink3</v>
      </c>
    </row>
    <row r="168" customFormat="false" ht="15" hidden="false" customHeight="true" outlineLevel="0" collapsed="false">
      <c r="A168" s="15" t="n">
        <v>24594</v>
      </c>
      <c r="B168" s="16" t="s">
        <v>16</v>
      </c>
      <c r="C168" s="16" t="s">
        <v>367</v>
      </c>
      <c r="D168" s="16" t="s">
        <v>368</v>
      </c>
      <c r="E168" s="17" t="s">
        <v>369</v>
      </c>
      <c r="F168" s="16" t="n">
        <v>32.65321837</v>
      </c>
      <c r="G168" s="16" t="n">
        <v>44.36779143</v>
      </c>
      <c r="H168" s="18" t="n">
        <v>1</v>
      </c>
      <c r="I168" s="18" t="n">
        <v>6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 t="n">
        <v>1</v>
      </c>
      <c r="Y168" s="19"/>
      <c r="Z168" s="19"/>
      <c r="AA168" s="19"/>
      <c r="AB168" s="19"/>
      <c r="AC168" s="19" t="n">
        <v>1</v>
      </c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 t="n">
        <v>1</v>
      </c>
      <c r="AO168" s="19"/>
      <c r="AP168" s="19"/>
      <c r="AQ168" s="19"/>
      <c r="AR168" s="19"/>
      <c r="AS168" s="20" t="str">
        <f aca="false">HYPERLINK("http://www.openstreetmap.org/?mlat=32.6532&amp;mlon=44.3678&amp;zoom=12#map=12/32.6532/44.3678","Maplink1")</f>
        <v>Maplink1</v>
      </c>
      <c r="AT168" s="20" t="str">
        <f aca="false">HYPERLINK("https://www.google.iq/maps/search/+32.6532,44.3678/@32.6532,44.3678,14z?hl=en","Maplink2")</f>
        <v>Maplink2</v>
      </c>
      <c r="AU168" s="20" t="str">
        <f aca="false">HYPERLINK("http://www.bing.com/maps/?lvl=14&amp;sty=h&amp;cp=32.6532~44.3678&amp;sp=point.32.6532_44.3678","Maplink3")</f>
        <v>Maplink3</v>
      </c>
    </row>
    <row r="169" customFormat="false" ht="15" hidden="false" customHeight="true" outlineLevel="0" collapsed="false">
      <c r="A169" s="15" t="n">
        <v>24541</v>
      </c>
      <c r="B169" s="16" t="s">
        <v>16</v>
      </c>
      <c r="C169" s="16" t="s">
        <v>367</v>
      </c>
      <c r="D169" s="16" t="s">
        <v>370</v>
      </c>
      <c r="E169" s="17" t="s">
        <v>371</v>
      </c>
      <c r="F169" s="16" t="n">
        <v>32.34733</v>
      </c>
      <c r="G169" s="16" t="n">
        <v>44.32071</v>
      </c>
      <c r="H169" s="18" t="n">
        <v>10</v>
      </c>
      <c r="I169" s="18" t="n">
        <v>60</v>
      </c>
      <c r="J169" s="19" t="n">
        <v>3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 t="n">
        <v>7</v>
      </c>
      <c r="W169" s="19"/>
      <c r="X169" s="19"/>
      <c r="Y169" s="19"/>
      <c r="Z169" s="19"/>
      <c r="AA169" s="19"/>
      <c r="AB169" s="19"/>
      <c r="AC169" s="19" t="n">
        <v>6</v>
      </c>
      <c r="AD169" s="19"/>
      <c r="AE169" s="19"/>
      <c r="AF169" s="19"/>
      <c r="AG169" s="19"/>
      <c r="AH169" s="19" t="n">
        <v>4</v>
      </c>
      <c r="AI169" s="19"/>
      <c r="AJ169" s="19"/>
      <c r="AK169" s="19"/>
      <c r="AL169" s="19"/>
      <c r="AM169" s="19" t="n">
        <v>3</v>
      </c>
      <c r="AN169" s="19" t="n">
        <v>4</v>
      </c>
      <c r="AO169" s="19" t="n">
        <v>3</v>
      </c>
      <c r="AP169" s="19"/>
      <c r="AQ169" s="19"/>
      <c r="AR169" s="19"/>
      <c r="AS169" s="20" t="str">
        <f aca="false">HYPERLINK("http://www.openstreetmap.org/?mlat=32.3473&amp;mlon=44.3207&amp;zoom=12#map=12/32.3473/44.3207","Maplink1")</f>
        <v>Maplink1</v>
      </c>
      <c r="AT169" s="20" t="str">
        <f aca="false">HYPERLINK("https://www.google.iq/maps/search/+32.3473,44.3207/@32.3473,44.3207,14z?hl=en","Maplink2")</f>
        <v>Maplink2</v>
      </c>
      <c r="AU169" s="20" t="str">
        <f aca="false">HYPERLINK("http://www.bing.com/maps/?lvl=14&amp;sty=h&amp;cp=32.3473~44.3207&amp;sp=point.32.3473_44.3207","Maplink3")</f>
        <v>Maplink3</v>
      </c>
    </row>
    <row r="170" customFormat="false" ht="15" hidden="false" customHeight="true" outlineLevel="0" collapsed="false">
      <c r="A170" s="15" t="n">
        <v>21767</v>
      </c>
      <c r="B170" s="16" t="s">
        <v>16</v>
      </c>
      <c r="C170" s="16" t="s">
        <v>367</v>
      </c>
      <c r="D170" s="16" t="s">
        <v>372</v>
      </c>
      <c r="E170" s="17" t="s">
        <v>373</v>
      </c>
      <c r="F170" s="16" t="n">
        <v>32.6510996</v>
      </c>
      <c r="G170" s="16" t="n">
        <v>44.41702916</v>
      </c>
      <c r="H170" s="18" t="n">
        <v>12</v>
      </c>
      <c r="I170" s="18" t="n">
        <v>72</v>
      </c>
      <c r="J170" s="19" t="n">
        <v>12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 t="n">
        <v>12</v>
      </c>
      <c r="AI170" s="19"/>
      <c r="AJ170" s="19"/>
      <c r="AK170" s="19"/>
      <c r="AL170" s="19" t="n">
        <v>2</v>
      </c>
      <c r="AM170" s="19"/>
      <c r="AN170" s="19"/>
      <c r="AO170" s="19" t="n">
        <v>4</v>
      </c>
      <c r="AP170" s="19" t="n">
        <v>6</v>
      </c>
      <c r="AQ170" s="19"/>
      <c r="AR170" s="19"/>
      <c r="AS170" s="20" t="str">
        <f aca="false">HYPERLINK("http://www.openstreetmap.org/?mlat=32.6511&amp;mlon=44.417&amp;zoom=12#map=12/32.6511/44.417","Maplink1")</f>
        <v>Maplink1</v>
      </c>
      <c r="AT170" s="20" t="str">
        <f aca="false">HYPERLINK("https://www.google.iq/maps/search/+32.6511,44.417/@32.6511,44.417,14z?hl=en","Maplink2")</f>
        <v>Maplink2</v>
      </c>
      <c r="AU170" s="20" t="str">
        <f aca="false">HYPERLINK("http://www.bing.com/maps/?lvl=14&amp;sty=h&amp;cp=32.6511~44.417&amp;sp=point.32.6511_44.417","Maplink3")</f>
        <v>Maplink3</v>
      </c>
    </row>
    <row r="171" customFormat="false" ht="15" hidden="false" customHeight="true" outlineLevel="0" collapsed="false">
      <c r="A171" s="15" t="n">
        <v>24297</v>
      </c>
      <c r="B171" s="16" t="s">
        <v>16</v>
      </c>
      <c r="C171" s="16" t="s">
        <v>367</v>
      </c>
      <c r="D171" s="16" t="s">
        <v>374</v>
      </c>
      <c r="E171" s="17" t="s">
        <v>375</v>
      </c>
      <c r="F171" s="16" t="n">
        <v>32.64922</v>
      </c>
      <c r="G171" s="16" t="n">
        <v>44.72855</v>
      </c>
      <c r="H171" s="18" t="n">
        <v>7</v>
      </c>
      <c r="I171" s="18" t="n">
        <v>42</v>
      </c>
      <c r="J171" s="19" t="n">
        <v>7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 t="n">
        <v>7</v>
      </c>
      <c r="AI171" s="19"/>
      <c r="AJ171" s="19"/>
      <c r="AK171" s="19"/>
      <c r="AL171" s="19"/>
      <c r="AM171" s="19"/>
      <c r="AN171" s="19"/>
      <c r="AO171" s="19"/>
      <c r="AP171" s="19" t="n">
        <v>7</v>
      </c>
      <c r="AQ171" s="19"/>
      <c r="AR171" s="19"/>
      <c r="AS171" s="20" t="str">
        <f aca="false">HYPERLINK("http://www.openstreetmap.org/?mlat=32.6492&amp;mlon=44.7285&amp;zoom=12#map=12/32.6492/44.7285","Maplink1")</f>
        <v>Maplink1</v>
      </c>
      <c r="AT171" s="20" t="str">
        <f aca="false">HYPERLINK("https://www.google.iq/maps/search/+32.6492,44.7285/@32.6492,44.7285,14z?hl=en","Maplink2")</f>
        <v>Maplink2</v>
      </c>
      <c r="AU171" s="20" t="str">
        <f aca="false">HYPERLINK("http://www.bing.com/maps/?lvl=14&amp;sty=h&amp;cp=32.6492~44.7285&amp;sp=point.32.6492_44.7285","Maplink3")</f>
        <v>Maplink3</v>
      </c>
    </row>
    <row r="172" customFormat="false" ht="15" hidden="false" customHeight="true" outlineLevel="0" collapsed="false">
      <c r="A172" s="15" t="n">
        <v>24178</v>
      </c>
      <c r="B172" s="16" t="s">
        <v>16</v>
      </c>
      <c r="C172" s="16" t="s">
        <v>367</v>
      </c>
      <c r="D172" s="16" t="s">
        <v>376</v>
      </c>
      <c r="E172" s="17" t="s">
        <v>377</v>
      </c>
      <c r="F172" s="16" t="n">
        <v>32.66272265</v>
      </c>
      <c r="G172" s="16" t="n">
        <v>44.48252033</v>
      </c>
      <c r="H172" s="18" t="n">
        <v>5</v>
      </c>
      <c r="I172" s="18" t="n">
        <v>30</v>
      </c>
      <c r="J172" s="19" t="n">
        <v>5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 t="n">
        <v>5</v>
      </c>
      <c r="AI172" s="19"/>
      <c r="AJ172" s="19"/>
      <c r="AK172" s="19"/>
      <c r="AL172" s="19"/>
      <c r="AM172" s="19"/>
      <c r="AN172" s="19"/>
      <c r="AO172" s="19"/>
      <c r="AP172" s="19" t="n">
        <v>5</v>
      </c>
      <c r="AQ172" s="19"/>
      <c r="AR172" s="19"/>
      <c r="AS172" s="20" t="str">
        <f aca="false">HYPERLINK("http://www.openstreetmap.org/?mlat=32.6627&amp;mlon=44.4825&amp;zoom=12#map=12/32.6627/44.4825","Maplink1")</f>
        <v>Maplink1</v>
      </c>
      <c r="AT172" s="20" t="str">
        <f aca="false">HYPERLINK("https://www.google.iq/maps/search/+32.6627,44.4825/@32.6627,44.4825,14z?hl=en","Maplink2")</f>
        <v>Maplink2</v>
      </c>
      <c r="AU172" s="20" t="str">
        <f aca="false">HYPERLINK("http://www.bing.com/maps/?lvl=14&amp;sty=h&amp;cp=32.6627~44.4825&amp;sp=point.32.6627_44.4825","Maplink3")</f>
        <v>Maplink3</v>
      </c>
    </row>
    <row r="173" customFormat="false" ht="15" hidden="false" customHeight="true" outlineLevel="0" collapsed="false">
      <c r="A173" s="15" t="n">
        <v>25709</v>
      </c>
      <c r="B173" s="16" t="s">
        <v>16</v>
      </c>
      <c r="C173" s="16" t="s">
        <v>367</v>
      </c>
      <c r="D173" s="16" t="s">
        <v>378</v>
      </c>
      <c r="E173" s="17" t="s">
        <v>379</v>
      </c>
      <c r="F173" s="16" t="n">
        <v>32.6626393</v>
      </c>
      <c r="G173" s="16" t="n">
        <v>44.48328249</v>
      </c>
      <c r="H173" s="18" t="n">
        <v>6</v>
      </c>
      <c r="I173" s="18" t="n">
        <v>36</v>
      </c>
      <c r="J173" s="19" t="n">
        <v>6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 t="n">
        <v>6</v>
      </c>
      <c r="AI173" s="19"/>
      <c r="AJ173" s="19"/>
      <c r="AK173" s="19"/>
      <c r="AL173" s="19"/>
      <c r="AM173" s="19"/>
      <c r="AN173" s="19"/>
      <c r="AO173" s="19"/>
      <c r="AP173" s="19" t="n">
        <v>6</v>
      </c>
      <c r="AQ173" s="19"/>
      <c r="AR173" s="19"/>
      <c r="AS173" s="20" t="str">
        <f aca="false">HYPERLINK("http://www.openstreetmap.org/?mlat=32.6626&amp;mlon=44.4833&amp;zoom=12#map=12/32.6626/44.4833","Maplink1")</f>
        <v>Maplink1</v>
      </c>
      <c r="AT173" s="20" t="str">
        <f aca="false">HYPERLINK("https://www.google.iq/maps/search/+32.6626,44.4833/@32.6626,44.4833,14z?hl=en","Maplink2")</f>
        <v>Maplink2</v>
      </c>
      <c r="AU173" s="20" t="str">
        <f aca="false">HYPERLINK("http://www.bing.com/maps/?lvl=14&amp;sty=h&amp;cp=32.6626~44.4833&amp;sp=point.32.6626_44.4833","Maplink3")</f>
        <v>Maplink3</v>
      </c>
    </row>
    <row r="174" customFormat="false" ht="15" hidden="false" customHeight="true" outlineLevel="0" collapsed="false">
      <c r="A174" s="15" t="n">
        <v>24566</v>
      </c>
      <c r="B174" s="16" t="s">
        <v>16</v>
      </c>
      <c r="C174" s="16" t="s">
        <v>367</v>
      </c>
      <c r="D174" s="16" t="s">
        <v>380</v>
      </c>
      <c r="E174" s="17" t="s">
        <v>381</v>
      </c>
      <c r="F174" s="16" t="n">
        <v>32.66954544</v>
      </c>
      <c r="G174" s="16" t="n">
        <v>44.50006776</v>
      </c>
      <c r="H174" s="18" t="n">
        <v>1</v>
      </c>
      <c r="I174" s="18" t="n">
        <v>6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 t="n">
        <v>1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 t="n">
        <v>1</v>
      </c>
      <c r="AI174" s="19"/>
      <c r="AJ174" s="19"/>
      <c r="AK174" s="19"/>
      <c r="AL174" s="19"/>
      <c r="AM174" s="19" t="n">
        <v>1</v>
      </c>
      <c r="AN174" s="19"/>
      <c r="AO174" s="19"/>
      <c r="AP174" s="19"/>
      <c r="AQ174" s="19"/>
      <c r="AR174" s="19"/>
      <c r="AS174" s="20" t="str">
        <f aca="false">HYPERLINK("http://www.openstreetmap.org/?mlat=32.6695&amp;mlon=44.5001&amp;zoom=12#map=12/32.6695/44.5001","Maplink1")</f>
        <v>Maplink1</v>
      </c>
      <c r="AT174" s="20" t="str">
        <f aca="false">HYPERLINK("https://www.google.iq/maps/search/+32.6695,44.5001/@32.6695,44.5001,14z?hl=en","Maplink2")</f>
        <v>Maplink2</v>
      </c>
      <c r="AU174" s="20" t="str">
        <f aca="false">HYPERLINK("http://www.bing.com/maps/?lvl=14&amp;sty=h&amp;cp=32.6695~44.5001&amp;sp=point.32.6695_44.5001","Maplink3")</f>
        <v>Maplink3</v>
      </c>
    </row>
    <row r="175" customFormat="false" ht="15" hidden="false" customHeight="true" outlineLevel="0" collapsed="false">
      <c r="A175" s="15" t="n">
        <v>24567</v>
      </c>
      <c r="B175" s="16" t="s">
        <v>16</v>
      </c>
      <c r="C175" s="16" t="s">
        <v>367</v>
      </c>
      <c r="D175" s="16" t="s">
        <v>382</v>
      </c>
      <c r="E175" s="17" t="s">
        <v>383</v>
      </c>
      <c r="F175" s="16" t="n">
        <v>32.66881814</v>
      </c>
      <c r="G175" s="16" t="n">
        <v>44.5027265</v>
      </c>
      <c r="H175" s="18" t="n">
        <v>9</v>
      </c>
      <c r="I175" s="18" t="n">
        <v>54</v>
      </c>
      <c r="J175" s="19" t="n">
        <v>7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 t="n">
        <v>2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 t="n">
        <v>9</v>
      </c>
      <c r="AI175" s="19"/>
      <c r="AJ175" s="19"/>
      <c r="AK175" s="19"/>
      <c r="AL175" s="19"/>
      <c r="AM175" s="19" t="n">
        <v>2</v>
      </c>
      <c r="AN175" s="19"/>
      <c r="AO175" s="19"/>
      <c r="AP175" s="19" t="n">
        <v>7</v>
      </c>
      <c r="AQ175" s="19"/>
      <c r="AR175" s="19"/>
      <c r="AS175" s="20" t="str">
        <f aca="false">HYPERLINK("http://www.openstreetmap.org/?mlat=32.6688&amp;mlon=44.5027&amp;zoom=12#map=12/32.6688/44.5027","Maplink1")</f>
        <v>Maplink1</v>
      </c>
      <c r="AT175" s="20" t="str">
        <f aca="false">HYPERLINK("https://www.google.iq/maps/search/+32.6688,44.5027/@32.6688,44.5027,14z?hl=en","Maplink2")</f>
        <v>Maplink2</v>
      </c>
      <c r="AU175" s="20" t="str">
        <f aca="false">HYPERLINK("http://www.bing.com/maps/?lvl=14&amp;sty=h&amp;cp=32.6688~44.5027&amp;sp=point.32.6688_44.5027","Maplink3")</f>
        <v>Maplink3</v>
      </c>
    </row>
    <row r="176" customFormat="false" ht="15" hidden="false" customHeight="true" outlineLevel="0" collapsed="false">
      <c r="A176" s="15" t="n">
        <v>29578</v>
      </c>
      <c r="B176" s="16" t="s">
        <v>16</v>
      </c>
      <c r="C176" s="16" t="s">
        <v>367</v>
      </c>
      <c r="D176" s="16" t="s">
        <v>384</v>
      </c>
      <c r="E176" s="17" t="s">
        <v>385</v>
      </c>
      <c r="F176" s="16" t="n">
        <v>32.77772</v>
      </c>
      <c r="G176" s="16" t="n">
        <v>44.486392</v>
      </c>
      <c r="H176" s="18" t="n">
        <v>20</v>
      </c>
      <c r="I176" s="18" t="n">
        <v>120</v>
      </c>
      <c r="J176" s="19" t="n">
        <v>6</v>
      </c>
      <c r="K176" s="19" t="n">
        <v>6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 t="n">
        <v>8</v>
      </c>
      <c r="Y176" s="19"/>
      <c r="Z176" s="19"/>
      <c r="AA176" s="19"/>
      <c r="AB176" s="19"/>
      <c r="AC176" s="19" t="n">
        <v>13</v>
      </c>
      <c r="AD176" s="19"/>
      <c r="AE176" s="19" t="n">
        <v>7</v>
      </c>
      <c r="AF176" s="19"/>
      <c r="AG176" s="19"/>
      <c r="AH176" s="19"/>
      <c r="AI176" s="19"/>
      <c r="AJ176" s="19"/>
      <c r="AK176" s="19"/>
      <c r="AL176" s="19"/>
      <c r="AM176" s="19" t="n">
        <v>6</v>
      </c>
      <c r="AN176" s="19" t="n">
        <v>8</v>
      </c>
      <c r="AO176" s="19"/>
      <c r="AP176" s="19" t="n">
        <v>6</v>
      </c>
      <c r="AQ176" s="19"/>
      <c r="AR176" s="19"/>
      <c r="AS176" s="20" t="str">
        <f aca="false">HYPERLINK("http://www.openstreetmap.org/?mlat=32.7777&amp;mlon=44.4864&amp;zoom=12#map=12/32.7777/44.4864","Maplink1")</f>
        <v>Maplink1</v>
      </c>
      <c r="AT176" s="20" t="str">
        <f aca="false">HYPERLINK("https://www.google.iq/maps/search/+32.7777,44.4864/@32.7777,44.4864,14z?hl=en","Maplink2")</f>
        <v>Maplink2</v>
      </c>
      <c r="AU176" s="20" t="str">
        <f aca="false">HYPERLINK("http://www.bing.com/maps/?lvl=14&amp;sty=h&amp;cp=32.7777~44.4864&amp;sp=point.32.7777_44.4864","Maplink3")</f>
        <v>Maplink3</v>
      </c>
    </row>
    <row r="177" customFormat="false" ht="15" hidden="false" customHeight="true" outlineLevel="0" collapsed="false">
      <c r="A177" s="15" t="n">
        <v>24466</v>
      </c>
      <c r="B177" s="16" t="s">
        <v>16</v>
      </c>
      <c r="C177" s="16" t="s">
        <v>367</v>
      </c>
      <c r="D177" s="16" t="s">
        <v>386</v>
      </c>
      <c r="E177" s="17" t="s">
        <v>387</v>
      </c>
      <c r="F177" s="16" t="n">
        <v>32.57008314</v>
      </c>
      <c r="G177" s="16" t="n">
        <v>44.41692498</v>
      </c>
      <c r="H177" s="18" t="n">
        <v>1</v>
      </c>
      <c r="I177" s="18" t="n">
        <v>6</v>
      </c>
      <c r="J177" s="19" t="n">
        <v>1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 t="n">
        <v>1</v>
      </c>
      <c r="AD177" s="19"/>
      <c r="AE177" s="19"/>
      <c r="AF177" s="19"/>
      <c r="AG177" s="19"/>
      <c r="AH177" s="19"/>
      <c r="AI177" s="19"/>
      <c r="AJ177" s="19"/>
      <c r="AK177" s="19"/>
      <c r="AL177" s="19" t="n">
        <v>1</v>
      </c>
      <c r="AM177" s="19"/>
      <c r="AN177" s="19"/>
      <c r="AO177" s="19"/>
      <c r="AP177" s="19"/>
      <c r="AQ177" s="19"/>
      <c r="AR177" s="19"/>
      <c r="AS177" s="20" t="str">
        <f aca="false">HYPERLINK("http://www.openstreetmap.org/?mlat=32.5701&amp;mlon=44.4169&amp;zoom=12#map=12/32.5701/44.4169","Maplink1")</f>
        <v>Maplink1</v>
      </c>
      <c r="AT177" s="20" t="str">
        <f aca="false">HYPERLINK("https://www.google.iq/maps/search/+32.5701,44.4169/@32.5701,44.4169,14z?hl=en","Maplink2")</f>
        <v>Maplink2</v>
      </c>
      <c r="AU177" s="20" t="str">
        <f aca="false">HYPERLINK("http://www.bing.com/maps/?lvl=14&amp;sty=h&amp;cp=32.5701~44.4169&amp;sp=point.32.5701_44.4169","Maplink3")</f>
        <v>Maplink3</v>
      </c>
    </row>
    <row r="178" customFormat="false" ht="15" hidden="false" customHeight="true" outlineLevel="0" collapsed="false">
      <c r="A178" s="15" t="n">
        <v>24299</v>
      </c>
      <c r="B178" s="16" t="s">
        <v>16</v>
      </c>
      <c r="C178" s="16" t="s">
        <v>367</v>
      </c>
      <c r="D178" s="16" t="s">
        <v>388</v>
      </c>
      <c r="E178" s="17" t="s">
        <v>389</v>
      </c>
      <c r="F178" s="16" t="n">
        <v>32.66563637</v>
      </c>
      <c r="G178" s="16" t="n">
        <v>44.50924108</v>
      </c>
      <c r="H178" s="18" t="n">
        <v>50</v>
      </c>
      <c r="I178" s="18" t="n">
        <v>300</v>
      </c>
      <c r="J178" s="19" t="n">
        <v>7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 t="n">
        <v>43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n">
        <v>29</v>
      </c>
      <c r="AI178" s="19"/>
      <c r="AJ178" s="19" t="n">
        <v>21</v>
      </c>
      <c r="AK178" s="19"/>
      <c r="AL178" s="19"/>
      <c r="AM178" s="19" t="n">
        <v>43</v>
      </c>
      <c r="AN178" s="19"/>
      <c r="AO178" s="19"/>
      <c r="AP178" s="19" t="n">
        <v>7</v>
      </c>
      <c r="AQ178" s="19"/>
      <c r="AR178" s="19"/>
      <c r="AS178" s="20" t="str">
        <f aca="false">HYPERLINK("http://www.openstreetmap.org/?mlat=32.6656&amp;mlon=44.5092&amp;zoom=12#map=12/32.6656/44.5092","Maplink1")</f>
        <v>Maplink1</v>
      </c>
      <c r="AT178" s="20" t="str">
        <f aca="false">HYPERLINK("https://www.google.iq/maps/search/+32.6656,44.5092/@32.6656,44.5092,14z?hl=en","Maplink2")</f>
        <v>Maplink2</v>
      </c>
      <c r="AU178" s="20" t="str">
        <f aca="false">HYPERLINK("http://www.bing.com/maps/?lvl=14&amp;sty=h&amp;cp=32.6656~44.5092&amp;sp=point.32.6656_44.5092","Maplink3")</f>
        <v>Maplink3</v>
      </c>
    </row>
    <row r="179" customFormat="false" ht="15" hidden="false" customHeight="true" outlineLevel="0" collapsed="false">
      <c r="A179" s="15" t="n">
        <v>22372</v>
      </c>
      <c r="B179" s="16" t="s">
        <v>16</v>
      </c>
      <c r="C179" s="16" t="s">
        <v>367</v>
      </c>
      <c r="D179" s="16" t="s">
        <v>390</v>
      </c>
      <c r="E179" s="17" t="s">
        <v>391</v>
      </c>
      <c r="F179" s="16" t="n">
        <v>32.74512</v>
      </c>
      <c r="G179" s="16" t="n">
        <v>44.76589</v>
      </c>
      <c r="H179" s="18" t="n">
        <v>13</v>
      </c>
      <c r="I179" s="18" t="n">
        <v>78</v>
      </c>
      <c r="J179" s="19"/>
      <c r="K179" s="19" t="n">
        <v>3</v>
      </c>
      <c r="L179" s="19" t="n">
        <v>1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 t="n">
        <v>3</v>
      </c>
      <c r="W179" s="19"/>
      <c r="X179" s="19" t="n">
        <v>6</v>
      </c>
      <c r="Y179" s="19"/>
      <c r="Z179" s="19"/>
      <c r="AA179" s="19"/>
      <c r="AB179" s="19"/>
      <c r="AC179" s="19" t="n">
        <v>13</v>
      </c>
      <c r="AD179" s="19"/>
      <c r="AE179" s="19"/>
      <c r="AF179" s="19"/>
      <c r="AG179" s="19"/>
      <c r="AH179" s="19"/>
      <c r="AI179" s="19"/>
      <c r="AJ179" s="19"/>
      <c r="AK179" s="19"/>
      <c r="AL179" s="19"/>
      <c r="AM179" s="19" t="n">
        <v>6</v>
      </c>
      <c r="AN179" s="19" t="n">
        <v>7</v>
      </c>
      <c r="AO179" s="19"/>
      <c r="AP179" s="19"/>
      <c r="AQ179" s="19"/>
      <c r="AR179" s="19"/>
      <c r="AS179" s="20" t="str">
        <f aca="false">HYPERLINK("http://www.openstreetmap.org/?mlat=32.7451&amp;mlon=44.7659&amp;zoom=12#map=12/32.7451/44.7659","Maplink1")</f>
        <v>Maplink1</v>
      </c>
      <c r="AT179" s="20" t="str">
        <f aca="false">HYPERLINK("https://www.google.iq/maps/search/+32.7451,44.7659/@32.7451,44.7659,14z?hl=en","Maplink2")</f>
        <v>Maplink2</v>
      </c>
      <c r="AU179" s="20" t="str">
        <f aca="false">HYPERLINK("http://www.bing.com/maps/?lvl=14&amp;sty=h&amp;cp=32.7451~44.7659&amp;sp=point.32.7451_44.7659","Maplink3")</f>
        <v>Maplink3</v>
      </c>
    </row>
    <row r="180" customFormat="false" ht="15" hidden="false" customHeight="true" outlineLevel="0" collapsed="false">
      <c r="A180" s="15" t="n">
        <v>23960</v>
      </c>
      <c r="B180" s="16" t="s">
        <v>16</v>
      </c>
      <c r="C180" s="16" t="s">
        <v>367</v>
      </c>
      <c r="D180" s="16" t="s">
        <v>392</v>
      </c>
      <c r="E180" s="17" t="s">
        <v>393</v>
      </c>
      <c r="F180" s="16" t="n">
        <v>32.55390355</v>
      </c>
      <c r="G180" s="16" t="n">
        <v>44.44645819</v>
      </c>
      <c r="H180" s="18" t="n">
        <v>9</v>
      </c>
      <c r="I180" s="18" t="n">
        <v>54</v>
      </c>
      <c r="J180" s="19" t="n">
        <v>9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 t="n">
        <v>9</v>
      </c>
      <c r="AI180" s="19"/>
      <c r="AJ180" s="19"/>
      <c r="AK180" s="19"/>
      <c r="AL180" s="19"/>
      <c r="AM180" s="19"/>
      <c r="AN180" s="19"/>
      <c r="AO180" s="19"/>
      <c r="AP180" s="19" t="n">
        <v>9</v>
      </c>
      <c r="AQ180" s="19"/>
      <c r="AR180" s="19"/>
      <c r="AS180" s="20" t="str">
        <f aca="false">HYPERLINK("http://www.openstreetmap.org/?mlat=32.5539&amp;mlon=44.4465&amp;zoom=12#map=12/32.5539/44.4465","Maplink1")</f>
        <v>Maplink1</v>
      </c>
      <c r="AT180" s="20" t="str">
        <f aca="false">HYPERLINK("https://www.google.iq/maps/search/+32.5539,44.4465/@32.5539,44.4465,14z?hl=en","Maplink2")</f>
        <v>Maplink2</v>
      </c>
      <c r="AU180" s="20" t="str">
        <f aca="false">HYPERLINK("http://www.bing.com/maps/?lvl=14&amp;sty=h&amp;cp=32.5539~44.4465&amp;sp=point.32.5539_44.4465","Maplink3")</f>
        <v>Maplink3</v>
      </c>
    </row>
    <row r="181" customFormat="false" ht="15" hidden="false" customHeight="true" outlineLevel="0" collapsed="false">
      <c r="A181" s="15" t="n">
        <v>23963</v>
      </c>
      <c r="B181" s="16" t="s">
        <v>16</v>
      </c>
      <c r="C181" s="16" t="s">
        <v>367</v>
      </c>
      <c r="D181" s="16" t="s">
        <v>394</v>
      </c>
      <c r="E181" s="17" t="s">
        <v>395</v>
      </c>
      <c r="F181" s="16" t="n">
        <v>32.66613778</v>
      </c>
      <c r="G181" s="16" t="n">
        <v>44.49614888</v>
      </c>
      <c r="H181" s="18" t="n">
        <v>10</v>
      </c>
      <c r="I181" s="18" t="n">
        <v>60</v>
      </c>
      <c r="J181" s="19" t="n">
        <v>3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 t="n">
        <v>7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 t="n">
        <v>10</v>
      </c>
      <c r="AI181" s="19"/>
      <c r="AJ181" s="19"/>
      <c r="AK181" s="19"/>
      <c r="AL181" s="19"/>
      <c r="AM181" s="19" t="n">
        <v>7</v>
      </c>
      <c r="AN181" s="19"/>
      <c r="AO181" s="19" t="n">
        <v>3</v>
      </c>
      <c r="AP181" s="19"/>
      <c r="AQ181" s="19"/>
      <c r="AR181" s="19"/>
      <c r="AS181" s="20" t="str">
        <f aca="false">HYPERLINK("http://www.openstreetmap.org/?mlat=32.6661&amp;mlon=44.4961&amp;zoom=12#map=12/32.6661/44.4961","Maplink1")</f>
        <v>Maplink1</v>
      </c>
      <c r="AT181" s="20" t="str">
        <f aca="false">HYPERLINK("https://www.google.iq/maps/search/+32.6661,44.4961/@32.6661,44.4961,14z?hl=en","Maplink2")</f>
        <v>Maplink2</v>
      </c>
      <c r="AU181" s="20" t="str">
        <f aca="false">HYPERLINK("http://www.bing.com/maps/?lvl=14&amp;sty=h&amp;cp=32.6661~44.4961&amp;sp=point.32.6661_44.4961","Maplink3")</f>
        <v>Maplink3</v>
      </c>
    </row>
    <row r="182" customFormat="false" ht="15" hidden="false" customHeight="true" outlineLevel="0" collapsed="false">
      <c r="A182" s="15" t="n">
        <v>24431</v>
      </c>
      <c r="B182" s="16" t="s">
        <v>16</v>
      </c>
      <c r="C182" s="16" t="s">
        <v>367</v>
      </c>
      <c r="D182" s="16" t="s">
        <v>396</v>
      </c>
      <c r="E182" s="17" t="s">
        <v>397</v>
      </c>
      <c r="F182" s="16" t="n">
        <v>32.48294571</v>
      </c>
      <c r="G182" s="16" t="n">
        <v>44.56964057</v>
      </c>
      <c r="H182" s="18" t="n">
        <v>14</v>
      </c>
      <c r="I182" s="18" t="n">
        <v>84</v>
      </c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 t="n">
        <v>14</v>
      </c>
      <c r="W182" s="19"/>
      <c r="X182" s="19"/>
      <c r="Y182" s="19"/>
      <c r="Z182" s="19"/>
      <c r="AA182" s="19"/>
      <c r="AB182" s="19"/>
      <c r="AC182" s="19" t="n">
        <v>11</v>
      </c>
      <c r="AD182" s="19"/>
      <c r="AE182" s="19"/>
      <c r="AF182" s="19"/>
      <c r="AG182" s="19"/>
      <c r="AH182" s="19" t="n">
        <v>3</v>
      </c>
      <c r="AI182" s="19"/>
      <c r="AJ182" s="19"/>
      <c r="AK182" s="19"/>
      <c r="AL182" s="19"/>
      <c r="AM182" s="19" t="n">
        <v>14</v>
      </c>
      <c r="AN182" s="19"/>
      <c r="AO182" s="19"/>
      <c r="AP182" s="19"/>
      <c r="AQ182" s="19"/>
      <c r="AR182" s="19"/>
      <c r="AS182" s="20" t="str">
        <f aca="false">HYPERLINK("http://www.openstreetmap.org/?mlat=32.4829&amp;mlon=44.5696&amp;zoom=12#map=12/32.4829/44.5696","Maplink1")</f>
        <v>Maplink1</v>
      </c>
      <c r="AT182" s="20" t="str">
        <f aca="false">HYPERLINK("https://www.google.iq/maps/search/+32.4829,44.5696/@32.4829,44.5696,14z?hl=en","Maplink2")</f>
        <v>Maplink2</v>
      </c>
      <c r="AU182" s="20" t="str">
        <f aca="false">HYPERLINK("http://www.bing.com/maps/?lvl=14&amp;sty=h&amp;cp=32.4829~44.5696&amp;sp=point.32.4829_44.5696","Maplink3")</f>
        <v>Maplink3</v>
      </c>
    </row>
    <row r="183" customFormat="false" ht="15" hidden="false" customHeight="true" outlineLevel="0" collapsed="false">
      <c r="A183" s="15" t="n">
        <v>24336</v>
      </c>
      <c r="B183" s="16" t="s">
        <v>16</v>
      </c>
      <c r="C183" s="16" t="s">
        <v>367</v>
      </c>
      <c r="D183" s="16" t="s">
        <v>398</v>
      </c>
      <c r="E183" s="17" t="s">
        <v>399</v>
      </c>
      <c r="F183" s="16" t="n">
        <v>32.7373</v>
      </c>
      <c r="G183" s="16" t="n">
        <v>44.4612</v>
      </c>
      <c r="H183" s="18" t="n">
        <v>3</v>
      </c>
      <c r="I183" s="18" t="n">
        <v>18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 t="n">
        <v>3</v>
      </c>
      <c r="W183" s="19"/>
      <c r="X183" s="19"/>
      <c r="Y183" s="19"/>
      <c r="Z183" s="19"/>
      <c r="AA183" s="19"/>
      <c r="AB183" s="19"/>
      <c r="AC183" s="19" t="n">
        <v>3</v>
      </c>
      <c r="AD183" s="19"/>
      <c r="AE183" s="19"/>
      <c r="AF183" s="19"/>
      <c r="AG183" s="19"/>
      <c r="AH183" s="19"/>
      <c r="AI183" s="19"/>
      <c r="AJ183" s="19"/>
      <c r="AK183" s="19"/>
      <c r="AL183" s="19"/>
      <c r="AM183" s="19" t="n">
        <v>3</v>
      </c>
      <c r="AN183" s="19"/>
      <c r="AO183" s="19"/>
      <c r="AP183" s="19"/>
      <c r="AQ183" s="19"/>
      <c r="AR183" s="19"/>
      <c r="AS183" s="20" t="str">
        <f aca="false">HYPERLINK("http://www.openstreetmap.org/?mlat=32.7373&amp;mlon=44.4612&amp;zoom=12#map=12/32.7373/44.4612","Maplink1")</f>
        <v>Maplink1</v>
      </c>
      <c r="AT183" s="20" t="str">
        <f aca="false">HYPERLINK("https://www.google.iq/maps/search/+32.7373,44.4612/@32.7373,44.4612,14z?hl=en","Maplink2")</f>
        <v>Maplink2</v>
      </c>
      <c r="AU183" s="20" t="str">
        <f aca="false">HYPERLINK("http://www.bing.com/maps/?lvl=14&amp;sty=h&amp;cp=32.7373~44.4612&amp;sp=point.32.7373_44.4612","Maplink3")</f>
        <v>Maplink3</v>
      </c>
    </row>
    <row r="184" customFormat="false" ht="15" hidden="false" customHeight="true" outlineLevel="0" collapsed="false">
      <c r="A184" s="15" t="n">
        <v>20923</v>
      </c>
      <c r="B184" s="16" t="s">
        <v>16</v>
      </c>
      <c r="C184" s="16" t="s">
        <v>367</v>
      </c>
      <c r="D184" s="16" t="s">
        <v>400</v>
      </c>
      <c r="E184" s="17" t="s">
        <v>401</v>
      </c>
      <c r="F184" s="16" t="n">
        <v>32.53423281</v>
      </c>
      <c r="G184" s="16" t="n">
        <v>44.55002734</v>
      </c>
      <c r="H184" s="18" t="n">
        <v>10</v>
      </c>
      <c r="I184" s="18" t="n">
        <v>60</v>
      </c>
      <c r="J184" s="19" t="n">
        <v>3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 t="n">
        <v>7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 t="n">
        <v>10</v>
      </c>
      <c r="AI184" s="19"/>
      <c r="AJ184" s="19"/>
      <c r="AK184" s="19"/>
      <c r="AL184" s="19"/>
      <c r="AM184" s="19" t="n">
        <v>7</v>
      </c>
      <c r="AN184" s="19"/>
      <c r="AO184" s="19"/>
      <c r="AP184" s="19" t="n">
        <v>3</v>
      </c>
      <c r="AQ184" s="19"/>
      <c r="AR184" s="19"/>
      <c r="AS184" s="20" t="str">
        <f aca="false">HYPERLINK("http://www.openstreetmap.org/?mlat=32.5342&amp;mlon=44.55&amp;zoom=12#map=12/32.5342/44.55","Maplink1")</f>
        <v>Maplink1</v>
      </c>
      <c r="AT184" s="20" t="str">
        <f aca="false">HYPERLINK("https://www.google.iq/maps/search/+32.5342,44.55/@32.5342,44.55,14z?hl=en","Maplink2")</f>
        <v>Maplink2</v>
      </c>
      <c r="AU184" s="20" t="str">
        <f aca="false">HYPERLINK("http://www.bing.com/maps/?lvl=14&amp;sty=h&amp;cp=32.5342~44.55&amp;sp=point.32.5342_44.55","Maplink3")</f>
        <v>Maplink3</v>
      </c>
    </row>
    <row r="185" customFormat="false" ht="15" hidden="false" customHeight="true" outlineLevel="0" collapsed="false">
      <c r="A185" s="15" t="n">
        <v>23941</v>
      </c>
      <c r="B185" s="16" t="s">
        <v>16</v>
      </c>
      <c r="C185" s="16" t="s">
        <v>367</v>
      </c>
      <c r="D185" s="16" t="s">
        <v>402</v>
      </c>
      <c r="E185" s="17" t="s">
        <v>403</v>
      </c>
      <c r="F185" s="16" t="n">
        <v>32.62207671</v>
      </c>
      <c r="G185" s="16" t="n">
        <v>44.3804305</v>
      </c>
      <c r="H185" s="18" t="n">
        <v>23</v>
      </c>
      <c r="I185" s="18" t="n">
        <v>138</v>
      </c>
      <c r="J185" s="19" t="n">
        <v>23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 t="n">
        <v>23</v>
      </c>
      <c r="AD185" s="19"/>
      <c r="AE185" s="19"/>
      <c r="AF185" s="19"/>
      <c r="AG185" s="19"/>
      <c r="AH185" s="19"/>
      <c r="AI185" s="19"/>
      <c r="AJ185" s="19"/>
      <c r="AK185" s="19"/>
      <c r="AL185" s="19"/>
      <c r="AM185" s="19" t="n">
        <v>13</v>
      </c>
      <c r="AN185" s="19"/>
      <c r="AO185" s="19"/>
      <c r="AP185" s="19" t="n">
        <v>10</v>
      </c>
      <c r="AQ185" s="19"/>
      <c r="AR185" s="19"/>
      <c r="AS185" s="20" t="str">
        <f aca="false">HYPERLINK("http://www.openstreetmap.org/?mlat=32.6221&amp;mlon=44.3804&amp;zoom=12#map=12/32.6221/44.3804","Maplink1")</f>
        <v>Maplink1</v>
      </c>
      <c r="AT185" s="20" t="str">
        <f aca="false">HYPERLINK("https://www.google.iq/maps/search/+32.6221,44.3804/@32.6221,44.3804,14z?hl=en","Maplink2")</f>
        <v>Maplink2</v>
      </c>
      <c r="AU185" s="20" t="str">
        <f aca="false">HYPERLINK("http://www.bing.com/maps/?lvl=14&amp;sty=h&amp;cp=32.6221~44.3804&amp;sp=point.32.6221_44.3804","Maplink3")</f>
        <v>Maplink3</v>
      </c>
    </row>
    <row r="186" customFormat="false" ht="15" hidden="false" customHeight="true" outlineLevel="0" collapsed="false">
      <c r="A186" s="15" t="n">
        <v>25712</v>
      </c>
      <c r="B186" s="16" t="s">
        <v>16</v>
      </c>
      <c r="C186" s="16" t="s">
        <v>367</v>
      </c>
      <c r="D186" s="16" t="s">
        <v>404</v>
      </c>
      <c r="E186" s="17" t="s">
        <v>405</v>
      </c>
      <c r="F186" s="16" t="n">
        <v>32.65435479</v>
      </c>
      <c r="G186" s="16" t="n">
        <v>44.37091671</v>
      </c>
      <c r="H186" s="18" t="n">
        <v>1</v>
      </c>
      <c r="I186" s="18" t="n">
        <v>6</v>
      </c>
      <c r="J186" s="19" t="n">
        <v>1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 t="n">
        <v>1</v>
      </c>
      <c r="AI186" s="19"/>
      <c r="AJ186" s="19"/>
      <c r="AK186" s="19"/>
      <c r="AL186" s="19"/>
      <c r="AM186" s="19"/>
      <c r="AN186" s="19"/>
      <c r="AO186" s="19" t="n">
        <v>1</v>
      </c>
      <c r="AP186" s="19"/>
      <c r="AQ186" s="19"/>
      <c r="AR186" s="19"/>
      <c r="AS186" s="20" t="str">
        <f aca="false">HYPERLINK("http://www.openstreetmap.org/?mlat=32.6544&amp;mlon=44.3709&amp;zoom=12#map=12/32.6544/44.3709","Maplink1")</f>
        <v>Maplink1</v>
      </c>
      <c r="AT186" s="20" t="str">
        <f aca="false">HYPERLINK("https://www.google.iq/maps/search/+32.6544,44.3709/@32.6544,44.3709,14z?hl=en","Maplink2")</f>
        <v>Maplink2</v>
      </c>
      <c r="AU186" s="20" t="str">
        <f aca="false">HYPERLINK("http://www.bing.com/maps/?lvl=14&amp;sty=h&amp;cp=32.6544~44.3709&amp;sp=point.32.6544_44.3709","Maplink3")</f>
        <v>Maplink3</v>
      </c>
    </row>
    <row r="187" customFormat="false" ht="15" hidden="false" customHeight="true" outlineLevel="0" collapsed="false">
      <c r="A187" s="15" t="n">
        <v>24517</v>
      </c>
      <c r="B187" s="16" t="s">
        <v>16</v>
      </c>
      <c r="C187" s="16" t="s">
        <v>367</v>
      </c>
      <c r="D187" s="16" t="s">
        <v>406</v>
      </c>
      <c r="E187" s="17" t="s">
        <v>407</v>
      </c>
      <c r="F187" s="16" t="n">
        <v>32.5341</v>
      </c>
      <c r="G187" s="16" t="n">
        <v>44.48772314</v>
      </c>
      <c r="H187" s="18" t="n">
        <v>9</v>
      </c>
      <c r="I187" s="18" t="n">
        <v>54</v>
      </c>
      <c r="J187" s="19"/>
      <c r="K187" s="19"/>
      <c r="L187" s="19" t="n">
        <v>4</v>
      </c>
      <c r="M187" s="19"/>
      <c r="N187" s="19"/>
      <c r="O187" s="19" t="n">
        <v>2</v>
      </c>
      <c r="P187" s="19"/>
      <c r="Q187" s="19"/>
      <c r="R187" s="19"/>
      <c r="S187" s="19"/>
      <c r="T187" s="19"/>
      <c r="U187" s="19"/>
      <c r="V187" s="19" t="n">
        <v>3</v>
      </c>
      <c r="W187" s="19"/>
      <c r="X187" s="19"/>
      <c r="Y187" s="19"/>
      <c r="Z187" s="19"/>
      <c r="AA187" s="19"/>
      <c r="AB187" s="19"/>
      <c r="AC187" s="19" t="n">
        <v>5</v>
      </c>
      <c r="AD187" s="19"/>
      <c r="AE187" s="19"/>
      <c r="AF187" s="19"/>
      <c r="AG187" s="19" t="n">
        <v>4</v>
      </c>
      <c r="AH187" s="19"/>
      <c r="AI187" s="19"/>
      <c r="AJ187" s="19"/>
      <c r="AK187" s="19"/>
      <c r="AL187" s="19"/>
      <c r="AM187" s="19" t="n">
        <v>3</v>
      </c>
      <c r="AN187" s="19" t="n">
        <v>2</v>
      </c>
      <c r="AO187" s="19" t="n">
        <v>4</v>
      </c>
      <c r="AP187" s="19"/>
      <c r="AQ187" s="19"/>
      <c r="AR187" s="19"/>
      <c r="AS187" s="20" t="str">
        <f aca="false">HYPERLINK("http://www.openstreetmap.org/?mlat=32.5341&amp;mlon=44.4877&amp;zoom=12#map=12/32.5341/44.4877","Maplink1")</f>
        <v>Maplink1</v>
      </c>
      <c r="AT187" s="20" t="str">
        <f aca="false">HYPERLINK("https://www.google.iq/maps/search/+32.5341,44.4877/@32.5341,44.4877,14z?hl=en","Maplink2")</f>
        <v>Maplink2</v>
      </c>
      <c r="AU187" s="20" t="str">
        <f aca="false">HYPERLINK("http://www.bing.com/maps/?lvl=14&amp;sty=h&amp;cp=32.5341~44.4877&amp;sp=point.32.5341_44.4877","Maplink3")</f>
        <v>Maplink3</v>
      </c>
    </row>
    <row r="188" customFormat="false" ht="15" hidden="false" customHeight="true" outlineLevel="0" collapsed="false">
      <c r="A188" s="15" t="n">
        <v>25617</v>
      </c>
      <c r="B188" s="16" t="s">
        <v>16</v>
      </c>
      <c r="C188" s="16" t="s">
        <v>367</v>
      </c>
      <c r="D188" s="16" t="s">
        <v>408</v>
      </c>
      <c r="E188" s="17" t="s">
        <v>409</v>
      </c>
      <c r="F188" s="16" t="n">
        <v>32.67333423</v>
      </c>
      <c r="G188" s="16" t="n">
        <v>44.39856417</v>
      </c>
      <c r="H188" s="18" t="n">
        <v>12</v>
      </c>
      <c r="I188" s="18" t="n">
        <v>72</v>
      </c>
      <c r="J188" s="19" t="n">
        <v>8</v>
      </c>
      <c r="K188" s="19" t="n">
        <v>2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 t="n">
        <v>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 t="n">
        <v>12</v>
      </c>
      <c r="AI188" s="19"/>
      <c r="AJ188" s="19"/>
      <c r="AK188" s="19"/>
      <c r="AL188" s="19"/>
      <c r="AM188" s="19" t="n">
        <v>4</v>
      </c>
      <c r="AN188" s="19"/>
      <c r="AO188" s="19" t="n">
        <v>8</v>
      </c>
      <c r="AP188" s="19"/>
      <c r="AQ188" s="19"/>
      <c r="AR188" s="19"/>
      <c r="AS188" s="20" t="str">
        <f aca="false">HYPERLINK("http://www.openstreetmap.org/?mlat=32.6733&amp;mlon=44.3986&amp;zoom=12#map=12/32.6733/44.3986","Maplink1")</f>
        <v>Maplink1</v>
      </c>
      <c r="AT188" s="20" t="str">
        <f aca="false">HYPERLINK("https://www.google.iq/maps/search/+32.6733,44.3986/@32.6733,44.3986,14z?hl=en","Maplink2")</f>
        <v>Maplink2</v>
      </c>
      <c r="AU188" s="20" t="str">
        <f aca="false">HYPERLINK("http://www.bing.com/maps/?lvl=14&amp;sty=h&amp;cp=32.6733~44.3986&amp;sp=point.32.6733_44.3986","Maplink3")</f>
        <v>Maplink3</v>
      </c>
    </row>
    <row r="189" customFormat="false" ht="15" hidden="false" customHeight="true" outlineLevel="0" collapsed="false">
      <c r="A189" s="15" t="n">
        <v>7232</v>
      </c>
      <c r="B189" s="16" t="s">
        <v>16</v>
      </c>
      <c r="C189" s="16" t="s">
        <v>367</v>
      </c>
      <c r="D189" s="16" t="s">
        <v>410</v>
      </c>
      <c r="E189" s="17" t="s">
        <v>411</v>
      </c>
      <c r="F189" s="16" t="n">
        <v>32.65663433</v>
      </c>
      <c r="G189" s="16" t="n">
        <v>44.39642292</v>
      </c>
      <c r="H189" s="18" t="n">
        <v>3</v>
      </c>
      <c r="I189" s="18" t="n">
        <v>18</v>
      </c>
      <c r="J189" s="19" t="n">
        <v>3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 t="n">
        <v>3</v>
      </c>
      <c r="AI189" s="19"/>
      <c r="AJ189" s="19"/>
      <c r="AK189" s="19"/>
      <c r="AL189" s="19"/>
      <c r="AM189" s="19"/>
      <c r="AN189" s="19"/>
      <c r="AO189" s="19" t="n">
        <v>3</v>
      </c>
      <c r="AP189" s="19"/>
      <c r="AQ189" s="19"/>
      <c r="AR189" s="19"/>
      <c r="AS189" s="20" t="str">
        <f aca="false">HYPERLINK("http://www.openstreetmap.org/?mlat=32.6566&amp;mlon=44.3964&amp;zoom=12#map=12/32.6566/44.3964","Maplink1")</f>
        <v>Maplink1</v>
      </c>
      <c r="AT189" s="20" t="str">
        <f aca="false">HYPERLINK("https://www.google.iq/maps/search/+32.6566,44.3964/@32.6566,44.3964,14z?hl=en","Maplink2")</f>
        <v>Maplink2</v>
      </c>
      <c r="AU189" s="20" t="str">
        <f aca="false">HYPERLINK("http://www.bing.com/maps/?lvl=14&amp;sty=h&amp;cp=32.6566~44.3964&amp;sp=point.32.6566_44.3964","Maplink3")</f>
        <v>Maplink3</v>
      </c>
    </row>
    <row r="190" customFormat="false" ht="15" hidden="false" customHeight="true" outlineLevel="0" collapsed="false">
      <c r="A190" s="15" t="n">
        <v>24438</v>
      </c>
      <c r="B190" s="16" t="s">
        <v>16</v>
      </c>
      <c r="C190" s="16" t="s">
        <v>367</v>
      </c>
      <c r="D190" s="16" t="s">
        <v>412</v>
      </c>
      <c r="E190" s="17" t="s">
        <v>413</v>
      </c>
      <c r="F190" s="16" t="n">
        <v>32.53880426</v>
      </c>
      <c r="G190" s="16" t="n">
        <v>44.5629239</v>
      </c>
      <c r="H190" s="18" t="n">
        <v>7</v>
      </c>
      <c r="I190" s="18" t="n">
        <v>42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 t="n">
        <v>7</v>
      </c>
      <c r="W190" s="19"/>
      <c r="X190" s="19"/>
      <c r="Y190" s="19"/>
      <c r="Z190" s="19"/>
      <c r="AA190" s="19"/>
      <c r="AB190" s="19"/>
      <c r="AC190" s="19" t="n">
        <v>7</v>
      </c>
      <c r="AD190" s="19"/>
      <c r="AE190" s="19"/>
      <c r="AF190" s="19"/>
      <c r="AG190" s="19"/>
      <c r="AH190" s="19"/>
      <c r="AI190" s="19"/>
      <c r="AJ190" s="19"/>
      <c r="AK190" s="19"/>
      <c r="AL190" s="19"/>
      <c r="AM190" s="19" t="n">
        <v>4</v>
      </c>
      <c r="AN190" s="19" t="n">
        <v>3</v>
      </c>
      <c r="AO190" s="19"/>
      <c r="AP190" s="19"/>
      <c r="AQ190" s="19"/>
      <c r="AR190" s="19"/>
      <c r="AS190" s="20" t="str">
        <f aca="false">HYPERLINK("http://www.openstreetmap.org/?mlat=32.5388&amp;mlon=44.5629&amp;zoom=12#map=12/32.5388/44.5629","Maplink1")</f>
        <v>Maplink1</v>
      </c>
      <c r="AT190" s="20" t="str">
        <f aca="false">HYPERLINK("https://www.google.iq/maps/search/+32.5388,44.5629/@32.5388,44.5629,14z?hl=en","Maplink2")</f>
        <v>Maplink2</v>
      </c>
      <c r="AU190" s="20" t="str">
        <f aca="false">HYPERLINK("http://www.bing.com/maps/?lvl=14&amp;sty=h&amp;cp=32.5388~44.5629&amp;sp=point.32.5388_44.5629","Maplink3")</f>
        <v>Maplink3</v>
      </c>
    </row>
    <row r="191" customFormat="false" ht="15" hidden="false" customHeight="true" outlineLevel="0" collapsed="false">
      <c r="A191" s="15" t="n">
        <v>24468</v>
      </c>
      <c r="B191" s="16" t="s">
        <v>16</v>
      </c>
      <c r="C191" s="16" t="s">
        <v>367</v>
      </c>
      <c r="D191" s="16" t="s">
        <v>414</v>
      </c>
      <c r="E191" s="17" t="s">
        <v>415</v>
      </c>
      <c r="F191" s="16" t="n">
        <v>32.34176</v>
      </c>
      <c r="G191" s="16" t="n">
        <v>44.82516</v>
      </c>
      <c r="H191" s="18" t="n">
        <v>5</v>
      </c>
      <c r="I191" s="18" t="n">
        <v>30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 t="n">
        <v>5</v>
      </c>
      <c r="W191" s="19"/>
      <c r="X191" s="19"/>
      <c r="Y191" s="19"/>
      <c r="Z191" s="19"/>
      <c r="AA191" s="19"/>
      <c r="AB191" s="19"/>
      <c r="AC191" s="19" t="n">
        <v>1</v>
      </c>
      <c r="AD191" s="19"/>
      <c r="AE191" s="19"/>
      <c r="AF191" s="19"/>
      <c r="AG191" s="19"/>
      <c r="AH191" s="19" t="n">
        <v>4</v>
      </c>
      <c r="AI191" s="19"/>
      <c r="AJ191" s="19"/>
      <c r="AK191" s="19"/>
      <c r="AL191" s="19"/>
      <c r="AM191" s="19" t="n">
        <v>5</v>
      </c>
      <c r="AN191" s="19"/>
      <c r="AO191" s="19"/>
      <c r="AP191" s="19"/>
      <c r="AQ191" s="19"/>
      <c r="AR191" s="19"/>
      <c r="AS191" s="20" t="str">
        <f aca="false">HYPERLINK("http://www.openstreetmap.org/?mlat=32.3418&amp;mlon=44.8252&amp;zoom=12#map=12/32.3418/44.8252","Maplink1")</f>
        <v>Maplink1</v>
      </c>
      <c r="AT191" s="20" t="str">
        <f aca="false">HYPERLINK("https://www.google.iq/maps/search/+32.3418,44.8252/@32.3418,44.8252,14z?hl=en","Maplink2")</f>
        <v>Maplink2</v>
      </c>
      <c r="AU191" s="20" t="str">
        <f aca="false">HYPERLINK("http://www.bing.com/maps/?lvl=14&amp;sty=h&amp;cp=32.3418~44.8252&amp;sp=point.32.3418_44.8252","Maplink3")</f>
        <v>Maplink3</v>
      </c>
    </row>
    <row r="192" customFormat="false" ht="15" hidden="false" customHeight="true" outlineLevel="0" collapsed="false">
      <c r="A192" s="15" t="n">
        <v>24467</v>
      </c>
      <c r="B192" s="16" t="s">
        <v>16</v>
      </c>
      <c r="C192" s="16" t="s">
        <v>367</v>
      </c>
      <c r="D192" s="16" t="s">
        <v>416</v>
      </c>
      <c r="E192" s="17" t="s">
        <v>417</v>
      </c>
      <c r="F192" s="16" t="n">
        <v>32.70585</v>
      </c>
      <c r="G192" s="16" t="n">
        <v>44.41644</v>
      </c>
      <c r="H192" s="18" t="n">
        <v>11</v>
      </c>
      <c r="I192" s="18" t="n">
        <v>66</v>
      </c>
      <c r="J192" s="19" t="n">
        <v>5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 t="n">
        <v>6</v>
      </c>
      <c r="W192" s="19"/>
      <c r="X192" s="19"/>
      <c r="Y192" s="19"/>
      <c r="Z192" s="19"/>
      <c r="AA192" s="19"/>
      <c r="AB192" s="19"/>
      <c r="AC192" s="19" t="n">
        <v>6</v>
      </c>
      <c r="AD192" s="19"/>
      <c r="AE192" s="19"/>
      <c r="AF192" s="19"/>
      <c r="AG192" s="19"/>
      <c r="AH192" s="19" t="n">
        <v>5</v>
      </c>
      <c r="AI192" s="19"/>
      <c r="AJ192" s="19"/>
      <c r="AK192" s="19"/>
      <c r="AL192" s="19"/>
      <c r="AM192" s="19" t="n">
        <v>5</v>
      </c>
      <c r="AN192" s="19" t="n">
        <v>1</v>
      </c>
      <c r="AO192" s="19" t="n">
        <v>5</v>
      </c>
      <c r="AP192" s="19"/>
      <c r="AQ192" s="19"/>
      <c r="AR192" s="19"/>
      <c r="AS192" s="20" t="str">
        <f aca="false">HYPERLINK("http://www.openstreetmap.org/?mlat=32.7058&amp;mlon=44.4164&amp;zoom=12#map=12/32.7058/44.4164","Maplink1")</f>
        <v>Maplink1</v>
      </c>
      <c r="AT192" s="20" t="str">
        <f aca="false">HYPERLINK("https://www.google.iq/maps/search/+32.7058,44.4164/@32.7058,44.4164,14z?hl=en","Maplink2")</f>
        <v>Maplink2</v>
      </c>
      <c r="AU192" s="20" t="str">
        <f aca="false">HYPERLINK("http://www.bing.com/maps/?lvl=14&amp;sty=h&amp;cp=32.7058~44.4164&amp;sp=point.32.7058_44.4164","Maplink3")</f>
        <v>Maplink3</v>
      </c>
    </row>
    <row r="193" customFormat="false" ht="15" hidden="false" customHeight="true" outlineLevel="0" collapsed="false">
      <c r="A193" s="15" t="n">
        <v>24465</v>
      </c>
      <c r="B193" s="16" t="s">
        <v>16</v>
      </c>
      <c r="C193" s="16" t="s">
        <v>367</v>
      </c>
      <c r="D193" s="16" t="s">
        <v>418</v>
      </c>
      <c r="E193" s="17" t="s">
        <v>419</v>
      </c>
      <c r="F193" s="16" t="n">
        <v>32.69833</v>
      </c>
      <c r="G193" s="16" t="n">
        <v>44.45845</v>
      </c>
      <c r="H193" s="18" t="n">
        <v>16</v>
      </c>
      <c r="I193" s="18" t="n">
        <v>96</v>
      </c>
      <c r="J193" s="19" t="n">
        <v>4</v>
      </c>
      <c r="K193" s="19" t="n">
        <v>2</v>
      </c>
      <c r="L193" s="19" t="n">
        <v>4</v>
      </c>
      <c r="M193" s="19"/>
      <c r="N193" s="19"/>
      <c r="O193" s="19"/>
      <c r="P193" s="19"/>
      <c r="Q193" s="19"/>
      <c r="R193" s="19"/>
      <c r="S193" s="19"/>
      <c r="T193" s="19"/>
      <c r="U193" s="19"/>
      <c r="V193" s="19" t="n">
        <v>6</v>
      </c>
      <c r="W193" s="19"/>
      <c r="X193" s="19"/>
      <c r="Y193" s="19"/>
      <c r="Z193" s="19"/>
      <c r="AA193" s="19"/>
      <c r="AB193" s="19"/>
      <c r="AC193" s="19" t="n">
        <v>10</v>
      </c>
      <c r="AD193" s="19"/>
      <c r="AE193" s="19"/>
      <c r="AF193" s="19"/>
      <c r="AG193" s="19"/>
      <c r="AH193" s="19" t="n">
        <v>6</v>
      </c>
      <c r="AI193" s="19"/>
      <c r="AJ193" s="19"/>
      <c r="AK193" s="19"/>
      <c r="AL193" s="19"/>
      <c r="AM193" s="19" t="n">
        <v>6</v>
      </c>
      <c r="AN193" s="19" t="n">
        <v>4</v>
      </c>
      <c r="AO193" s="19" t="n">
        <v>4</v>
      </c>
      <c r="AP193" s="19"/>
      <c r="AQ193" s="19"/>
      <c r="AR193" s="19" t="n">
        <v>2</v>
      </c>
      <c r="AS193" s="20" t="str">
        <f aca="false">HYPERLINK("http://www.openstreetmap.org/?mlat=32.6983&amp;mlon=44.4584&amp;zoom=12#map=12/32.6983/44.4584","Maplink1")</f>
        <v>Maplink1</v>
      </c>
      <c r="AT193" s="20" t="str">
        <f aca="false">HYPERLINK("https://www.google.iq/maps/search/+32.6983,44.4584/@32.6983,44.4584,14z?hl=en","Maplink2")</f>
        <v>Maplink2</v>
      </c>
      <c r="AU193" s="20" t="str">
        <f aca="false">HYPERLINK("http://www.bing.com/maps/?lvl=14&amp;sty=h&amp;cp=32.6983~44.4584&amp;sp=point.32.6983_44.4584","Maplink3")</f>
        <v>Maplink3</v>
      </c>
    </row>
    <row r="194" customFormat="false" ht="15" hidden="false" customHeight="true" outlineLevel="0" collapsed="false">
      <c r="A194" s="15" t="n">
        <v>7064</v>
      </c>
      <c r="B194" s="16" t="s">
        <v>16</v>
      </c>
      <c r="C194" s="16" t="s">
        <v>367</v>
      </c>
      <c r="D194" s="16" t="s">
        <v>420</v>
      </c>
      <c r="E194" s="17" t="s">
        <v>421</v>
      </c>
      <c r="F194" s="16" t="n">
        <v>32.50796804</v>
      </c>
      <c r="G194" s="16" t="n">
        <v>44.52054491</v>
      </c>
      <c r="H194" s="18" t="n">
        <v>12</v>
      </c>
      <c r="I194" s="18" t="n">
        <v>72</v>
      </c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 t="n">
        <v>12</v>
      </c>
      <c r="W194" s="19"/>
      <c r="X194" s="19"/>
      <c r="Y194" s="19"/>
      <c r="Z194" s="19"/>
      <c r="AA194" s="19"/>
      <c r="AB194" s="19"/>
      <c r="AC194" s="19" t="n">
        <v>12</v>
      </c>
      <c r="AD194" s="19"/>
      <c r="AE194" s="19"/>
      <c r="AF194" s="19"/>
      <c r="AG194" s="19"/>
      <c r="AH194" s="19"/>
      <c r="AI194" s="19"/>
      <c r="AJ194" s="19"/>
      <c r="AK194" s="19"/>
      <c r="AL194" s="19"/>
      <c r="AM194" s="19" t="n">
        <v>12</v>
      </c>
      <c r="AN194" s="19"/>
      <c r="AO194" s="19"/>
      <c r="AP194" s="19"/>
      <c r="AQ194" s="19"/>
      <c r="AR194" s="19"/>
      <c r="AS194" s="20" t="str">
        <f aca="false">HYPERLINK("http://www.openstreetmap.org/?mlat=32.508&amp;mlon=44.5205&amp;zoom=12#map=12/32.508/44.5205","Maplink1")</f>
        <v>Maplink1</v>
      </c>
      <c r="AT194" s="20" t="str">
        <f aca="false">HYPERLINK("https://www.google.iq/maps/search/+32.508,44.5205/@32.508,44.5205,14z?hl=en","Maplink2")</f>
        <v>Maplink2</v>
      </c>
      <c r="AU194" s="20" t="str">
        <f aca="false">HYPERLINK("http://www.bing.com/maps/?lvl=14&amp;sty=h&amp;cp=32.508~44.5205&amp;sp=point.32.508_44.5205","Maplink3")</f>
        <v>Maplink3</v>
      </c>
    </row>
    <row r="195" customFormat="false" ht="15" hidden="false" customHeight="true" outlineLevel="0" collapsed="false">
      <c r="A195" s="15" t="n">
        <v>25713</v>
      </c>
      <c r="B195" s="16" t="s">
        <v>16</v>
      </c>
      <c r="C195" s="16" t="s">
        <v>367</v>
      </c>
      <c r="D195" s="16" t="s">
        <v>422</v>
      </c>
      <c r="E195" s="17" t="s">
        <v>423</v>
      </c>
      <c r="F195" s="16" t="n">
        <v>32.65521109</v>
      </c>
      <c r="G195" s="16" t="n">
        <v>44.37383772</v>
      </c>
      <c r="H195" s="18" t="n">
        <v>1</v>
      </c>
      <c r="I195" s="18" t="n">
        <v>6</v>
      </c>
      <c r="J195" s="19" t="n">
        <v>1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 t="n">
        <v>1</v>
      </c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 t="n">
        <v>1</v>
      </c>
      <c r="AQ195" s="19"/>
      <c r="AR195" s="19"/>
      <c r="AS195" s="20" t="str">
        <f aca="false">HYPERLINK("http://www.openstreetmap.org/?mlat=32.6552&amp;mlon=44.3738&amp;zoom=12#map=12/32.6552/44.3738","Maplink1")</f>
        <v>Maplink1</v>
      </c>
      <c r="AT195" s="20" t="str">
        <f aca="false">HYPERLINK("https://www.google.iq/maps/search/+32.6552,44.3738/@32.6552,44.3738,14z?hl=en","Maplink2")</f>
        <v>Maplink2</v>
      </c>
      <c r="AU195" s="20" t="str">
        <f aca="false">HYPERLINK("http://www.bing.com/maps/?lvl=14&amp;sty=h&amp;cp=32.6552~44.3738&amp;sp=point.32.6552_44.3738","Maplink3")</f>
        <v>Maplink3</v>
      </c>
    </row>
    <row r="196" customFormat="false" ht="15" hidden="false" customHeight="true" outlineLevel="0" collapsed="false">
      <c r="A196" s="15" t="n">
        <v>24690</v>
      </c>
      <c r="B196" s="16" t="s">
        <v>16</v>
      </c>
      <c r="C196" s="16" t="s">
        <v>367</v>
      </c>
      <c r="D196" s="16" t="s">
        <v>424</v>
      </c>
      <c r="E196" s="17" t="s">
        <v>425</v>
      </c>
      <c r="F196" s="16" t="n">
        <v>32.66830919</v>
      </c>
      <c r="G196" s="16" t="n">
        <v>44.50310368</v>
      </c>
      <c r="H196" s="18" t="n">
        <v>3</v>
      </c>
      <c r="I196" s="18" t="n">
        <v>18</v>
      </c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 t="n">
        <v>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 t="n">
        <v>3</v>
      </c>
      <c r="AI196" s="19"/>
      <c r="AJ196" s="19"/>
      <c r="AK196" s="19"/>
      <c r="AL196" s="19"/>
      <c r="AM196" s="19"/>
      <c r="AN196" s="19" t="n">
        <v>3</v>
      </c>
      <c r="AO196" s="19"/>
      <c r="AP196" s="19"/>
      <c r="AQ196" s="19"/>
      <c r="AR196" s="19"/>
      <c r="AS196" s="20" t="str">
        <f aca="false">HYPERLINK("http://www.openstreetmap.org/?mlat=32.6683&amp;mlon=44.5031&amp;zoom=12#map=12/32.6683/44.5031","Maplink1")</f>
        <v>Maplink1</v>
      </c>
      <c r="AT196" s="20" t="str">
        <f aca="false">HYPERLINK("https://www.google.iq/maps/search/+32.6683,44.5031/@32.6683,44.5031,14z?hl=en","Maplink2")</f>
        <v>Maplink2</v>
      </c>
      <c r="AU196" s="20" t="str">
        <f aca="false">HYPERLINK("http://www.bing.com/maps/?lvl=14&amp;sty=h&amp;cp=32.6683~44.5031&amp;sp=point.32.6683_44.5031","Maplink3")</f>
        <v>Maplink3</v>
      </c>
    </row>
    <row r="197" customFormat="false" ht="15" hidden="false" customHeight="true" outlineLevel="0" collapsed="false">
      <c r="A197" s="15" t="n">
        <v>24432</v>
      </c>
      <c r="B197" s="16" t="s">
        <v>16</v>
      </c>
      <c r="C197" s="16" t="s">
        <v>367</v>
      </c>
      <c r="D197" s="16" t="s">
        <v>426</v>
      </c>
      <c r="E197" s="17" t="s">
        <v>427</v>
      </c>
      <c r="F197" s="16" t="n">
        <v>32.54707276</v>
      </c>
      <c r="G197" s="16" t="n">
        <v>44.51972198</v>
      </c>
      <c r="H197" s="18" t="n">
        <v>7</v>
      </c>
      <c r="I197" s="18" t="n">
        <v>42</v>
      </c>
      <c r="J197" s="19" t="n">
        <v>2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 t="n">
        <v>5</v>
      </c>
      <c r="W197" s="19"/>
      <c r="X197" s="19"/>
      <c r="Y197" s="19"/>
      <c r="Z197" s="19"/>
      <c r="AA197" s="19"/>
      <c r="AB197" s="19"/>
      <c r="AC197" s="19" t="n">
        <v>7</v>
      </c>
      <c r="AD197" s="19"/>
      <c r="AE197" s="19"/>
      <c r="AF197" s="19"/>
      <c r="AG197" s="19"/>
      <c r="AH197" s="19"/>
      <c r="AI197" s="19"/>
      <c r="AJ197" s="19"/>
      <c r="AK197" s="19"/>
      <c r="AL197" s="19"/>
      <c r="AM197" s="19" t="n">
        <v>5</v>
      </c>
      <c r="AN197" s="19"/>
      <c r="AO197" s="19"/>
      <c r="AP197" s="19" t="n">
        <v>2</v>
      </c>
      <c r="AQ197" s="19"/>
      <c r="AR197" s="19"/>
      <c r="AS197" s="20" t="str">
        <f aca="false">HYPERLINK("http://www.openstreetmap.org/?mlat=32.5471&amp;mlon=44.5197&amp;zoom=12#map=12/32.5471/44.5197","Maplink1")</f>
        <v>Maplink1</v>
      </c>
      <c r="AT197" s="20" t="str">
        <f aca="false">HYPERLINK("https://www.google.iq/maps/search/+32.5471,44.5197/@32.5471,44.5197,14z?hl=en","Maplink2")</f>
        <v>Maplink2</v>
      </c>
      <c r="AU197" s="20" t="str">
        <f aca="false">HYPERLINK("http://www.bing.com/maps/?lvl=14&amp;sty=h&amp;cp=32.5471~44.5197&amp;sp=point.32.5471_44.5197","Maplink3")</f>
        <v>Maplink3</v>
      </c>
    </row>
    <row r="198" customFormat="false" ht="15" hidden="false" customHeight="true" outlineLevel="0" collapsed="false">
      <c r="A198" s="15" t="n">
        <v>24435</v>
      </c>
      <c r="B198" s="16" t="s">
        <v>16</v>
      </c>
      <c r="C198" s="16" t="s">
        <v>367</v>
      </c>
      <c r="D198" s="16" t="s">
        <v>428</v>
      </c>
      <c r="E198" s="17" t="s">
        <v>429</v>
      </c>
      <c r="F198" s="16" t="n">
        <v>32.54345</v>
      </c>
      <c r="G198" s="16" t="n">
        <v>44.48812</v>
      </c>
      <c r="H198" s="18" t="n">
        <v>10</v>
      </c>
      <c r="I198" s="18" t="n">
        <v>60</v>
      </c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 t="n">
        <v>10</v>
      </c>
      <c r="W198" s="19"/>
      <c r="X198" s="19"/>
      <c r="Y198" s="19"/>
      <c r="Z198" s="19"/>
      <c r="AA198" s="19"/>
      <c r="AB198" s="19"/>
      <c r="AC198" s="19" t="n">
        <v>10</v>
      </c>
      <c r="AD198" s="19"/>
      <c r="AE198" s="19"/>
      <c r="AF198" s="19"/>
      <c r="AG198" s="19"/>
      <c r="AH198" s="19"/>
      <c r="AI198" s="19"/>
      <c r="AJ198" s="19"/>
      <c r="AK198" s="19"/>
      <c r="AL198" s="19"/>
      <c r="AM198" s="19" t="n">
        <v>10</v>
      </c>
      <c r="AN198" s="19"/>
      <c r="AO198" s="19"/>
      <c r="AP198" s="19"/>
      <c r="AQ198" s="19"/>
      <c r="AR198" s="19"/>
      <c r="AS198" s="20" t="str">
        <f aca="false">HYPERLINK("http://www.openstreetmap.org/?mlat=32.5435&amp;mlon=44.4881&amp;zoom=12#map=12/32.5435/44.4881","Maplink1")</f>
        <v>Maplink1</v>
      </c>
      <c r="AT198" s="20" t="str">
        <f aca="false">HYPERLINK("https://www.google.iq/maps/search/+32.5435,44.4881/@32.5435,44.4881,14z?hl=en","Maplink2")</f>
        <v>Maplink2</v>
      </c>
      <c r="AU198" s="20" t="str">
        <f aca="false">HYPERLINK("http://www.bing.com/maps/?lvl=14&amp;sty=h&amp;cp=32.5435~44.4881&amp;sp=point.32.5435_44.4881","Maplink3")</f>
        <v>Maplink3</v>
      </c>
    </row>
    <row r="199" customFormat="false" ht="15" hidden="false" customHeight="true" outlineLevel="0" collapsed="false">
      <c r="A199" s="15" t="n">
        <v>24469</v>
      </c>
      <c r="B199" s="16" t="s">
        <v>16</v>
      </c>
      <c r="C199" s="16" t="s">
        <v>367</v>
      </c>
      <c r="D199" s="16" t="s">
        <v>430</v>
      </c>
      <c r="E199" s="17" t="s">
        <v>431</v>
      </c>
      <c r="F199" s="16" t="n">
        <v>32.5681812</v>
      </c>
      <c r="G199" s="16" t="n">
        <v>44.40573731</v>
      </c>
      <c r="H199" s="18" t="n">
        <v>10</v>
      </c>
      <c r="I199" s="18" t="n">
        <v>60</v>
      </c>
      <c r="J199" s="19"/>
      <c r="K199" s="19"/>
      <c r="L199" s="19" t="n">
        <v>1</v>
      </c>
      <c r="M199" s="19"/>
      <c r="N199" s="19"/>
      <c r="O199" s="19"/>
      <c r="P199" s="19"/>
      <c r="Q199" s="19"/>
      <c r="R199" s="19"/>
      <c r="S199" s="19"/>
      <c r="T199" s="19"/>
      <c r="U199" s="19"/>
      <c r="V199" s="19" t="n">
        <v>7</v>
      </c>
      <c r="W199" s="19"/>
      <c r="X199" s="19" t="n">
        <v>2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 t="n">
        <v>10</v>
      </c>
      <c r="AI199" s="19"/>
      <c r="AJ199" s="19"/>
      <c r="AK199" s="19"/>
      <c r="AL199" s="19"/>
      <c r="AM199" s="19" t="n">
        <v>4</v>
      </c>
      <c r="AN199" s="19" t="n">
        <v>4</v>
      </c>
      <c r="AO199" s="19" t="n">
        <v>2</v>
      </c>
      <c r="AP199" s="19"/>
      <c r="AQ199" s="19"/>
      <c r="AR199" s="19"/>
      <c r="AS199" s="20" t="str">
        <f aca="false">HYPERLINK("http://www.openstreetmap.org/?mlat=32.5682&amp;mlon=44.4057&amp;zoom=12#map=12/32.5682/44.4057","Maplink1")</f>
        <v>Maplink1</v>
      </c>
      <c r="AT199" s="20" t="str">
        <f aca="false">HYPERLINK("https://www.google.iq/maps/search/+32.5682,44.4057/@32.5682,44.4057,14z?hl=en","Maplink2")</f>
        <v>Maplink2</v>
      </c>
      <c r="AU199" s="20" t="str">
        <f aca="false">HYPERLINK("http://www.bing.com/maps/?lvl=14&amp;sty=h&amp;cp=32.5682~44.4057&amp;sp=point.32.5682_44.4057","Maplink3")</f>
        <v>Maplink3</v>
      </c>
    </row>
    <row r="200" customFormat="false" ht="15" hidden="false" customHeight="true" outlineLevel="0" collapsed="false">
      <c r="A200" s="15" t="n">
        <v>24519</v>
      </c>
      <c r="B200" s="16" t="s">
        <v>16</v>
      </c>
      <c r="C200" s="16" t="s">
        <v>367</v>
      </c>
      <c r="D200" s="16" t="s">
        <v>432</v>
      </c>
      <c r="E200" s="17" t="s">
        <v>433</v>
      </c>
      <c r="F200" s="16" t="n">
        <v>32.57048228</v>
      </c>
      <c r="G200" s="16" t="n">
        <v>44.40842581</v>
      </c>
      <c r="H200" s="18" t="n">
        <v>4</v>
      </c>
      <c r="I200" s="18" t="n">
        <v>24</v>
      </c>
      <c r="J200" s="19" t="n">
        <v>2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 t="n">
        <v>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 t="n">
        <v>4</v>
      </c>
      <c r="AI200" s="19"/>
      <c r="AJ200" s="19"/>
      <c r="AK200" s="19"/>
      <c r="AL200" s="19"/>
      <c r="AM200" s="19" t="n">
        <v>2</v>
      </c>
      <c r="AN200" s="19"/>
      <c r="AO200" s="19" t="n">
        <v>2</v>
      </c>
      <c r="AP200" s="19"/>
      <c r="AQ200" s="19"/>
      <c r="AR200" s="19"/>
      <c r="AS200" s="20" t="str">
        <f aca="false">HYPERLINK("http://www.openstreetmap.org/?mlat=32.5705&amp;mlon=44.4084&amp;zoom=12#map=12/32.5705/44.4084","Maplink1")</f>
        <v>Maplink1</v>
      </c>
      <c r="AT200" s="20" t="str">
        <f aca="false">HYPERLINK("https://www.google.iq/maps/search/+32.5705,44.4084/@32.5705,44.4084,14z?hl=en","Maplink2")</f>
        <v>Maplink2</v>
      </c>
      <c r="AU200" s="20" t="str">
        <f aca="false">HYPERLINK("http://www.bing.com/maps/?lvl=14&amp;sty=h&amp;cp=32.5705~44.4084&amp;sp=point.32.5705_44.4084","Maplink3")</f>
        <v>Maplink3</v>
      </c>
    </row>
    <row r="201" customFormat="false" ht="15" hidden="false" customHeight="true" outlineLevel="0" collapsed="false">
      <c r="A201" s="15" t="n">
        <v>23964</v>
      </c>
      <c r="B201" s="16" t="s">
        <v>16</v>
      </c>
      <c r="C201" s="16" t="s">
        <v>367</v>
      </c>
      <c r="D201" s="16" t="s">
        <v>434</v>
      </c>
      <c r="E201" s="17" t="s">
        <v>435</v>
      </c>
      <c r="F201" s="16" t="n">
        <v>32.62421481</v>
      </c>
      <c r="G201" s="16" t="n">
        <v>44.38810917</v>
      </c>
      <c r="H201" s="18" t="n">
        <v>20</v>
      </c>
      <c r="I201" s="18" t="n">
        <v>120</v>
      </c>
      <c r="J201" s="19" t="n">
        <v>19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 t="n">
        <v>1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 t="n">
        <v>20</v>
      </c>
      <c r="AI201" s="19"/>
      <c r="AJ201" s="19"/>
      <c r="AK201" s="19"/>
      <c r="AL201" s="19" t="n">
        <v>9</v>
      </c>
      <c r="AM201" s="19" t="n">
        <v>1</v>
      </c>
      <c r="AN201" s="19"/>
      <c r="AO201" s="19" t="n">
        <v>5</v>
      </c>
      <c r="AP201" s="19" t="n">
        <v>5</v>
      </c>
      <c r="AQ201" s="19"/>
      <c r="AR201" s="19"/>
      <c r="AS201" s="20" t="str">
        <f aca="false">HYPERLINK("http://www.openstreetmap.org/?mlat=32.6242&amp;mlon=44.3881&amp;zoom=12#map=12/32.6242/44.3881","Maplink1")</f>
        <v>Maplink1</v>
      </c>
      <c r="AT201" s="20" t="str">
        <f aca="false">HYPERLINK("https://www.google.iq/maps/search/+32.6242,44.3881/@32.6242,44.3881,14z?hl=en","Maplink2")</f>
        <v>Maplink2</v>
      </c>
      <c r="AU201" s="20" t="str">
        <f aca="false">HYPERLINK("http://www.bing.com/maps/?lvl=14&amp;sty=h&amp;cp=32.6242~44.3881&amp;sp=point.32.6242_44.3881","Maplink3")</f>
        <v>Maplink3</v>
      </c>
    </row>
    <row r="202" customFormat="false" ht="15" hidden="false" customHeight="true" outlineLevel="0" collapsed="false">
      <c r="A202" s="15" t="n">
        <v>23942</v>
      </c>
      <c r="B202" s="16" t="s">
        <v>16</v>
      </c>
      <c r="C202" s="16" t="s">
        <v>367</v>
      </c>
      <c r="D202" s="16" t="s">
        <v>436</v>
      </c>
      <c r="E202" s="17" t="s">
        <v>437</v>
      </c>
      <c r="F202" s="16" t="n">
        <v>32.59838396</v>
      </c>
      <c r="G202" s="16" t="n">
        <v>44.4051562</v>
      </c>
      <c r="H202" s="18" t="n">
        <v>19</v>
      </c>
      <c r="I202" s="18" t="n">
        <v>114</v>
      </c>
      <c r="J202" s="19" t="n">
        <v>11</v>
      </c>
      <c r="K202" s="19"/>
      <c r="L202" s="19" t="n">
        <v>8</v>
      </c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 t="n">
        <v>19</v>
      </c>
      <c r="AD202" s="19"/>
      <c r="AE202" s="19"/>
      <c r="AF202" s="19"/>
      <c r="AG202" s="19"/>
      <c r="AH202" s="19"/>
      <c r="AI202" s="19"/>
      <c r="AJ202" s="19"/>
      <c r="AK202" s="19"/>
      <c r="AL202" s="19" t="n">
        <v>7</v>
      </c>
      <c r="AM202" s="19" t="n">
        <v>6</v>
      </c>
      <c r="AN202" s="19"/>
      <c r="AO202" s="19"/>
      <c r="AP202" s="19" t="n">
        <v>6</v>
      </c>
      <c r="AQ202" s="19"/>
      <c r="AR202" s="19"/>
      <c r="AS202" s="20" t="str">
        <f aca="false">HYPERLINK("http://www.openstreetmap.org/?mlat=32.5984&amp;mlon=44.4052&amp;zoom=12#map=12/32.5984/44.4052","Maplink1")</f>
        <v>Maplink1</v>
      </c>
      <c r="AT202" s="20" t="str">
        <f aca="false">HYPERLINK("https://www.google.iq/maps/search/+32.5984,44.4052/@32.5984,44.4052,14z?hl=en","Maplink2")</f>
        <v>Maplink2</v>
      </c>
      <c r="AU202" s="20" t="str">
        <f aca="false">HYPERLINK("http://www.bing.com/maps/?lvl=14&amp;sty=h&amp;cp=32.5984~44.4052&amp;sp=point.32.5984_44.4052","Maplink3")</f>
        <v>Maplink3</v>
      </c>
    </row>
    <row r="203" customFormat="false" ht="15" hidden="false" customHeight="true" outlineLevel="0" collapsed="false">
      <c r="A203" s="15" t="n">
        <v>7231</v>
      </c>
      <c r="B203" s="16" t="s">
        <v>16</v>
      </c>
      <c r="C203" s="16" t="s">
        <v>367</v>
      </c>
      <c r="D203" s="16" t="s">
        <v>438</v>
      </c>
      <c r="E203" s="17" t="s">
        <v>439</v>
      </c>
      <c r="F203" s="16" t="n">
        <v>32.58915394</v>
      </c>
      <c r="G203" s="16" t="n">
        <v>44.42840567</v>
      </c>
      <c r="H203" s="18" t="n">
        <v>8</v>
      </c>
      <c r="I203" s="18" t="n">
        <v>48</v>
      </c>
      <c r="J203" s="19" t="n">
        <v>1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 t="n">
        <v>7</v>
      </c>
      <c r="W203" s="19"/>
      <c r="X203" s="19"/>
      <c r="Y203" s="19"/>
      <c r="Z203" s="19"/>
      <c r="AA203" s="19"/>
      <c r="AB203" s="19"/>
      <c r="AC203" s="19" t="n">
        <v>8</v>
      </c>
      <c r="AD203" s="19"/>
      <c r="AE203" s="19"/>
      <c r="AF203" s="19"/>
      <c r="AG203" s="19"/>
      <c r="AH203" s="19"/>
      <c r="AI203" s="19"/>
      <c r="AJ203" s="19"/>
      <c r="AK203" s="19"/>
      <c r="AL203" s="19"/>
      <c r="AM203" s="19" t="n">
        <v>2</v>
      </c>
      <c r="AN203" s="19" t="n">
        <v>5</v>
      </c>
      <c r="AO203" s="19" t="n">
        <v>1</v>
      </c>
      <c r="AP203" s="19"/>
      <c r="AQ203" s="19"/>
      <c r="AR203" s="19"/>
      <c r="AS203" s="20" t="str">
        <f aca="false">HYPERLINK("http://www.openstreetmap.org/?mlat=32.5892&amp;mlon=44.4284&amp;zoom=12#map=12/32.5892/44.4284","Maplink1")</f>
        <v>Maplink1</v>
      </c>
      <c r="AT203" s="20" t="str">
        <f aca="false">HYPERLINK("https://www.google.iq/maps/search/+32.5892,44.4284/@32.5892,44.4284,14z?hl=en","Maplink2")</f>
        <v>Maplink2</v>
      </c>
      <c r="AU203" s="20" t="str">
        <f aca="false">HYPERLINK("http://www.bing.com/maps/?lvl=14&amp;sty=h&amp;cp=32.5892~44.4284&amp;sp=point.32.5892_44.4284","Maplink3")</f>
        <v>Maplink3</v>
      </c>
    </row>
    <row r="204" customFormat="false" ht="15" hidden="false" customHeight="true" outlineLevel="0" collapsed="false">
      <c r="A204" s="15" t="n">
        <v>24960</v>
      </c>
      <c r="B204" s="16" t="s">
        <v>16</v>
      </c>
      <c r="C204" s="16" t="s">
        <v>367</v>
      </c>
      <c r="D204" s="16" t="s">
        <v>440</v>
      </c>
      <c r="E204" s="17" t="s">
        <v>93</v>
      </c>
      <c r="F204" s="16" t="n">
        <v>32.65082203</v>
      </c>
      <c r="G204" s="16" t="n">
        <v>44.41541648</v>
      </c>
      <c r="H204" s="18" t="n">
        <v>24</v>
      </c>
      <c r="I204" s="18" t="n">
        <v>144</v>
      </c>
      <c r="J204" s="19" t="n">
        <v>24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 t="n">
        <v>24</v>
      </c>
      <c r="AI204" s="19"/>
      <c r="AJ204" s="19"/>
      <c r="AK204" s="19"/>
      <c r="AL204" s="19"/>
      <c r="AM204" s="19"/>
      <c r="AN204" s="19"/>
      <c r="AO204" s="19" t="n">
        <v>16</v>
      </c>
      <c r="AP204" s="19" t="n">
        <v>8</v>
      </c>
      <c r="AQ204" s="19"/>
      <c r="AR204" s="19"/>
      <c r="AS204" s="20" t="str">
        <f aca="false">HYPERLINK("http://www.openstreetmap.org/?mlat=32.6508&amp;mlon=44.4154&amp;zoom=12#map=12/32.6508/44.4154","Maplink1")</f>
        <v>Maplink1</v>
      </c>
      <c r="AT204" s="20" t="str">
        <f aca="false">HYPERLINK("https://www.google.iq/maps/search/+32.6508,44.4154/@32.6508,44.4154,14z?hl=en","Maplink2")</f>
        <v>Maplink2</v>
      </c>
      <c r="AU204" s="20" t="str">
        <f aca="false">HYPERLINK("http://www.bing.com/maps/?lvl=14&amp;sty=h&amp;cp=32.6508~44.4154&amp;sp=point.32.6508_44.4154","Maplink3")</f>
        <v>Maplink3</v>
      </c>
    </row>
    <row r="205" customFormat="false" ht="15" hidden="false" customHeight="true" outlineLevel="0" collapsed="false">
      <c r="A205" s="15" t="n">
        <v>28455</v>
      </c>
      <c r="B205" s="16" t="s">
        <v>16</v>
      </c>
      <c r="C205" s="16" t="s">
        <v>367</v>
      </c>
      <c r="D205" s="16" t="s">
        <v>441</v>
      </c>
      <c r="E205" s="17" t="s">
        <v>442</v>
      </c>
      <c r="F205" s="16" t="n">
        <v>32.64909402</v>
      </c>
      <c r="G205" s="16" t="n">
        <v>44.40901858</v>
      </c>
      <c r="H205" s="18" t="n">
        <v>7</v>
      </c>
      <c r="I205" s="18" t="n">
        <v>42</v>
      </c>
      <c r="J205" s="19" t="n">
        <v>1</v>
      </c>
      <c r="K205" s="19" t="n">
        <v>2</v>
      </c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 t="n">
        <v>2</v>
      </c>
      <c r="W205" s="19"/>
      <c r="X205" s="19" t="n">
        <v>2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 t="n">
        <v>7</v>
      </c>
      <c r="AI205" s="19"/>
      <c r="AJ205" s="19"/>
      <c r="AK205" s="19"/>
      <c r="AL205" s="19"/>
      <c r="AM205" s="19" t="n">
        <v>2</v>
      </c>
      <c r="AN205" s="19" t="n">
        <v>2</v>
      </c>
      <c r="AO205" s="19" t="n">
        <v>1</v>
      </c>
      <c r="AP205" s="19"/>
      <c r="AQ205" s="19"/>
      <c r="AR205" s="19" t="n">
        <v>2</v>
      </c>
      <c r="AS205" s="20" t="str">
        <f aca="false">HYPERLINK("http://www.openstreetmap.org/?mlat=32.6491&amp;mlon=44.409&amp;zoom=12#map=12/32.6491/44.409","Maplink1")</f>
        <v>Maplink1</v>
      </c>
      <c r="AT205" s="20" t="str">
        <f aca="false">HYPERLINK("https://www.google.iq/maps/search/+32.6491,44.409/@32.6491,44.409,14z?hl=en","Maplink2")</f>
        <v>Maplink2</v>
      </c>
      <c r="AU205" s="20" t="str">
        <f aca="false">HYPERLINK("http://www.bing.com/maps/?lvl=14&amp;sty=h&amp;cp=32.6491~44.409&amp;sp=point.32.6491_44.409","Maplink3")</f>
        <v>Maplink3</v>
      </c>
    </row>
    <row r="206" customFormat="false" ht="15" hidden="false" customHeight="true" outlineLevel="0" collapsed="false">
      <c r="A206" s="15" t="n">
        <v>22869</v>
      </c>
      <c r="B206" s="16" t="s">
        <v>16</v>
      </c>
      <c r="C206" s="16" t="s">
        <v>367</v>
      </c>
      <c r="D206" s="16" t="s">
        <v>136</v>
      </c>
      <c r="E206" s="17" t="s">
        <v>97</v>
      </c>
      <c r="F206" s="16" t="n">
        <v>32.74322</v>
      </c>
      <c r="G206" s="16" t="n">
        <v>44.60796</v>
      </c>
      <c r="H206" s="18" t="n">
        <v>14</v>
      </c>
      <c r="I206" s="18" t="n">
        <v>84</v>
      </c>
      <c r="J206" s="19" t="n">
        <v>6</v>
      </c>
      <c r="K206" s="19" t="n">
        <v>4</v>
      </c>
      <c r="L206" s="19" t="n">
        <v>1</v>
      </c>
      <c r="M206" s="19"/>
      <c r="N206" s="19"/>
      <c r="O206" s="19"/>
      <c r="P206" s="19"/>
      <c r="Q206" s="19"/>
      <c r="R206" s="19"/>
      <c r="S206" s="19"/>
      <c r="T206" s="19"/>
      <c r="U206" s="19"/>
      <c r="V206" s="19" t="n">
        <v>1</v>
      </c>
      <c r="W206" s="19"/>
      <c r="X206" s="19" t="n">
        <v>2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 t="n">
        <v>14</v>
      </c>
      <c r="AI206" s="19"/>
      <c r="AJ206" s="19"/>
      <c r="AK206" s="19"/>
      <c r="AL206" s="19"/>
      <c r="AM206" s="19" t="n">
        <v>10</v>
      </c>
      <c r="AN206" s="19"/>
      <c r="AO206" s="19" t="n">
        <v>4</v>
      </c>
      <c r="AP206" s="19"/>
      <c r="AQ206" s="19"/>
      <c r="AR206" s="19"/>
      <c r="AS206" s="20" t="str">
        <f aca="false">HYPERLINK("http://www.openstreetmap.org/?mlat=32.7432&amp;mlon=44.608&amp;zoom=12#map=12/32.7432/44.608","Maplink1")</f>
        <v>Maplink1</v>
      </c>
      <c r="AT206" s="20" t="str">
        <f aca="false">HYPERLINK("https://www.google.iq/maps/search/+32.7432,44.608/@32.7432,44.608,14z?hl=en","Maplink2")</f>
        <v>Maplink2</v>
      </c>
      <c r="AU206" s="20" t="str">
        <f aca="false">HYPERLINK("http://www.bing.com/maps/?lvl=14&amp;sty=h&amp;cp=32.7432~44.608&amp;sp=point.32.7432_44.608","Maplink3")</f>
        <v>Maplink3</v>
      </c>
    </row>
    <row r="207" customFormat="false" ht="15" hidden="false" customHeight="true" outlineLevel="0" collapsed="false">
      <c r="A207" s="15" t="n">
        <v>29699</v>
      </c>
      <c r="B207" s="16" t="s">
        <v>16</v>
      </c>
      <c r="C207" s="16" t="s">
        <v>367</v>
      </c>
      <c r="D207" s="16" t="s">
        <v>84</v>
      </c>
      <c r="E207" s="17" t="s">
        <v>85</v>
      </c>
      <c r="F207" s="16" t="n">
        <v>32.668588</v>
      </c>
      <c r="G207" s="16" t="n">
        <v>44.403504</v>
      </c>
      <c r="H207" s="18" t="n">
        <v>12</v>
      </c>
      <c r="I207" s="18" t="n">
        <v>72</v>
      </c>
      <c r="J207" s="19" t="n">
        <v>12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 t="n">
        <v>12</v>
      </c>
      <c r="AI207" s="19"/>
      <c r="AJ207" s="19"/>
      <c r="AK207" s="19"/>
      <c r="AL207" s="19"/>
      <c r="AM207" s="19"/>
      <c r="AN207" s="19"/>
      <c r="AO207" s="19" t="n">
        <v>10</v>
      </c>
      <c r="AP207" s="19" t="n">
        <v>2</v>
      </c>
      <c r="AQ207" s="19"/>
      <c r="AR207" s="19"/>
      <c r="AS207" s="20" t="str">
        <f aca="false">HYPERLINK("http://www.openstreetmap.org/?mlat=32.6686&amp;mlon=44.4035&amp;zoom=12#map=12/32.6686/44.4035","Maplink1")</f>
        <v>Maplink1</v>
      </c>
      <c r="AT207" s="20" t="str">
        <f aca="false">HYPERLINK("https://www.google.iq/maps/search/+32.6686,44.4035/@32.6686,44.4035,14z?hl=en","Maplink2")</f>
        <v>Maplink2</v>
      </c>
      <c r="AU207" s="20" t="str">
        <f aca="false">HYPERLINK("http://www.bing.com/maps/?lvl=14&amp;sty=h&amp;cp=32.6686~44.4035&amp;sp=point.32.6686_44.4035","Maplink3")</f>
        <v>Maplink3</v>
      </c>
    </row>
    <row r="208" customFormat="false" ht="15" hidden="false" customHeight="true" outlineLevel="0" collapsed="false">
      <c r="A208" s="15" t="n">
        <v>24298</v>
      </c>
      <c r="B208" s="16" t="s">
        <v>16</v>
      </c>
      <c r="C208" s="16" t="s">
        <v>367</v>
      </c>
      <c r="D208" s="16" t="s">
        <v>443</v>
      </c>
      <c r="E208" s="17" t="s">
        <v>444</v>
      </c>
      <c r="F208" s="16" t="n">
        <v>32.75108</v>
      </c>
      <c r="G208" s="16" t="n">
        <v>44.61282</v>
      </c>
      <c r="H208" s="18" t="n">
        <v>7</v>
      </c>
      <c r="I208" s="18" t="n">
        <v>42</v>
      </c>
      <c r="J208" s="19" t="n">
        <v>4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 t="n">
        <v>3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 t="n">
        <v>7</v>
      </c>
      <c r="AI208" s="19"/>
      <c r="AJ208" s="19"/>
      <c r="AK208" s="19"/>
      <c r="AL208" s="19"/>
      <c r="AM208" s="19" t="n">
        <v>3</v>
      </c>
      <c r="AN208" s="19"/>
      <c r="AO208" s="19"/>
      <c r="AP208" s="19" t="n">
        <v>4</v>
      </c>
      <c r="AQ208" s="19"/>
      <c r="AR208" s="19"/>
      <c r="AS208" s="20" t="str">
        <f aca="false">HYPERLINK("http://www.openstreetmap.org/?mlat=32.7511&amp;mlon=44.6128&amp;zoom=12#map=12/32.7511/44.6128","Maplink1")</f>
        <v>Maplink1</v>
      </c>
      <c r="AT208" s="20" t="str">
        <f aca="false">HYPERLINK("https://www.google.iq/maps/search/+32.7511,44.6128/@32.7511,44.6128,14z?hl=en","Maplink2")</f>
        <v>Maplink2</v>
      </c>
      <c r="AU208" s="20" t="str">
        <f aca="false">HYPERLINK("http://www.bing.com/maps/?lvl=14&amp;sty=h&amp;cp=32.7511~44.6128&amp;sp=point.32.7511_44.6128","Maplink3")</f>
        <v>Maplink3</v>
      </c>
    </row>
    <row r="209" customFormat="false" ht="15" hidden="false" customHeight="true" outlineLevel="0" collapsed="false">
      <c r="A209" s="15" t="n">
        <v>7169</v>
      </c>
      <c r="B209" s="16" t="s">
        <v>16</v>
      </c>
      <c r="C209" s="16" t="s">
        <v>367</v>
      </c>
      <c r="D209" s="16" t="s">
        <v>445</v>
      </c>
      <c r="E209" s="17" t="s">
        <v>446</v>
      </c>
      <c r="F209" s="16" t="n">
        <v>32.65133756</v>
      </c>
      <c r="G209" s="16" t="n">
        <v>44.40417903</v>
      </c>
      <c r="H209" s="18" t="n">
        <v>5</v>
      </c>
      <c r="I209" s="18" t="n">
        <v>30</v>
      </c>
      <c r="J209" s="19" t="n">
        <v>3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 t="n">
        <v>2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 t="n">
        <v>5</v>
      </c>
      <c r="AI209" s="19"/>
      <c r="AJ209" s="19"/>
      <c r="AK209" s="19"/>
      <c r="AL209" s="19"/>
      <c r="AM209" s="19" t="n">
        <v>2</v>
      </c>
      <c r="AN209" s="19"/>
      <c r="AO209" s="19" t="n">
        <v>3</v>
      </c>
      <c r="AP209" s="19"/>
      <c r="AQ209" s="19"/>
      <c r="AR209" s="19"/>
      <c r="AS209" s="20" t="str">
        <f aca="false">HYPERLINK("http://www.openstreetmap.org/?mlat=32.6513&amp;mlon=44.4042&amp;zoom=12#map=12/32.6513/44.4042","Maplink1")</f>
        <v>Maplink1</v>
      </c>
      <c r="AT209" s="20" t="str">
        <f aca="false">HYPERLINK("https://www.google.iq/maps/search/+32.6513,44.4042/@32.6513,44.4042,14z?hl=en","Maplink2")</f>
        <v>Maplink2</v>
      </c>
      <c r="AU209" s="20" t="str">
        <f aca="false">HYPERLINK("http://www.bing.com/maps/?lvl=14&amp;sty=h&amp;cp=32.6513~44.4042&amp;sp=point.32.6513_44.4042","Maplink3")</f>
        <v>Maplink3</v>
      </c>
    </row>
    <row r="210" customFormat="false" ht="15" hidden="false" customHeight="true" outlineLevel="0" collapsed="false">
      <c r="A210" s="15" t="n">
        <v>29509</v>
      </c>
      <c r="B210" s="16" t="s">
        <v>16</v>
      </c>
      <c r="C210" s="16" t="s">
        <v>367</v>
      </c>
      <c r="D210" s="16" t="s">
        <v>447</v>
      </c>
      <c r="E210" s="17" t="s">
        <v>448</v>
      </c>
      <c r="F210" s="16" t="n">
        <v>32.54206713</v>
      </c>
      <c r="G210" s="16" t="n">
        <v>44.55021258</v>
      </c>
      <c r="H210" s="18" t="n">
        <v>11</v>
      </c>
      <c r="I210" s="18" t="n">
        <v>66</v>
      </c>
      <c r="J210" s="19" t="n">
        <v>9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 t="n">
        <v>2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 t="n">
        <v>11</v>
      </c>
      <c r="AI210" s="19"/>
      <c r="AJ210" s="19"/>
      <c r="AK210" s="19"/>
      <c r="AL210" s="19"/>
      <c r="AM210" s="19" t="n">
        <v>9</v>
      </c>
      <c r="AN210" s="19"/>
      <c r="AO210" s="19"/>
      <c r="AP210" s="19" t="n">
        <v>2</v>
      </c>
      <c r="AQ210" s="19"/>
      <c r="AR210" s="19"/>
      <c r="AS210" s="20" t="str">
        <f aca="false">HYPERLINK("http://www.openstreetmap.org/?mlat=32.5421&amp;mlon=44.5502&amp;zoom=12#map=12/32.5421/44.5502","Maplink1")</f>
        <v>Maplink1</v>
      </c>
      <c r="AT210" s="20" t="str">
        <f aca="false">HYPERLINK("https://www.google.iq/maps/search/+32.5421,44.5502/@32.5421,44.5502,14z?hl=en","Maplink2")</f>
        <v>Maplink2</v>
      </c>
      <c r="AU210" s="20" t="str">
        <f aca="false">HYPERLINK("http://www.bing.com/maps/?lvl=14&amp;sty=h&amp;cp=32.5421~44.5502&amp;sp=point.32.5421_44.5502","Maplink3")</f>
        <v>Maplink3</v>
      </c>
    </row>
    <row r="211" customFormat="false" ht="15" hidden="false" customHeight="true" outlineLevel="0" collapsed="false">
      <c r="A211" s="15" t="n">
        <v>20927</v>
      </c>
      <c r="B211" s="16" t="s">
        <v>16</v>
      </c>
      <c r="C211" s="16" t="s">
        <v>367</v>
      </c>
      <c r="D211" s="16" t="s">
        <v>299</v>
      </c>
      <c r="E211" s="17" t="s">
        <v>449</v>
      </c>
      <c r="F211" s="16" t="n">
        <v>32.66653738</v>
      </c>
      <c r="G211" s="16" t="n">
        <v>44.40601056</v>
      </c>
      <c r="H211" s="18" t="n">
        <v>2</v>
      </c>
      <c r="I211" s="18" t="n">
        <v>12</v>
      </c>
      <c r="J211" s="19" t="n">
        <v>2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 t="n">
        <v>2</v>
      </c>
      <c r="AI211" s="19"/>
      <c r="AJ211" s="19"/>
      <c r="AK211" s="19"/>
      <c r="AL211" s="19"/>
      <c r="AM211" s="19"/>
      <c r="AN211" s="19"/>
      <c r="AO211" s="19"/>
      <c r="AP211" s="19" t="n">
        <v>2</v>
      </c>
      <c r="AQ211" s="19"/>
      <c r="AR211" s="19"/>
      <c r="AS211" s="20" t="str">
        <f aca="false">HYPERLINK("http://www.openstreetmap.org/?mlat=32.6665&amp;mlon=44.406&amp;zoom=12#map=12/32.6665/44.406","Maplink1")</f>
        <v>Maplink1</v>
      </c>
      <c r="AT211" s="20" t="str">
        <f aca="false">HYPERLINK("https://www.google.iq/maps/search/+32.6665,44.406/@32.6665,44.406,14z?hl=en","Maplink2")</f>
        <v>Maplink2</v>
      </c>
      <c r="AU211" s="20" t="str">
        <f aca="false">HYPERLINK("http://www.bing.com/maps/?lvl=14&amp;sty=h&amp;cp=32.6665~44.406&amp;sp=point.32.6665_44.406","Maplink3")</f>
        <v>Maplink3</v>
      </c>
    </row>
    <row r="212" customFormat="false" ht="15" hidden="false" customHeight="true" outlineLevel="0" collapsed="false">
      <c r="A212" s="15" t="n">
        <v>7202</v>
      </c>
      <c r="B212" s="16" t="s">
        <v>16</v>
      </c>
      <c r="C212" s="16" t="s">
        <v>367</v>
      </c>
      <c r="D212" s="16" t="s">
        <v>450</v>
      </c>
      <c r="E212" s="17" t="s">
        <v>106</v>
      </c>
      <c r="F212" s="16" t="n">
        <v>32.66152098</v>
      </c>
      <c r="G212" s="16" t="n">
        <v>44.41077417</v>
      </c>
      <c r="H212" s="18" t="n">
        <v>5</v>
      </c>
      <c r="I212" s="18" t="n">
        <v>30</v>
      </c>
      <c r="J212" s="19" t="n">
        <v>1</v>
      </c>
      <c r="K212" s="19"/>
      <c r="L212" s="19" t="n">
        <v>3</v>
      </c>
      <c r="M212" s="19"/>
      <c r="N212" s="19"/>
      <c r="O212" s="19"/>
      <c r="P212" s="19"/>
      <c r="Q212" s="19"/>
      <c r="R212" s="19"/>
      <c r="S212" s="19"/>
      <c r="T212" s="19"/>
      <c r="U212" s="19"/>
      <c r="V212" s="19" t="n">
        <v>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 t="n">
        <v>5</v>
      </c>
      <c r="AI212" s="19"/>
      <c r="AJ212" s="19"/>
      <c r="AK212" s="19"/>
      <c r="AL212" s="19"/>
      <c r="AM212" s="19" t="n">
        <v>1</v>
      </c>
      <c r="AN212" s="19"/>
      <c r="AO212" s="19" t="n">
        <v>4</v>
      </c>
      <c r="AP212" s="19"/>
      <c r="AQ212" s="19"/>
      <c r="AR212" s="19"/>
      <c r="AS212" s="20" t="str">
        <f aca="false">HYPERLINK("http://www.openstreetmap.org/?mlat=32.6615&amp;mlon=44.4108&amp;zoom=12#map=12/32.6615/44.4108","Maplink1")</f>
        <v>Maplink1</v>
      </c>
      <c r="AT212" s="20" t="str">
        <f aca="false">HYPERLINK("https://www.google.iq/maps/search/+32.6615,44.4108/@32.6615,44.4108,14z?hl=en","Maplink2")</f>
        <v>Maplink2</v>
      </c>
      <c r="AU212" s="20" t="str">
        <f aca="false">HYPERLINK("http://www.bing.com/maps/?lvl=14&amp;sty=h&amp;cp=32.6615~44.4108&amp;sp=point.32.6615_44.4108","Maplink3")</f>
        <v>Maplink3</v>
      </c>
    </row>
    <row r="213" customFormat="false" ht="15" hidden="false" customHeight="true" outlineLevel="0" collapsed="false">
      <c r="A213" s="15" t="n">
        <v>26094</v>
      </c>
      <c r="B213" s="16" t="s">
        <v>16</v>
      </c>
      <c r="C213" s="16" t="s">
        <v>367</v>
      </c>
      <c r="D213" s="16" t="s">
        <v>451</v>
      </c>
      <c r="E213" s="17" t="s">
        <v>452</v>
      </c>
      <c r="F213" s="16" t="n">
        <v>32.6638602</v>
      </c>
      <c r="G213" s="16" t="n">
        <v>44.4007847</v>
      </c>
      <c r="H213" s="18" t="n">
        <v>18</v>
      </c>
      <c r="I213" s="18" t="n">
        <v>108</v>
      </c>
      <c r="J213" s="19" t="n">
        <v>18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 t="n">
        <v>18</v>
      </c>
      <c r="AI213" s="19"/>
      <c r="AJ213" s="19"/>
      <c r="AK213" s="19"/>
      <c r="AL213" s="19"/>
      <c r="AM213" s="19"/>
      <c r="AN213" s="19"/>
      <c r="AO213" s="19" t="n">
        <v>12</v>
      </c>
      <c r="AP213" s="19" t="n">
        <v>6</v>
      </c>
      <c r="AQ213" s="19"/>
      <c r="AR213" s="19"/>
      <c r="AS213" s="20" t="str">
        <f aca="false">HYPERLINK("http://www.openstreetmap.org/?mlat=32.6639&amp;mlon=44.4008&amp;zoom=12#map=12/32.6639/44.4008","Maplink1")</f>
        <v>Maplink1</v>
      </c>
      <c r="AT213" s="20" t="str">
        <f aca="false">HYPERLINK("https://www.google.iq/maps/search/+32.6639,44.4008/@32.6639,44.4008,14z?hl=en","Maplink2")</f>
        <v>Maplink2</v>
      </c>
      <c r="AU213" s="20" t="str">
        <f aca="false">HYPERLINK("http://www.bing.com/maps/?lvl=14&amp;sty=h&amp;cp=32.6639~44.4008&amp;sp=point.32.6639_44.4008","Maplink3")</f>
        <v>Maplink3</v>
      </c>
    </row>
    <row r="214" customFormat="false" ht="15" hidden="false" customHeight="true" outlineLevel="0" collapsed="false">
      <c r="A214" s="15" t="n">
        <v>7205</v>
      </c>
      <c r="B214" s="16" t="s">
        <v>16</v>
      </c>
      <c r="C214" s="16" t="s">
        <v>367</v>
      </c>
      <c r="D214" s="16" t="s">
        <v>453</v>
      </c>
      <c r="E214" s="17" t="s">
        <v>454</v>
      </c>
      <c r="F214" s="16" t="n">
        <v>32.65893827</v>
      </c>
      <c r="G214" s="16" t="n">
        <v>44.40941932</v>
      </c>
      <c r="H214" s="18" t="n">
        <v>5</v>
      </c>
      <c r="I214" s="18" t="n">
        <v>30</v>
      </c>
      <c r="J214" s="19" t="n">
        <v>5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 t="n">
        <v>5</v>
      </c>
      <c r="AI214" s="19"/>
      <c r="AJ214" s="19"/>
      <c r="AK214" s="19"/>
      <c r="AL214" s="19"/>
      <c r="AM214" s="19"/>
      <c r="AN214" s="19"/>
      <c r="AO214" s="19" t="n">
        <v>5</v>
      </c>
      <c r="AP214" s="19"/>
      <c r="AQ214" s="19"/>
      <c r="AR214" s="19"/>
      <c r="AS214" s="20" t="str">
        <f aca="false">HYPERLINK("http://www.openstreetmap.org/?mlat=32.6589&amp;mlon=44.4094&amp;zoom=12#map=12/32.6589/44.4094","Maplink1")</f>
        <v>Maplink1</v>
      </c>
      <c r="AT214" s="20" t="str">
        <f aca="false">HYPERLINK("https://www.google.iq/maps/search/+32.6589,44.4094/@32.6589,44.4094,14z?hl=en","Maplink2")</f>
        <v>Maplink2</v>
      </c>
      <c r="AU214" s="20" t="str">
        <f aca="false">HYPERLINK("http://www.bing.com/maps/?lvl=14&amp;sty=h&amp;cp=32.6589~44.4094&amp;sp=point.32.6589_44.4094","Maplink3")</f>
        <v>Maplink3</v>
      </c>
    </row>
    <row r="215" customFormat="false" ht="15" hidden="false" customHeight="true" outlineLevel="0" collapsed="false">
      <c r="A215" s="15" t="n">
        <v>29511</v>
      </c>
      <c r="B215" s="16" t="s">
        <v>16</v>
      </c>
      <c r="C215" s="16" t="s">
        <v>367</v>
      </c>
      <c r="D215" s="16" t="s">
        <v>455</v>
      </c>
      <c r="E215" s="17" t="s">
        <v>456</v>
      </c>
      <c r="F215" s="16" t="n">
        <v>32.53890229</v>
      </c>
      <c r="G215" s="16" t="n">
        <v>44.55110743</v>
      </c>
      <c r="H215" s="18" t="n">
        <v>20</v>
      </c>
      <c r="I215" s="18" t="n">
        <v>120</v>
      </c>
      <c r="J215" s="19" t="n">
        <v>5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 t="n">
        <v>15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 t="n">
        <v>20</v>
      </c>
      <c r="AI215" s="19"/>
      <c r="AJ215" s="19"/>
      <c r="AK215" s="19"/>
      <c r="AL215" s="19"/>
      <c r="AM215" s="19" t="n">
        <v>15</v>
      </c>
      <c r="AN215" s="19"/>
      <c r="AO215" s="19" t="n">
        <v>5</v>
      </c>
      <c r="AP215" s="19"/>
      <c r="AQ215" s="19"/>
      <c r="AR215" s="19"/>
      <c r="AS215" s="20" t="str">
        <f aca="false">HYPERLINK("http://www.openstreetmap.org/?mlat=32.5389&amp;mlon=44.5511&amp;zoom=12#map=12/32.5389/44.5511","Maplink1")</f>
        <v>Maplink1</v>
      </c>
      <c r="AT215" s="20" t="str">
        <f aca="false">HYPERLINK("https://www.google.iq/maps/search/+32.5389,44.5511/@32.5389,44.5511,14z?hl=en","Maplink2")</f>
        <v>Maplink2</v>
      </c>
      <c r="AU215" s="20" t="str">
        <f aca="false">HYPERLINK("http://www.bing.com/maps/?lvl=14&amp;sty=h&amp;cp=32.5389~44.5511&amp;sp=point.32.5389_44.5511","Maplink3")</f>
        <v>Maplink3</v>
      </c>
    </row>
    <row r="216" customFormat="false" ht="15" hidden="false" customHeight="true" outlineLevel="0" collapsed="false">
      <c r="A216" s="15" t="n">
        <v>26095</v>
      </c>
      <c r="B216" s="16" t="s">
        <v>16</v>
      </c>
      <c r="C216" s="16" t="s">
        <v>367</v>
      </c>
      <c r="D216" s="16" t="s">
        <v>457</v>
      </c>
      <c r="E216" s="17" t="s">
        <v>241</v>
      </c>
      <c r="F216" s="16" t="n">
        <v>32.65214205</v>
      </c>
      <c r="G216" s="16" t="n">
        <v>44.40805743</v>
      </c>
      <c r="H216" s="18" t="n">
        <v>3</v>
      </c>
      <c r="I216" s="18" t="n">
        <v>18</v>
      </c>
      <c r="J216" s="19" t="n">
        <v>3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 t="n">
        <v>3</v>
      </c>
      <c r="AI216" s="19"/>
      <c r="AJ216" s="19"/>
      <c r="AK216" s="19"/>
      <c r="AL216" s="19"/>
      <c r="AM216" s="19"/>
      <c r="AN216" s="19"/>
      <c r="AO216" s="19" t="n">
        <v>2</v>
      </c>
      <c r="AP216" s="19" t="n">
        <v>1</v>
      </c>
      <c r="AQ216" s="19"/>
      <c r="AR216" s="19"/>
      <c r="AS216" s="20" t="str">
        <f aca="false">HYPERLINK("http://www.openstreetmap.org/?mlat=32.6521&amp;mlon=44.4081&amp;zoom=12#map=12/32.6521/44.4081","Maplink1")</f>
        <v>Maplink1</v>
      </c>
      <c r="AT216" s="20" t="str">
        <f aca="false">HYPERLINK("https://www.google.iq/maps/search/+32.6521,44.4081/@32.6521,44.4081,14z?hl=en","Maplink2")</f>
        <v>Maplink2</v>
      </c>
      <c r="AU216" s="20" t="str">
        <f aca="false">HYPERLINK("http://www.bing.com/maps/?lvl=14&amp;sty=h&amp;cp=32.6521~44.4081&amp;sp=point.32.6521_44.4081","Maplink3")</f>
        <v>Maplink3</v>
      </c>
    </row>
    <row r="217" customFormat="false" ht="15" hidden="false" customHeight="true" outlineLevel="0" collapsed="false">
      <c r="A217" s="15" t="n">
        <v>29510</v>
      </c>
      <c r="B217" s="16" t="s">
        <v>16</v>
      </c>
      <c r="C217" s="16" t="s">
        <v>367</v>
      </c>
      <c r="D217" s="16" t="s">
        <v>458</v>
      </c>
      <c r="E217" s="17" t="s">
        <v>459</v>
      </c>
      <c r="F217" s="16" t="n">
        <v>32.54153982</v>
      </c>
      <c r="G217" s="16" t="n">
        <v>44.5469433</v>
      </c>
      <c r="H217" s="18" t="n">
        <v>4</v>
      </c>
      <c r="I217" s="18" t="n">
        <v>24</v>
      </c>
      <c r="J217" s="19" t="n">
        <v>2</v>
      </c>
      <c r="K217" s="19"/>
      <c r="L217" s="19"/>
      <c r="M217" s="19"/>
      <c r="N217" s="19"/>
      <c r="O217" s="19"/>
      <c r="P217" s="19"/>
      <c r="Q217" s="19"/>
      <c r="R217" s="19" t="n">
        <v>1</v>
      </c>
      <c r="S217" s="19"/>
      <c r="T217" s="19"/>
      <c r="U217" s="19"/>
      <c r="V217" s="19" t="n">
        <v>1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 t="n">
        <v>4</v>
      </c>
      <c r="AI217" s="19"/>
      <c r="AJ217" s="19"/>
      <c r="AK217" s="19"/>
      <c r="AL217" s="19"/>
      <c r="AM217" s="19" t="n">
        <v>2</v>
      </c>
      <c r="AN217" s="19"/>
      <c r="AO217" s="19" t="n">
        <v>2</v>
      </c>
      <c r="AP217" s="19"/>
      <c r="AQ217" s="19"/>
      <c r="AR217" s="19"/>
      <c r="AS217" s="20" t="str">
        <f aca="false">HYPERLINK("http://www.openstreetmap.org/?mlat=32.5415&amp;mlon=44.5469&amp;zoom=12#map=12/32.5415/44.5469","Maplink1")</f>
        <v>Maplink1</v>
      </c>
      <c r="AT217" s="20" t="str">
        <f aca="false">HYPERLINK("https://www.google.iq/maps/search/+32.5415,44.5469/@32.5415,44.5469,14z?hl=en","Maplink2")</f>
        <v>Maplink2</v>
      </c>
      <c r="AU217" s="20" t="str">
        <f aca="false">HYPERLINK("http://www.bing.com/maps/?lvl=14&amp;sty=h&amp;cp=32.5415~44.5469&amp;sp=point.32.5415_44.5469","Maplink3")</f>
        <v>Maplink3</v>
      </c>
    </row>
    <row r="218" customFormat="false" ht="15" hidden="false" customHeight="true" outlineLevel="0" collapsed="false">
      <c r="A218" s="15" t="n">
        <v>29512</v>
      </c>
      <c r="B218" s="16" t="s">
        <v>16</v>
      </c>
      <c r="C218" s="16" t="s">
        <v>367</v>
      </c>
      <c r="D218" s="16" t="s">
        <v>460</v>
      </c>
      <c r="E218" s="17" t="s">
        <v>461</v>
      </c>
      <c r="F218" s="16" t="n">
        <v>32.54331234</v>
      </c>
      <c r="G218" s="16" t="n">
        <v>44.54243685</v>
      </c>
      <c r="H218" s="18" t="n">
        <v>3</v>
      </c>
      <c r="I218" s="18" t="n">
        <v>18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 t="n">
        <v>3</v>
      </c>
      <c r="W218" s="19"/>
      <c r="X218" s="19"/>
      <c r="Y218" s="19"/>
      <c r="Z218" s="19"/>
      <c r="AA218" s="19"/>
      <c r="AB218" s="19"/>
      <c r="AC218" s="19" t="n">
        <v>3</v>
      </c>
      <c r="AD218" s="19"/>
      <c r="AE218" s="19"/>
      <c r="AF218" s="19"/>
      <c r="AG218" s="19"/>
      <c r="AH218" s="19"/>
      <c r="AI218" s="19"/>
      <c r="AJ218" s="19"/>
      <c r="AK218" s="19"/>
      <c r="AL218" s="19"/>
      <c r="AM218" s="19" t="n">
        <v>3</v>
      </c>
      <c r="AN218" s="19"/>
      <c r="AO218" s="19"/>
      <c r="AP218" s="19"/>
      <c r="AQ218" s="19"/>
      <c r="AR218" s="19"/>
      <c r="AS218" s="20" t="str">
        <f aca="false">HYPERLINK("http://www.openstreetmap.org/?mlat=32.5433&amp;mlon=44.5424&amp;zoom=12#map=12/32.5433/44.5424","Maplink1")</f>
        <v>Maplink1</v>
      </c>
      <c r="AT218" s="20" t="str">
        <f aca="false">HYPERLINK("https://www.google.iq/maps/search/+32.5433,44.5424/@32.5433,44.5424,14z?hl=en","Maplink2")</f>
        <v>Maplink2</v>
      </c>
      <c r="AU218" s="20" t="str">
        <f aca="false">HYPERLINK("http://www.bing.com/maps/?lvl=14&amp;sty=h&amp;cp=32.5433~44.5424&amp;sp=point.32.5433_44.5424","Maplink3")</f>
        <v>Maplink3</v>
      </c>
    </row>
    <row r="219" customFormat="false" ht="15" hidden="false" customHeight="true" outlineLevel="0" collapsed="false">
      <c r="A219" s="15" t="n">
        <v>29518</v>
      </c>
      <c r="B219" s="16" t="s">
        <v>16</v>
      </c>
      <c r="C219" s="16" t="s">
        <v>367</v>
      </c>
      <c r="D219" s="16" t="s">
        <v>462</v>
      </c>
      <c r="E219" s="17" t="s">
        <v>463</v>
      </c>
      <c r="F219" s="16" t="n">
        <v>32.54533117</v>
      </c>
      <c r="G219" s="16" t="n">
        <v>44.54662579</v>
      </c>
      <c r="H219" s="18" t="n">
        <v>11</v>
      </c>
      <c r="I219" s="18" t="n">
        <v>66</v>
      </c>
      <c r="J219" s="19" t="n">
        <v>2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 t="n">
        <v>9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 t="n">
        <v>11</v>
      </c>
      <c r="AI219" s="19"/>
      <c r="AJ219" s="19"/>
      <c r="AK219" s="19"/>
      <c r="AL219" s="19"/>
      <c r="AM219" s="19" t="n">
        <v>9</v>
      </c>
      <c r="AN219" s="19"/>
      <c r="AO219" s="19" t="n">
        <v>2</v>
      </c>
      <c r="AP219" s="19"/>
      <c r="AQ219" s="19"/>
      <c r="AR219" s="19"/>
      <c r="AS219" s="20" t="str">
        <f aca="false">HYPERLINK("http://www.openstreetmap.org/?mlat=32.5453&amp;mlon=44.5466&amp;zoom=12#map=12/32.5453/44.5466","Maplink1")</f>
        <v>Maplink1</v>
      </c>
      <c r="AT219" s="20" t="str">
        <f aca="false">HYPERLINK("https://www.google.iq/maps/search/+32.5453,44.5466/@32.5453,44.5466,14z?hl=en","Maplink2")</f>
        <v>Maplink2</v>
      </c>
      <c r="AU219" s="20" t="str">
        <f aca="false">HYPERLINK("http://www.bing.com/maps/?lvl=14&amp;sty=h&amp;cp=32.5453~44.5466&amp;sp=point.32.5453_44.5466","Maplink3")</f>
        <v>Maplink3</v>
      </c>
    </row>
    <row r="220" customFormat="false" ht="15" hidden="false" customHeight="true" outlineLevel="0" collapsed="false">
      <c r="A220" s="15" t="n">
        <v>26096</v>
      </c>
      <c r="B220" s="16" t="s">
        <v>16</v>
      </c>
      <c r="C220" s="16" t="s">
        <v>367</v>
      </c>
      <c r="D220" s="16" t="s">
        <v>464</v>
      </c>
      <c r="E220" s="17" t="s">
        <v>465</v>
      </c>
      <c r="F220" s="16" t="n">
        <v>32.64933638</v>
      </c>
      <c r="G220" s="16" t="n">
        <v>44.41034242</v>
      </c>
      <c r="H220" s="18" t="n">
        <v>6</v>
      </c>
      <c r="I220" s="18" t="n">
        <v>36</v>
      </c>
      <c r="J220" s="19" t="n">
        <v>6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 t="n">
        <v>6</v>
      </c>
      <c r="AI220" s="19"/>
      <c r="AJ220" s="19"/>
      <c r="AK220" s="19"/>
      <c r="AL220" s="19"/>
      <c r="AM220" s="19"/>
      <c r="AN220" s="19"/>
      <c r="AO220" s="19"/>
      <c r="AP220" s="19" t="n">
        <v>6</v>
      </c>
      <c r="AQ220" s="19"/>
      <c r="AR220" s="19"/>
      <c r="AS220" s="20" t="str">
        <f aca="false">HYPERLINK("http://www.openstreetmap.org/?mlat=32.6493&amp;mlon=44.4103&amp;zoom=12#map=12/32.6493/44.4103","Maplink1")</f>
        <v>Maplink1</v>
      </c>
      <c r="AT220" s="20" t="str">
        <f aca="false">HYPERLINK("https://www.google.iq/maps/search/+32.6493,44.4103/@32.6493,44.4103,14z?hl=en","Maplink2")</f>
        <v>Maplink2</v>
      </c>
      <c r="AU220" s="20" t="str">
        <f aca="false">HYPERLINK("http://www.bing.com/maps/?lvl=14&amp;sty=h&amp;cp=32.6493~44.4103&amp;sp=point.32.6493_44.4103","Maplink3")</f>
        <v>Maplink3</v>
      </c>
    </row>
    <row r="221" customFormat="false" ht="15" hidden="false" customHeight="true" outlineLevel="0" collapsed="false">
      <c r="A221" s="15" t="n">
        <v>7147</v>
      </c>
      <c r="B221" s="16" t="s">
        <v>16</v>
      </c>
      <c r="C221" s="16" t="s">
        <v>367</v>
      </c>
      <c r="D221" s="16" t="s">
        <v>466</v>
      </c>
      <c r="E221" s="17" t="s">
        <v>467</v>
      </c>
      <c r="F221" s="16" t="n">
        <v>32.52844</v>
      </c>
      <c r="G221" s="16" t="n">
        <v>44.64548</v>
      </c>
      <c r="H221" s="18" t="n">
        <v>6</v>
      </c>
      <c r="I221" s="18" t="n">
        <v>36</v>
      </c>
      <c r="J221" s="19" t="n">
        <v>6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 t="n">
        <v>6</v>
      </c>
      <c r="AI221" s="19"/>
      <c r="AJ221" s="19"/>
      <c r="AK221" s="19"/>
      <c r="AL221" s="19"/>
      <c r="AM221" s="19"/>
      <c r="AN221" s="19"/>
      <c r="AO221" s="19"/>
      <c r="AP221" s="19" t="n">
        <v>6</v>
      </c>
      <c r="AQ221" s="19"/>
      <c r="AR221" s="19"/>
      <c r="AS221" s="20" t="str">
        <f aca="false">HYPERLINK("http://www.openstreetmap.org/?mlat=32.5284&amp;mlon=44.6455&amp;zoom=12#map=12/32.5284/44.6455","Maplink1")</f>
        <v>Maplink1</v>
      </c>
      <c r="AT221" s="20" t="str">
        <f aca="false">HYPERLINK("https://www.google.iq/maps/search/+32.5284,44.6455/@32.5284,44.6455,14z?hl=en","Maplink2")</f>
        <v>Maplink2</v>
      </c>
      <c r="AU221" s="20" t="str">
        <f aca="false">HYPERLINK("http://www.bing.com/maps/?lvl=14&amp;sty=h&amp;cp=32.5284~44.6455&amp;sp=point.32.5284_44.6455","Maplink3")</f>
        <v>Maplink3</v>
      </c>
    </row>
    <row r="222" customFormat="false" ht="15" hidden="false" customHeight="true" outlineLevel="0" collapsed="false">
      <c r="A222" s="15" t="n">
        <v>24464</v>
      </c>
      <c r="B222" s="16" t="s">
        <v>16</v>
      </c>
      <c r="C222" s="16" t="s">
        <v>367</v>
      </c>
      <c r="D222" s="16" t="s">
        <v>468</v>
      </c>
      <c r="E222" s="17" t="s">
        <v>469</v>
      </c>
      <c r="F222" s="16" t="n">
        <v>32.80183</v>
      </c>
      <c r="G222" s="16" t="n">
        <v>44.41105</v>
      </c>
      <c r="H222" s="18" t="n">
        <v>4</v>
      </c>
      <c r="I222" s="18" t="n">
        <v>24</v>
      </c>
      <c r="J222" s="19"/>
      <c r="K222" s="19" t="n">
        <v>1</v>
      </c>
      <c r="L222" s="19" t="n">
        <v>3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 t="n">
        <v>4</v>
      </c>
      <c r="AI222" s="19"/>
      <c r="AJ222" s="19"/>
      <c r="AK222" s="19"/>
      <c r="AL222" s="19"/>
      <c r="AM222" s="19" t="n">
        <v>4</v>
      </c>
      <c r="AN222" s="19"/>
      <c r="AO222" s="19"/>
      <c r="AP222" s="19"/>
      <c r="AQ222" s="19"/>
      <c r="AR222" s="19"/>
      <c r="AS222" s="20" t="str">
        <f aca="false">HYPERLINK("http://www.openstreetmap.org/?mlat=32.8018&amp;mlon=44.4111&amp;zoom=12#map=12/32.8018/44.4111","Maplink1")</f>
        <v>Maplink1</v>
      </c>
      <c r="AT222" s="20" t="str">
        <f aca="false">HYPERLINK("https://www.google.iq/maps/search/+32.8018,44.4111/@32.8018,44.4111,14z?hl=en","Maplink2")</f>
        <v>Maplink2</v>
      </c>
      <c r="AU222" s="20" t="str">
        <f aca="false">HYPERLINK("http://www.bing.com/maps/?lvl=14&amp;sty=h&amp;cp=32.8018~44.4111&amp;sp=point.32.8018_44.4111","Maplink3")</f>
        <v>Maplink3</v>
      </c>
    </row>
    <row r="223" customFormat="false" ht="15" hidden="false" customHeight="true" outlineLevel="0" collapsed="false">
      <c r="A223" s="15" t="n">
        <v>6365</v>
      </c>
      <c r="B223" s="16" t="s">
        <v>16</v>
      </c>
      <c r="C223" s="16" t="s">
        <v>367</v>
      </c>
      <c r="D223" s="16" t="s">
        <v>470</v>
      </c>
      <c r="E223" s="17" t="s">
        <v>471</v>
      </c>
      <c r="F223" s="16" t="n">
        <v>32.76575</v>
      </c>
      <c r="G223" s="16" t="n">
        <v>44.52277</v>
      </c>
      <c r="H223" s="18" t="n">
        <v>28</v>
      </c>
      <c r="I223" s="18" t="n">
        <v>168</v>
      </c>
      <c r="J223" s="19"/>
      <c r="K223" s="19" t="n">
        <v>14</v>
      </c>
      <c r="L223" s="19" t="n">
        <v>14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 t="n">
        <v>28</v>
      </c>
      <c r="AI223" s="19"/>
      <c r="AJ223" s="19"/>
      <c r="AK223" s="19"/>
      <c r="AL223" s="19"/>
      <c r="AM223" s="19" t="n">
        <v>14</v>
      </c>
      <c r="AN223" s="19" t="n">
        <v>14</v>
      </c>
      <c r="AO223" s="19"/>
      <c r="AP223" s="19"/>
      <c r="AQ223" s="19"/>
      <c r="AR223" s="19"/>
      <c r="AS223" s="20" t="str">
        <f aca="false">HYPERLINK("http://www.openstreetmap.org/?mlat=32.7657&amp;mlon=44.5228&amp;zoom=12#map=12/32.7657/44.5228","Maplink1")</f>
        <v>Maplink1</v>
      </c>
      <c r="AT223" s="20" t="str">
        <f aca="false">HYPERLINK("https://www.google.iq/maps/search/+32.7657,44.5228/@32.7657,44.5228,14z?hl=en","Maplink2")</f>
        <v>Maplink2</v>
      </c>
      <c r="AU223" s="20" t="str">
        <f aca="false">HYPERLINK("http://www.bing.com/maps/?lvl=14&amp;sty=h&amp;cp=32.7657~44.5228&amp;sp=point.32.7657_44.5228","Maplink3")</f>
        <v>Maplink3</v>
      </c>
    </row>
    <row r="224" customFormat="false" ht="15" hidden="false" customHeight="true" outlineLevel="0" collapsed="false">
      <c r="A224" s="15" t="n">
        <v>24267</v>
      </c>
      <c r="B224" s="16" t="s">
        <v>16</v>
      </c>
      <c r="C224" s="16" t="s">
        <v>367</v>
      </c>
      <c r="D224" s="16" t="s">
        <v>472</v>
      </c>
      <c r="E224" s="17" t="s">
        <v>473</v>
      </c>
      <c r="F224" s="16" t="n">
        <v>32.79637</v>
      </c>
      <c r="G224" s="16" t="n">
        <v>44.50842</v>
      </c>
      <c r="H224" s="18" t="n">
        <v>1</v>
      </c>
      <c r="I224" s="18" t="n">
        <v>6</v>
      </c>
      <c r="J224" s="19"/>
      <c r="K224" s="19"/>
      <c r="L224" s="19" t="n">
        <v>1</v>
      </c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 t="n">
        <v>1</v>
      </c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 t="n">
        <v>1</v>
      </c>
      <c r="AO224" s="19"/>
      <c r="AP224" s="19"/>
      <c r="AQ224" s="19"/>
      <c r="AR224" s="19"/>
      <c r="AS224" s="20" t="str">
        <f aca="false">HYPERLINK("http://www.openstreetmap.org/?mlat=32.7964&amp;mlon=44.5084&amp;zoom=12#map=12/32.7964/44.5084","Maplink1")</f>
        <v>Maplink1</v>
      </c>
      <c r="AT224" s="20" t="str">
        <f aca="false">HYPERLINK("https://www.google.iq/maps/search/+32.7964,44.5084/@32.7964,44.5084,14z?hl=en","Maplink2")</f>
        <v>Maplink2</v>
      </c>
      <c r="AU224" s="20" t="str">
        <f aca="false">HYPERLINK("http://www.bing.com/maps/?lvl=14&amp;sty=h&amp;cp=32.7964~44.5084&amp;sp=point.32.7964_44.5084","Maplink3")</f>
        <v>Maplink3</v>
      </c>
    </row>
    <row r="225" customFormat="false" ht="15" hidden="false" customHeight="true" outlineLevel="0" collapsed="false">
      <c r="A225" s="15" t="n">
        <v>24568</v>
      </c>
      <c r="B225" s="16" t="s">
        <v>16</v>
      </c>
      <c r="C225" s="16" t="s">
        <v>367</v>
      </c>
      <c r="D225" s="16" t="s">
        <v>474</v>
      </c>
      <c r="E225" s="17" t="s">
        <v>475</v>
      </c>
      <c r="F225" s="16" t="n">
        <v>32.75329</v>
      </c>
      <c r="G225" s="16" t="n">
        <v>44.57005</v>
      </c>
      <c r="H225" s="18" t="n">
        <v>11</v>
      </c>
      <c r="I225" s="18" t="n">
        <v>66</v>
      </c>
      <c r="J225" s="19" t="n">
        <v>5</v>
      </c>
      <c r="K225" s="19"/>
      <c r="L225" s="19"/>
      <c r="M225" s="19"/>
      <c r="N225" s="19"/>
      <c r="O225" s="19" t="n">
        <v>5</v>
      </c>
      <c r="P225" s="19"/>
      <c r="Q225" s="19"/>
      <c r="R225" s="19"/>
      <c r="S225" s="19"/>
      <c r="T225" s="19"/>
      <c r="U225" s="19"/>
      <c r="V225" s="19" t="n">
        <v>1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 t="n">
        <v>11</v>
      </c>
      <c r="AI225" s="19"/>
      <c r="AJ225" s="19"/>
      <c r="AK225" s="19"/>
      <c r="AL225" s="19"/>
      <c r="AM225" s="19" t="n">
        <v>5</v>
      </c>
      <c r="AN225" s="19"/>
      <c r="AO225" s="19"/>
      <c r="AP225" s="19" t="n">
        <v>5</v>
      </c>
      <c r="AQ225" s="19"/>
      <c r="AR225" s="19" t="n">
        <v>1</v>
      </c>
      <c r="AS225" s="20" t="str">
        <f aca="false">HYPERLINK("http://www.openstreetmap.org/?mlat=32.7533&amp;mlon=44.5701&amp;zoom=12#map=12/32.7533/44.5701","Maplink1")</f>
        <v>Maplink1</v>
      </c>
      <c r="AT225" s="20" t="str">
        <f aca="false">HYPERLINK("https://www.google.iq/maps/search/+32.7533,44.5701/@32.7533,44.5701,14z?hl=en","Maplink2")</f>
        <v>Maplink2</v>
      </c>
      <c r="AU225" s="20" t="str">
        <f aca="false">HYPERLINK("http://www.bing.com/maps/?lvl=14&amp;sty=h&amp;cp=32.7533~44.5701&amp;sp=point.32.7533_44.5701","Maplink3")</f>
        <v>Maplink3</v>
      </c>
    </row>
    <row r="226" customFormat="false" ht="15" hidden="false" customHeight="true" outlineLevel="0" collapsed="false">
      <c r="A226" s="15" t="n">
        <v>24521</v>
      </c>
      <c r="B226" s="16" t="s">
        <v>16</v>
      </c>
      <c r="C226" s="16" t="s">
        <v>367</v>
      </c>
      <c r="D226" s="16" t="s">
        <v>476</v>
      </c>
      <c r="E226" s="17" t="s">
        <v>477</v>
      </c>
      <c r="F226" s="16" t="n">
        <v>32.75064</v>
      </c>
      <c r="G226" s="16" t="n">
        <v>44.60031</v>
      </c>
      <c r="H226" s="18" t="n">
        <v>14</v>
      </c>
      <c r="I226" s="18" t="n">
        <v>84</v>
      </c>
      <c r="J226" s="19" t="n">
        <v>4</v>
      </c>
      <c r="K226" s="19"/>
      <c r="L226" s="19"/>
      <c r="M226" s="19"/>
      <c r="N226" s="19"/>
      <c r="O226" s="19"/>
      <c r="P226" s="19"/>
      <c r="Q226" s="19"/>
      <c r="R226" s="19" t="n">
        <v>1</v>
      </c>
      <c r="S226" s="19"/>
      <c r="T226" s="19"/>
      <c r="U226" s="19"/>
      <c r="V226" s="19" t="n">
        <v>9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 t="n">
        <v>14</v>
      </c>
      <c r="AI226" s="19"/>
      <c r="AJ226" s="19"/>
      <c r="AK226" s="19"/>
      <c r="AL226" s="19"/>
      <c r="AM226" s="19" t="n">
        <v>10</v>
      </c>
      <c r="AN226" s="19"/>
      <c r="AO226" s="19" t="n">
        <v>4</v>
      </c>
      <c r="AP226" s="19"/>
      <c r="AQ226" s="19"/>
      <c r="AR226" s="19"/>
      <c r="AS226" s="20" t="str">
        <f aca="false">HYPERLINK("http://www.openstreetmap.org/?mlat=32.7506&amp;mlon=44.6003&amp;zoom=12#map=12/32.7506/44.6003","Maplink1")</f>
        <v>Maplink1</v>
      </c>
      <c r="AT226" s="20" t="str">
        <f aca="false">HYPERLINK("https://www.google.iq/maps/search/+32.7506,44.6003/@32.7506,44.6003,14z?hl=en","Maplink2")</f>
        <v>Maplink2</v>
      </c>
      <c r="AU226" s="20" t="str">
        <f aca="false">HYPERLINK("http://www.bing.com/maps/?lvl=14&amp;sty=h&amp;cp=32.7506~44.6003&amp;sp=point.32.7506_44.6003","Maplink3")</f>
        <v>Maplink3</v>
      </c>
    </row>
    <row r="227" customFormat="false" ht="15" hidden="false" customHeight="true" outlineLevel="0" collapsed="false">
      <c r="A227" s="15" t="n">
        <v>24542</v>
      </c>
      <c r="B227" s="16" t="s">
        <v>16</v>
      </c>
      <c r="C227" s="16" t="s">
        <v>367</v>
      </c>
      <c r="D227" s="16" t="s">
        <v>478</v>
      </c>
      <c r="E227" s="17" t="s">
        <v>479</v>
      </c>
      <c r="F227" s="16" t="n">
        <v>32.62357577</v>
      </c>
      <c r="G227" s="16" t="n">
        <v>44.37236653</v>
      </c>
      <c r="H227" s="18" t="n">
        <v>1</v>
      </c>
      <c r="I227" s="18" t="n">
        <v>6</v>
      </c>
      <c r="J227" s="19" t="n">
        <v>1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 t="n">
        <v>1</v>
      </c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 t="n">
        <v>1</v>
      </c>
      <c r="AP227" s="19"/>
      <c r="AQ227" s="19"/>
      <c r="AR227" s="19"/>
      <c r="AS227" s="20" t="str">
        <f aca="false">HYPERLINK("http://www.openstreetmap.org/?mlat=32.6236&amp;mlon=44.3724&amp;zoom=12#map=12/32.6236/44.3724","Maplink1")</f>
        <v>Maplink1</v>
      </c>
      <c r="AT227" s="20" t="str">
        <f aca="false">HYPERLINK("https://www.google.iq/maps/search/+32.6236,44.3724/@32.6236,44.3724,14z?hl=en","Maplink2")</f>
        <v>Maplink2</v>
      </c>
      <c r="AU227" s="20" t="str">
        <f aca="false">HYPERLINK("http://www.bing.com/maps/?lvl=14&amp;sty=h&amp;cp=32.6236~44.3724&amp;sp=point.32.6236_44.3724","Maplink3")</f>
        <v>Maplink3</v>
      </c>
    </row>
    <row r="228" customFormat="false" ht="15" hidden="false" customHeight="true" outlineLevel="0" collapsed="false">
      <c r="A228" s="15" t="n">
        <v>24434</v>
      </c>
      <c r="B228" s="16" t="s">
        <v>16</v>
      </c>
      <c r="C228" s="16" t="s">
        <v>367</v>
      </c>
      <c r="D228" s="16" t="s">
        <v>480</v>
      </c>
      <c r="E228" s="17" t="s">
        <v>481</v>
      </c>
      <c r="F228" s="16" t="n">
        <v>32.54572897</v>
      </c>
      <c r="G228" s="16" t="n">
        <v>44.52658282</v>
      </c>
      <c r="H228" s="18" t="n">
        <v>7</v>
      </c>
      <c r="I228" s="18" t="n">
        <v>42</v>
      </c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 t="n">
        <v>7</v>
      </c>
      <c r="W228" s="19"/>
      <c r="X228" s="19"/>
      <c r="Y228" s="19"/>
      <c r="Z228" s="19"/>
      <c r="AA228" s="19"/>
      <c r="AB228" s="19"/>
      <c r="AC228" s="19" t="n">
        <v>7</v>
      </c>
      <c r="AD228" s="19"/>
      <c r="AE228" s="19"/>
      <c r="AF228" s="19"/>
      <c r="AG228" s="19"/>
      <c r="AH228" s="19"/>
      <c r="AI228" s="19"/>
      <c r="AJ228" s="19"/>
      <c r="AK228" s="19"/>
      <c r="AL228" s="19"/>
      <c r="AM228" s="19" t="n">
        <v>7</v>
      </c>
      <c r="AN228" s="19"/>
      <c r="AO228" s="19"/>
      <c r="AP228" s="19"/>
      <c r="AQ228" s="19"/>
      <c r="AR228" s="19"/>
      <c r="AS228" s="20" t="str">
        <f aca="false">HYPERLINK("http://www.openstreetmap.org/?mlat=32.5457&amp;mlon=44.5266&amp;zoom=12#map=12/32.5457/44.5266","Maplink1")</f>
        <v>Maplink1</v>
      </c>
      <c r="AT228" s="20" t="str">
        <f aca="false">HYPERLINK("https://www.google.iq/maps/search/+32.5457,44.5266/@32.5457,44.5266,14z?hl=en","Maplink2")</f>
        <v>Maplink2</v>
      </c>
      <c r="AU228" s="20" t="str">
        <f aca="false">HYPERLINK("http://www.bing.com/maps/?lvl=14&amp;sty=h&amp;cp=32.5457~44.5266&amp;sp=point.32.5457_44.5266","Maplink3")</f>
        <v>Maplink3</v>
      </c>
    </row>
    <row r="229" customFormat="false" ht="15" hidden="false" customHeight="true" outlineLevel="0" collapsed="false">
      <c r="A229" s="15" t="n">
        <v>24543</v>
      </c>
      <c r="B229" s="16" t="s">
        <v>16</v>
      </c>
      <c r="C229" s="16" t="s">
        <v>367</v>
      </c>
      <c r="D229" s="16" t="s">
        <v>482</v>
      </c>
      <c r="E229" s="17" t="s">
        <v>483</v>
      </c>
      <c r="F229" s="16" t="n">
        <v>32.54707749</v>
      </c>
      <c r="G229" s="16" t="n">
        <v>44.55910385</v>
      </c>
      <c r="H229" s="18" t="n">
        <v>9</v>
      </c>
      <c r="I229" s="18" t="n">
        <v>54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 t="n">
        <v>9</v>
      </c>
      <c r="W229" s="19"/>
      <c r="X229" s="19"/>
      <c r="Y229" s="19"/>
      <c r="Z229" s="19"/>
      <c r="AA229" s="19"/>
      <c r="AB229" s="19"/>
      <c r="AC229" s="19" t="n">
        <v>9</v>
      </c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 t="n">
        <v>9</v>
      </c>
      <c r="AO229" s="19"/>
      <c r="AP229" s="19"/>
      <c r="AQ229" s="19"/>
      <c r="AR229" s="19"/>
      <c r="AS229" s="20" t="str">
        <f aca="false">HYPERLINK("http://www.openstreetmap.org/?mlat=32.5471&amp;mlon=44.5591&amp;zoom=12#map=12/32.5471/44.5591","Maplink1")</f>
        <v>Maplink1</v>
      </c>
      <c r="AT229" s="20" t="str">
        <f aca="false">HYPERLINK("https://www.google.iq/maps/search/+32.5471,44.5591/@32.5471,44.5591,14z?hl=en","Maplink2")</f>
        <v>Maplink2</v>
      </c>
      <c r="AU229" s="20" t="str">
        <f aca="false">HYPERLINK("http://www.bing.com/maps/?lvl=14&amp;sty=h&amp;cp=32.5471~44.5591&amp;sp=point.32.5471_44.5591","Maplink3")</f>
        <v>Maplink3</v>
      </c>
    </row>
    <row r="230" customFormat="false" ht="15" hidden="false" customHeight="true" outlineLevel="0" collapsed="false">
      <c r="A230" s="15" t="n">
        <v>23939</v>
      </c>
      <c r="B230" s="16" t="s">
        <v>16</v>
      </c>
      <c r="C230" s="16" t="s">
        <v>367</v>
      </c>
      <c r="D230" s="16" t="s">
        <v>484</v>
      </c>
      <c r="E230" s="17" t="s">
        <v>485</v>
      </c>
      <c r="F230" s="16" t="n">
        <v>32.60287507</v>
      </c>
      <c r="G230" s="16" t="n">
        <v>44.41478248</v>
      </c>
      <c r="H230" s="18" t="n">
        <v>5</v>
      </c>
      <c r="I230" s="18" t="n">
        <v>30</v>
      </c>
      <c r="J230" s="19" t="n">
        <v>5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 t="n">
        <v>5</v>
      </c>
      <c r="AI230" s="19"/>
      <c r="AJ230" s="19"/>
      <c r="AK230" s="19"/>
      <c r="AL230" s="19" t="n">
        <v>3</v>
      </c>
      <c r="AM230" s="19"/>
      <c r="AN230" s="19"/>
      <c r="AO230" s="19"/>
      <c r="AP230" s="19" t="n">
        <v>2</v>
      </c>
      <c r="AQ230" s="19"/>
      <c r="AR230" s="19"/>
      <c r="AS230" s="20" t="str">
        <f aca="false">HYPERLINK("http://www.openstreetmap.org/?mlat=32.6029&amp;mlon=44.4148&amp;zoom=12#map=12/32.6029/44.4148","Maplink1")</f>
        <v>Maplink1</v>
      </c>
      <c r="AT230" s="20" t="str">
        <f aca="false">HYPERLINK("https://www.google.iq/maps/search/+32.6029,44.4148/@32.6029,44.4148,14z?hl=en","Maplink2")</f>
        <v>Maplink2</v>
      </c>
      <c r="AU230" s="20" t="str">
        <f aca="false">HYPERLINK("http://www.bing.com/maps/?lvl=14&amp;sty=h&amp;cp=32.6029~44.4148&amp;sp=point.32.6029_44.4148","Maplink3")</f>
        <v>Maplink3</v>
      </c>
    </row>
    <row r="231" customFormat="false" ht="15" hidden="false" customHeight="true" outlineLevel="0" collapsed="false">
      <c r="A231" s="15" t="n">
        <v>22527</v>
      </c>
      <c r="B231" s="16" t="s">
        <v>16</v>
      </c>
      <c r="C231" s="16" t="s">
        <v>367</v>
      </c>
      <c r="D231" s="16" t="s">
        <v>486</v>
      </c>
      <c r="E231" s="17" t="s">
        <v>487</v>
      </c>
      <c r="F231" s="16" t="n">
        <v>32.67598</v>
      </c>
      <c r="G231" s="16" t="n">
        <v>44.52091</v>
      </c>
      <c r="H231" s="18" t="n">
        <v>2</v>
      </c>
      <c r="I231" s="18" t="n">
        <v>12</v>
      </c>
      <c r="J231" s="19"/>
      <c r="K231" s="19"/>
      <c r="L231" s="19" t="n">
        <v>2</v>
      </c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 t="n">
        <v>2</v>
      </c>
      <c r="AI231" s="19"/>
      <c r="AJ231" s="19"/>
      <c r="AK231" s="19"/>
      <c r="AL231" s="19"/>
      <c r="AM231" s="19"/>
      <c r="AN231" s="19"/>
      <c r="AO231" s="19" t="n">
        <v>2</v>
      </c>
      <c r="AP231" s="19"/>
      <c r="AQ231" s="19"/>
      <c r="AR231" s="19"/>
      <c r="AS231" s="20" t="str">
        <f aca="false">HYPERLINK("http://www.openstreetmap.org/?mlat=32.676&amp;mlon=44.5209&amp;zoom=12#map=12/32.676/44.5209","Maplink1")</f>
        <v>Maplink1</v>
      </c>
      <c r="AT231" s="20" t="str">
        <f aca="false">HYPERLINK("https://www.google.iq/maps/search/+32.676,44.5209/@32.676,44.5209,14z?hl=en","Maplink2")</f>
        <v>Maplink2</v>
      </c>
      <c r="AU231" s="20" t="str">
        <f aca="false">HYPERLINK("http://www.bing.com/maps/?lvl=14&amp;sty=h&amp;cp=32.676~44.5209&amp;sp=point.32.676_44.5209","Maplink3")</f>
        <v>Maplink3</v>
      </c>
    </row>
    <row r="232" customFormat="false" ht="15" hidden="false" customHeight="true" outlineLevel="0" collapsed="false">
      <c r="A232" s="15" t="n">
        <v>6459</v>
      </c>
      <c r="B232" s="16" t="s">
        <v>16</v>
      </c>
      <c r="C232" s="16" t="s">
        <v>367</v>
      </c>
      <c r="D232" s="16" t="s">
        <v>488</v>
      </c>
      <c r="E232" s="17" t="s">
        <v>489</v>
      </c>
      <c r="F232" s="16" t="n">
        <v>32.65969109</v>
      </c>
      <c r="G232" s="16" t="n">
        <v>44.47761482</v>
      </c>
      <c r="H232" s="18" t="n">
        <v>5</v>
      </c>
      <c r="I232" s="18" t="n">
        <v>30</v>
      </c>
      <c r="J232" s="19" t="n">
        <v>5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 t="n">
        <v>5</v>
      </c>
      <c r="AI232" s="19"/>
      <c r="AJ232" s="19"/>
      <c r="AK232" s="19"/>
      <c r="AL232" s="19"/>
      <c r="AM232" s="19"/>
      <c r="AN232" s="19"/>
      <c r="AO232" s="19"/>
      <c r="AP232" s="19" t="n">
        <v>5</v>
      </c>
      <c r="AQ232" s="19"/>
      <c r="AR232" s="19"/>
      <c r="AS232" s="20" t="str">
        <f aca="false">HYPERLINK("http://www.openstreetmap.org/?mlat=32.6597&amp;mlon=44.4776&amp;zoom=12#map=12/32.6597/44.4776","Maplink1")</f>
        <v>Maplink1</v>
      </c>
      <c r="AT232" s="20" t="str">
        <f aca="false">HYPERLINK("https://www.google.iq/maps/search/+32.6597,44.4776/@32.6597,44.4776,14z?hl=en","Maplink2")</f>
        <v>Maplink2</v>
      </c>
      <c r="AU232" s="20" t="str">
        <f aca="false">HYPERLINK("http://www.bing.com/maps/?lvl=14&amp;sty=h&amp;cp=32.6597~44.4776&amp;sp=point.32.6597_44.4776","Maplink3")</f>
        <v>Maplink3</v>
      </c>
    </row>
    <row r="233" customFormat="false" ht="15" hidden="false" customHeight="true" outlineLevel="0" collapsed="false">
      <c r="A233" s="15" t="n">
        <v>29566</v>
      </c>
      <c r="B233" s="16" t="s">
        <v>16</v>
      </c>
      <c r="C233" s="16" t="s">
        <v>367</v>
      </c>
      <c r="D233" s="16" t="s">
        <v>490</v>
      </c>
      <c r="E233" s="17" t="s">
        <v>491</v>
      </c>
      <c r="F233" s="16" t="n">
        <v>32.65628707</v>
      </c>
      <c r="G233" s="16" t="n">
        <v>44.37647986</v>
      </c>
      <c r="H233" s="18" t="n">
        <v>5</v>
      </c>
      <c r="I233" s="18" t="n">
        <v>30</v>
      </c>
      <c r="J233" s="19" t="n">
        <v>5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 t="n">
        <v>5</v>
      </c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 t="n">
        <v>5</v>
      </c>
      <c r="AP233" s="19"/>
      <c r="AQ233" s="19"/>
      <c r="AR233" s="19"/>
      <c r="AS233" s="20" t="str">
        <f aca="false">HYPERLINK("http://www.openstreetmap.org/?mlat=32.6563&amp;mlon=44.3765&amp;zoom=12#map=12/32.6563/44.3765","Maplink1")</f>
        <v>Maplink1</v>
      </c>
      <c r="AT233" s="20" t="str">
        <f aca="false">HYPERLINK("https://www.google.iq/maps/search/+32.6563,44.3765/@32.6563,44.3765,14z?hl=en","Maplink2")</f>
        <v>Maplink2</v>
      </c>
      <c r="AU233" s="20" t="str">
        <f aca="false">HYPERLINK("http://www.bing.com/maps/?lvl=14&amp;sty=h&amp;cp=32.6563~44.3765&amp;sp=point.32.6563_44.3765","Maplink3")</f>
        <v>Maplink3</v>
      </c>
    </row>
    <row r="234" customFormat="false" ht="15" hidden="false" customHeight="true" outlineLevel="0" collapsed="false">
      <c r="A234" s="15" t="n">
        <v>24518</v>
      </c>
      <c r="B234" s="16" t="s">
        <v>16</v>
      </c>
      <c r="C234" s="16" t="s">
        <v>367</v>
      </c>
      <c r="D234" s="16" t="s">
        <v>492</v>
      </c>
      <c r="E234" s="17" t="s">
        <v>493</v>
      </c>
      <c r="F234" s="16" t="n">
        <v>32.54394664</v>
      </c>
      <c r="G234" s="16" t="n">
        <v>44.64330115</v>
      </c>
      <c r="H234" s="18" t="n">
        <v>10</v>
      </c>
      <c r="I234" s="18" t="n">
        <v>60</v>
      </c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 t="n">
        <v>10</v>
      </c>
      <c r="W234" s="19"/>
      <c r="X234" s="19"/>
      <c r="Y234" s="19"/>
      <c r="Z234" s="19"/>
      <c r="AA234" s="19"/>
      <c r="AB234" s="19"/>
      <c r="AC234" s="19" t="n">
        <v>6</v>
      </c>
      <c r="AD234" s="19"/>
      <c r="AE234" s="19"/>
      <c r="AF234" s="19"/>
      <c r="AG234" s="19"/>
      <c r="AH234" s="19"/>
      <c r="AI234" s="19" t="n">
        <v>4</v>
      </c>
      <c r="AJ234" s="19"/>
      <c r="AK234" s="19"/>
      <c r="AL234" s="19"/>
      <c r="AM234" s="19" t="n">
        <v>10</v>
      </c>
      <c r="AN234" s="19"/>
      <c r="AO234" s="19"/>
      <c r="AP234" s="19"/>
      <c r="AQ234" s="19"/>
      <c r="AR234" s="19"/>
      <c r="AS234" s="20" t="str">
        <f aca="false">HYPERLINK("http://www.openstreetmap.org/?mlat=32.5439&amp;mlon=44.6433&amp;zoom=12#map=12/32.5439/44.6433","Maplink1")</f>
        <v>Maplink1</v>
      </c>
      <c r="AT234" s="20" t="str">
        <f aca="false">HYPERLINK("https://www.google.iq/maps/search/+32.5439,44.6433/@32.5439,44.6433,14z?hl=en","Maplink2")</f>
        <v>Maplink2</v>
      </c>
      <c r="AU234" s="20" t="str">
        <f aca="false">HYPERLINK("http://www.bing.com/maps/?lvl=14&amp;sty=h&amp;cp=32.5439~44.6433&amp;sp=point.32.5439_44.6433","Maplink3")</f>
        <v>Maplink3</v>
      </c>
    </row>
    <row r="235" customFormat="false" ht="15" hidden="false" customHeight="true" outlineLevel="0" collapsed="false">
      <c r="A235" s="15" t="n">
        <v>7128</v>
      </c>
      <c r="B235" s="16" t="s">
        <v>16</v>
      </c>
      <c r="C235" s="16" t="s">
        <v>494</v>
      </c>
      <c r="D235" s="16" t="s">
        <v>495</v>
      </c>
      <c r="E235" s="17" t="s">
        <v>496</v>
      </c>
      <c r="F235" s="16" t="n">
        <v>32.891981</v>
      </c>
      <c r="G235" s="16" t="n">
        <v>44.333626</v>
      </c>
      <c r="H235" s="18" t="n">
        <v>171</v>
      </c>
      <c r="I235" s="18" t="n">
        <v>1026</v>
      </c>
      <c r="J235" s="19" t="n">
        <v>3</v>
      </c>
      <c r="K235" s="19" t="n">
        <v>150</v>
      </c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 t="n">
        <v>18</v>
      </c>
      <c r="W235" s="19"/>
      <c r="X235" s="19"/>
      <c r="Y235" s="19"/>
      <c r="Z235" s="19"/>
      <c r="AA235" s="19"/>
      <c r="AB235" s="19"/>
      <c r="AC235" s="19" t="n">
        <v>53</v>
      </c>
      <c r="AD235" s="19"/>
      <c r="AE235" s="19"/>
      <c r="AF235" s="19"/>
      <c r="AG235" s="19"/>
      <c r="AH235" s="19" t="n">
        <v>118</v>
      </c>
      <c r="AI235" s="19"/>
      <c r="AJ235" s="19"/>
      <c r="AK235" s="19"/>
      <c r="AL235" s="19"/>
      <c r="AM235" s="19" t="n">
        <v>85</v>
      </c>
      <c r="AN235" s="19"/>
      <c r="AO235" s="19" t="n">
        <v>83</v>
      </c>
      <c r="AP235" s="19"/>
      <c r="AQ235" s="19"/>
      <c r="AR235" s="19" t="n">
        <v>3</v>
      </c>
      <c r="AS235" s="20" t="str">
        <f aca="false">HYPERLINK("http://www.openstreetmap.org/?mlat=32.892&amp;mlon=44.3336&amp;zoom=12#map=12/32.892/44.3336","Maplink1")</f>
        <v>Maplink1</v>
      </c>
      <c r="AT235" s="20" t="str">
        <f aca="false">HYPERLINK("https://www.google.iq/maps/search/+32.892,44.3336/@32.892,44.3336,14z?hl=en","Maplink2")</f>
        <v>Maplink2</v>
      </c>
      <c r="AU235" s="20" t="str">
        <f aca="false">HYPERLINK("http://www.bing.com/maps/?lvl=14&amp;sty=h&amp;cp=32.892~44.3336&amp;sp=point.32.892_44.3336","Maplink3")</f>
        <v>Maplink3</v>
      </c>
    </row>
    <row r="236" customFormat="false" ht="15" hidden="false" customHeight="true" outlineLevel="0" collapsed="false">
      <c r="A236" s="15" t="n">
        <v>24957</v>
      </c>
      <c r="B236" s="16" t="s">
        <v>16</v>
      </c>
      <c r="C236" s="16" t="s">
        <v>494</v>
      </c>
      <c r="D236" s="16" t="s">
        <v>497</v>
      </c>
      <c r="E236" s="17" t="s">
        <v>498</v>
      </c>
      <c r="F236" s="16" t="n">
        <v>32.80670753</v>
      </c>
      <c r="G236" s="16" t="n">
        <v>44.26791301</v>
      </c>
      <c r="H236" s="18" t="n">
        <v>51</v>
      </c>
      <c r="I236" s="18" t="n">
        <v>306</v>
      </c>
      <c r="J236" s="19"/>
      <c r="K236" s="19" t="n">
        <v>51</v>
      </c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 t="n">
        <v>51</v>
      </c>
      <c r="AI236" s="19"/>
      <c r="AJ236" s="19"/>
      <c r="AK236" s="19"/>
      <c r="AL236" s="19"/>
      <c r="AM236" s="19" t="n">
        <v>39</v>
      </c>
      <c r="AN236" s="19" t="n">
        <v>12</v>
      </c>
      <c r="AO236" s="19"/>
      <c r="AP236" s="19"/>
      <c r="AQ236" s="19"/>
      <c r="AR236" s="19"/>
      <c r="AS236" s="20" t="str">
        <f aca="false">HYPERLINK("http://www.openstreetmap.org/?mlat=32.8067&amp;mlon=44.2679&amp;zoom=12#map=12/32.8067/44.2679","Maplink1")</f>
        <v>Maplink1</v>
      </c>
      <c r="AT236" s="20" t="str">
        <f aca="false">HYPERLINK("https://www.google.iq/maps/search/+32.8067,44.2679/@32.8067,44.2679,14z?hl=en","Maplink2")</f>
        <v>Maplink2</v>
      </c>
      <c r="AU236" s="20" t="str">
        <f aca="false">HYPERLINK("http://www.bing.com/maps/?lvl=14&amp;sty=h&amp;cp=32.8067~44.2679&amp;sp=point.32.8067_44.2679","Maplink3")</f>
        <v>Maplink3</v>
      </c>
    </row>
    <row r="237" customFormat="false" ht="15" hidden="false" customHeight="true" outlineLevel="0" collapsed="false">
      <c r="A237" s="15" t="n">
        <v>24958</v>
      </c>
      <c r="B237" s="16" t="s">
        <v>16</v>
      </c>
      <c r="C237" s="16" t="s">
        <v>494</v>
      </c>
      <c r="D237" s="16" t="s">
        <v>499</v>
      </c>
      <c r="E237" s="17" t="s">
        <v>500</v>
      </c>
      <c r="F237" s="16" t="n">
        <v>32.7601772</v>
      </c>
      <c r="G237" s="16" t="n">
        <v>44.28268787</v>
      </c>
      <c r="H237" s="18" t="n">
        <v>1</v>
      </c>
      <c r="I237" s="18" t="n">
        <v>6</v>
      </c>
      <c r="J237" s="19"/>
      <c r="K237" s="19" t="n">
        <v>1</v>
      </c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 t="n">
        <v>1</v>
      </c>
      <c r="AI237" s="19"/>
      <c r="AJ237" s="19"/>
      <c r="AK237" s="19"/>
      <c r="AL237" s="19"/>
      <c r="AM237" s="19" t="n">
        <v>1</v>
      </c>
      <c r="AN237" s="19"/>
      <c r="AO237" s="19"/>
      <c r="AP237" s="19"/>
      <c r="AQ237" s="19"/>
      <c r="AR237" s="19"/>
      <c r="AS237" s="20" t="str">
        <f aca="false">HYPERLINK("http://www.openstreetmap.org/?mlat=32.7602&amp;mlon=44.2827&amp;zoom=12#map=12/32.7602/44.2827","Maplink1")</f>
        <v>Maplink1</v>
      </c>
      <c r="AT237" s="20" t="str">
        <f aca="false">HYPERLINK("https://www.google.iq/maps/search/+32.7602,44.2827/@32.7602,44.2827,14z?hl=en","Maplink2")</f>
        <v>Maplink2</v>
      </c>
      <c r="AU237" s="20" t="str">
        <f aca="false">HYPERLINK("http://www.bing.com/maps/?lvl=14&amp;sty=h&amp;cp=32.7602~44.2827&amp;sp=point.32.7602_44.2827","Maplink3")</f>
        <v>Maplink3</v>
      </c>
    </row>
    <row r="238" customFormat="false" ht="15" hidden="false" customHeight="true" outlineLevel="0" collapsed="false">
      <c r="A238" s="15" t="n">
        <v>28454</v>
      </c>
      <c r="B238" s="16" t="s">
        <v>16</v>
      </c>
      <c r="C238" s="16" t="s">
        <v>494</v>
      </c>
      <c r="D238" s="16" t="s">
        <v>501</v>
      </c>
      <c r="E238" s="17" t="s">
        <v>502</v>
      </c>
      <c r="F238" s="16" t="n">
        <v>32.79008354</v>
      </c>
      <c r="G238" s="16" t="n">
        <v>44.29524614</v>
      </c>
      <c r="H238" s="18" t="n">
        <v>14</v>
      </c>
      <c r="I238" s="18" t="n">
        <v>84</v>
      </c>
      <c r="J238" s="19"/>
      <c r="K238" s="19" t="n">
        <v>3</v>
      </c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 t="n">
        <v>11</v>
      </c>
      <c r="W238" s="19"/>
      <c r="X238" s="19"/>
      <c r="Y238" s="19"/>
      <c r="Z238" s="19"/>
      <c r="AA238" s="19"/>
      <c r="AB238" s="19"/>
      <c r="AC238" s="19" t="n">
        <v>14</v>
      </c>
      <c r="AD238" s="19"/>
      <c r="AE238" s="19"/>
      <c r="AF238" s="19"/>
      <c r="AG238" s="19"/>
      <c r="AH238" s="19"/>
      <c r="AI238" s="19"/>
      <c r="AJ238" s="19"/>
      <c r="AK238" s="19"/>
      <c r="AL238" s="19"/>
      <c r="AM238" s="19" t="n">
        <v>11</v>
      </c>
      <c r="AN238" s="19" t="n">
        <v>3</v>
      </c>
      <c r="AO238" s="19"/>
      <c r="AP238" s="19"/>
      <c r="AQ238" s="19"/>
      <c r="AR238" s="19"/>
      <c r="AS238" s="20" t="str">
        <f aca="false">HYPERLINK("http://www.openstreetmap.org/?mlat=32.7901&amp;mlon=44.2952&amp;zoom=12#map=12/32.7901/44.2952","Maplink1")</f>
        <v>Maplink1</v>
      </c>
      <c r="AT238" s="20" t="str">
        <f aca="false">HYPERLINK("https://www.google.iq/maps/search/+32.7901,44.2952/@32.7901,44.2952,14z?hl=en","Maplink2")</f>
        <v>Maplink2</v>
      </c>
      <c r="AU238" s="20" t="str">
        <f aca="false">HYPERLINK("http://www.bing.com/maps/?lvl=14&amp;sty=h&amp;cp=32.7901~44.2952&amp;sp=point.32.7901_44.2952","Maplink3")</f>
        <v>Maplink3</v>
      </c>
    </row>
    <row r="239" customFormat="false" ht="15" hidden="false" customHeight="true" outlineLevel="0" collapsed="false">
      <c r="A239" s="15" t="n">
        <v>24168</v>
      </c>
      <c r="B239" s="16" t="s">
        <v>16</v>
      </c>
      <c r="C239" s="16" t="s">
        <v>494</v>
      </c>
      <c r="D239" s="16" t="s">
        <v>503</v>
      </c>
      <c r="E239" s="17" t="s">
        <v>504</v>
      </c>
      <c r="F239" s="16" t="n">
        <v>32.78439604</v>
      </c>
      <c r="G239" s="16" t="n">
        <v>44.26830646</v>
      </c>
      <c r="H239" s="18" t="n">
        <v>78</v>
      </c>
      <c r="I239" s="18" t="n">
        <v>468</v>
      </c>
      <c r="J239" s="19"/>
      <c r="K239" s="19" t="n">
        <v>78</v>
      </c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 t="n">
        <v>78</v>
      </c>
      <c r="AI239" s="19"/>
      <c r="AJ239" s="19"/>
      <c r="AK239" s="19"/>
      <c r="AL239" s="19"/>
      <c r="AM239" s="19" t="n">
        <v>78</v>
      </c>
      <c r="AN239" s="19"/>
      <c r="AO239" s="19"/>
      <c r="AP239" s="19"/>
      <c r="AQ239" s="19"/>
      <c r="AR239" s="19"/>
      <c r="AS239" s="20" t="str">
        <f aca="false">HYPERLINK("http://www.openstreetmap.org/?mlat=32.7844&amp;mlon=44.2683&amp;zoom=12#map=12/32.7844/44.2683","Maplink1")</f>
        <v>Maplink1</v>
      </c>
      <c r="AT239" s="20" t="str">
        <f aca="false">HYPERLINK("https://www.google.iq/maps/search/+32.7844,44.2683/@32.7844,44.2683,14z?hl=en","Maplink2")</f>
        <v>Maplink2</v>
      </c>
      <c r="AU239" s="20" t="str">
        <f aca="false">HYPERLINK("http://www.bing.com/maps/?lvl=14&amp;sty=h&amp;cp=32.7844~44.2683&amp;sp=point.32.7844_44.2683","Maplink3")</f>
        <v>Maplink3</v>
      </c>
    </row>
    <row r="240" customFormat="false" ht="15" hidden="false" customHeight="true" outlineLevel="0" collapsed="false">
      <c r="A240" s="15" t="n">
        <v>24164</v>
      </c>
      <c r="B240" s="16" t="s">
        <v>16</v>
      </c>
      <c r="C240" s="16" t="s">
        <v>494</v>
      </c>
      <c r="D240" s="16" t="s">
        <v>505</v>
      </c>
      <c r="E240" s="17" t="s">
        <v>506</v>
      </c>
      <c r="F240" s="16" t="n">
        <v>32.80355003</v>
      </c>
      <c r="G240" s="16" t="n">
        <v>44.27041677</v>
      </c>
      <c r="H240" s="18" t="n">
        <v>75</v>
      </c>
      <c r="I240" s="18" t="n">
        <v>450</v>
      </c>
      <c r="J240" s="19"/>
      <c r="K240" s="19" t="n">
        <v>75</v>
      </c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 t="n">
        <v>75</v>
      </c>
      <c r="AI240" s="19"/>
      <c r="AJ240" s="19"/>
      <c r="AK240" s="19"/>
      <c r="AL240" s="19"/>
      <c r="AM240" s="19" t="n">
        <v>75</v>
      </c>
      <c r="AN240" s="19"/>
      <c r="AO240" s="19"/>
      <c r="AP240" s="19"/>
      <c r="AQ240" s="19"/>
      <c r="AR240" s="19"/>
      <c r="AS240" s="20" t="str">
        <f aca="false">HYPERLINK("http://www.openstreetmap.org/?mlat=32.8036&amp;mlon=44.2704&amp;zoom=12#map=12/32.8036/44.2704","Maplink1")</f>
        <v>Maplink1</v>
      </c>
      <c r="AT240" s="20" t="str">
        <f aca="false">HYPERLINK("https://www.google.iq/maps/search/+32.8036,44.2704/@32.8036,44.2704,14z?hl=en","Maplink2")</f>
        <v>Maplink2</v>
      </c>
      <c r="AU240" s="20" t="str">
        <f aca="false">HYPERLINK("http://www.bing.com/maps/?lvl=14&amp;sty=h&amp;cp=32.8036~44.2704&amp;sp=point.32.8036_44.2704","Maplink3")</f>
        <v>Maplink3</v>
      </c>
    </row>
    <row r="241" customFormat="false" ht="15" hidden="false" customHeight="true" outlineLevel="0" collapsed="false">
      <c r="A241" s="15" t="n">
        <v>26117</v>
      </c>
      <c r="B241" s="16" t="s">
        <v>16</v>
      </c>
      <c r="C241" s="16" t="s">
        <v>494</v>
      </c>
      <c r="D241" s="16" t="s">
        <v>507</v>
      </c>
      <c r="E241" s="17" t="s">
        <v>508</v>
      </c>
      <c r="F241" s="16" t="n">
        <v>32.79699341</v>
      </c>
      <c r="G241" s="16" t="n">
        <v>44.2731828</v>
      </c>
      <c r="H241" s="18" t="n">
        <v>59</v>
      </c>
      <c r="I241" s="18" t="n">
        <v>354</v>
      </c>
      <c r="J241" s="19"/>
      <c r="K241" s="19" t="n">
        <v>59</v>
      </c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 t="n">
        <v>59</v>
      </c>
      <c r="AI241" s="19"/>
      <c r="AJ241" s="19"/>
      <c r="AK241" s="19"/>
      <c r="AL241" s="19"/>
      <c r="AM241" s="19" t="n">
        <v>59</v>
      </c>
      <c r="AN241" s="19"/>
      <c r="AO241" s="19"/>
      <c r="AP241" s="19"/>
      <c r="AQ241" s="19"/>
      <c r="AR241" s="19"/>
      <c r="AS241" s="20" t="str">
        <f aca="false">HYPERLINK("http://www.openstreetmap.org/?mlat=32.797&amp;mlon=44.2732&amp;zoom=12#map=12/32.797/44.2732","Maplink1")</f>
        <v>Maplink1</v>
      </c>
      <c r="AT241" s="20" t="str">
        <f aca="false">HYPERLINK("https://www.google.iq/maps/search/+32.797,44.2732/@32.797,44.2732,14z?hl=en","Maplink2")</f>
        <v>Maplink2</v>
      </c>
      <c r="AU241" s="20" t="str">
        <f aca="false">HYPERLINK("http://www.bing.com/maps/?lvl=14&amp;sty=h&amp;cp=32.797~44.2732&amp;sp=point.32.797_44.2732","Maplink3")</f>
        <v>Maplink3</v>
      </c>
    </row>
    <row r="242" customFormat="false" ht="15" hidden="false" customHeight="true" outlineLevel="0" collapsed="false">
      <c r="A242" s="15" t="n">
        <v>7126</v>
      </c>
      <c r="B242" s="16" t="s">
        <v>16</v>
      </c>
      <c r="C242" s="16" t="s">
        <v>494</v>
      </c>
      <c r="D242" s="16" t="s">
        <v>509</v>
      </c>
      <c r="E242" s="17" t="s">
        <v>510</v>
      </c>
      <c r="F242" s="16" t="n">
        <v>32.81292959</v>
      </c>
      <c r="G242" s="16" t="n">
        <v>44.26517464</v>
      </c>
      <c r="H242" s="18" t="n">
        <v>84</v>
      </c>
      <c r="I242" s="18" t="n">
        <v>504</v>
      </c>
      <c r="J242" s="19"/>
      <c r="K242" s="19" t="n">
        <v>84</v>
      </c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 t="n">
        <v>84</v>
      </c>
      <c r="AI242" s="19"/>
      <c r="AJ242" s="19"/>
      <c r="AK242" s="19"/>
      <c r="AL242" s="19"/>
      <c r="AM242" s="19" t="n">
        <v>84</v>
      </c>
      <c r="AN242" s="19"/>
      <c r="AO242" s="19"/>
      <c r="AP242" s="19"/>
      <c r="AQ242" s="19"/>
      <c r="AR242" s="19"/>
      <c r="AS242" s="20" t="str">
        <f aca="false">HYPERLINK("http://www.openstreetmap.org/?mlat=32.8129&amp;mlon=44.2652&amp;zoom=12#map=12/32.8129/44.2652","Maplink1")</f>
        <v>Maplink1</v>
      </c>
      <c r="AT242" s="20" t="str">
        <f aca="false">HYPERLINK("https://www.google.iq/maps/search/+32.8129,44.2652/@32.8129,44.2652,14z?hl=en","Maplink2")</f>
        <v>Maplink2</v>
      </c>
      <c r="AU242" s="20" t="str">
        <f aca="false">HYPERLINK("http://www.bing.com/maps/?lvl=14&amp;sty=h&amp;cp=32.8129~44.2652&amp;sp=point.32.8129_44.2652","Maplink3")</f>
        <v>Maplink3</v>
      </c>
    </row>
    <row r="243" customFormat="false" ht="15" hidden="false" customHeight="true" outlineLevel="0" collapsed="false">
      <c r="A243" s="15" t="n">
        <v>24163</v>
      </c>
      <c r="B243" s="16" t="s">
        <v>16</v>
      </c>
      <c r="C243" s="16" t="s">
        <v>494</v>
      </c>
      <c r="D243" s="16" t="s">
        <v>511</v>
      </c>
      <c r="E243" s="17" t="s">
        <v>512</v>
      </c>
      <c r="F243" s="16" t="n">
        <v>32.81468572</v>
      </c>
      <c r="G243" s="16" t="n">
        <v>44.26384108</v>
      </c>
      <c r="H243" s="18" t="n">
        <v>49</v>
      </c>
      <c r="I243" s="18" t="n">
        <v>294</v>
      </c>
      <c r="J243" s="19"/>
      <c r="K243" s="19" t="n">
        <v>49</v>
      </c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 t="n">
        <v>49</v>
      </c>
      <c r="AI243" s="19"/>
      <c r="AJ243" s="19"/>
      <c r="AK243" s="19"/>
      <c r="AL243" s="19"/>
      <c r="AM243" s="19" t="n">
        <v>49</v>
      </c>
      <c r="AN243" s="19"/>
      <c r="AO243" s="19"/>
      <c r="AP243" s="19"/>
      <c r="AQ243" s="19"/>
      <c r="AR243" s="19"/>
      <c r="AS243" s="20" t="str">
        <f aca="false">HYPERLINK("http://www.openstreetmap.org/?mlat=32.8147&amp;mlon=44.2638&amp;zoom=12#map=12/32.8147/44.2638","Maplink1")</f>
        <v>Maplink1</v>
      </c>
      <c r="AT243" s="20" t="str">
        <f aca="false">HYPERLINK("https://www.google.iq/maps/search/+32.8147,44.2638/@32.8147,44.2638,14z?hl=en","Maplink2")</f>
        <v>Maplink2</v>
      </c>
      <c r="AU243" s="20" t="str">
        <f aca="false">HYPERLINK("http://www.bing.com/maps/?lvl=14&amp;sty=h&amp;cp=32.8147~44.2638&amp;sp=point.32.8147_44.2638","Maplink3")</f>
        <v>Maplink3</v>
      </c>
    </row>
    <row r="244" customFormat="false" ht="15" hidden="false" customHeight="true" outlineLevel="0" collapsed="false">
      <c r="A244" s="15" t="n">
        <v>24165</v>
      </c>
      <c r="B244" s="16" t="s">
        <v>16</v>
      </c>
      <c r="C244" s="16" t="s">
        <v>494</v>
      </c>
      <c r="D244" s="16" t="s">
        <v>513</v>
      </c>
      <c r="E244" s="17" t="s">
        <v>514</v>
      </c>
      <c r="F244" s="16" t="n">
        <v>32.80935567</v>
      </c>
      <c r="G244" s="16" t="n">
        <v>44.26667182</v>
      </c>
      <c r="H244" s="18" t="n">
        <v>97</v>
      </c>
      <c r="I244" s="18" t="n">
        <v>582</v>
      </c>
      <c r="J244" s="19"/>
      <c r="K244" s="19" t="n">
        <v>97</v>
      </c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 t="n">
        <v>67</v>
      </c>
      <c r="AD244" s="19"/>
      <c r="AE244" s="19"/>
      <c r="AF244" s="19"/>
      <c r="AG244" s="19"/>
      <c r="AH244" s="19" t="n">
        <v>30</v>
      </c>
      <c r="AI244" s="19"/>
      <c r="AJ244" s="19"/>
      <c r="AK244" s="19"/>
      <c r="AL244" s="19" t="n">
        <v>33</v>
      </c>
      <c r="AM244" s="19" t="n">
        <v>64</v>
      </c>
      <c r="AN244" s="19"/>
      <c r="AO244" s="19"/>
      <c r="AP244" s="19"/>
      <c r="AQ244" s="19"/>
      <c r="AR244" s="19"/>
      <c r="AS244" s="20" t="str">
        <f aca="false">HYPERLINK("http://www.openstreetmap.org/?mlat=32.8094&amp;mlon=44.2667&amp;zoom=12#map=12/32.8094/44.2667","Maplink1")</f>
        <v>Maplink1</v>
      </c>
      <c r="AT244" s="20" t="str">
        <f aca="false">HYPERLINK("https://www.google.iq/maps/search/+32.8094,44.2667/@32.8094,44.2667,14z?hl=en","Maplink2")</f>
        <v>Maplink2</v>
      </c>
      <c r="AU244" s="20" t="str">
        <f aca="false">HYPERLINK("http://www.bing.com/maps/?lvl=14&amp;sty=h&amp;cp=32.8094~44.2667&amp;sp=point.32.8094_44.2667","Maplink3")</f>
        <v>Maplink3</v>
      </c>
    </row>
    <row r="245" customFormat="false" ht="15" hidden="false" customHeight="true" outlineLevel="0" collapsed="false">
      <c r="A245" s="15" t="n">
        <v>24296</v>
      </c>
      <c r="B245" s="16" t="s">
        <v>16</v>
      </c>
      <c r="C245" s="16" t="s">
        <v>494</v>
      </c>
      <c r="D245" s="16" t="s">
        <v>515</v>
      </c>
      <c r="E245" s="17" t="s">
        <v>516</v>
      </c>
      <c r="F245" s="16" t="n">
        <v>32.87783</v>
      </c>
      <c r="G245" s="16" t="n">
        <v>44.41548</v>
      </c>
      <c r="H245" s="18" t="n">
        <v>34</v>
      </c>
      <c r="I245" s="18" t="n">
        <v>204</v>
      </c>
      <c r="J245" s="19"/>
      <c r="K245" s="19" t="n">
        <v>34</v>
      </c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 t="n">
        <v>34</v>
      </c>
      <c r="AD245" s="19"/>
      <c r="AE245" s="19"/>
      <c r="AF245" s="19"/>
      <c r="AG245" s="19"/>
      <c r="AH245" s="19"/>
      <c r="AI245" s="19"/>
      <c r="AJ245" s="19"/>
      <c r="AK245" s="19"/>
      <c r="AL245" s="19"/>
      <c r="AM245" s="19" t="n">
        <v>34</v>
      </c>
      <c r="AN245" s="19"/>
      <c r="AO245" s="19"/>
      <c r="AP245" s="19"/>
      <c r="AQ245" s="19"/>
      <c r="AR245" s="19"/>
      <c r="AS245" s="20" t="str">
        <f aca="false">HYPERLINK("http://www.openstreetmap.org/?mlat=32.8778&amp;mlon=44.4155&amp;zoom=12#map=12/32.8778/44.4155","Maplink1")</f>
        <v>Maplink1</v>
      </c>
      <c r="AT245" s="20" t="str">
        <f aca="false">HYPERLINK("https://www.google.iq/maps/search/+32.8778,44.4155/@32.8778,44.4155,14z?hl=en","Maplink2")</f>
        <v>Maplink2</v>
      </c>
      <c r="AU245" s="20" t="str">
        <f aca="false">HYPERLINK("http://www.bing.com/maps/?lvl=14&amp;sty=h&amp;cp=32.8778~44.4155&amp;sp=point.32.8778_44.4155","Maplink3")</f>
        <v>Maplink3</v>
      </c>
    </row>
    <row r="246" customFormat="false" ht="15" hidden="false" customHeight="true" outlineLevel="0" collapsed="false">
      <c r="A246" s="15" t="n">
        <v>26118</v>
      </c>
      <c r="B246" s="16" t="s">
        <v>16</v>
      </c>
      <c r="C246" s="16" t="s">
        <v>494</v>
      </c>
      <c r="D246" s="16" t="s">
        <v>388</v>
      </c>
      <c r="E246" s="17" t="s">
        <v>517</v>
      </c>
      <c r="F246" s="16" t="n">
        <v>32.70447023</v>
      </c>
      <c r="G246" s="16" t="n">
        <v>44.26859203</v>
      </c>
      <c r="H246" s="18" t="n">
        <v>12</v>
      </c>
      <c r="I246" s="18" t="n">
        <v>72</v>
      </c>
      <c r="J246" s="19" t="n">
        <v>7</v>
      </c>
      <c r="K246" s="19" t="n">
        <v>3</v>
      </c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 t="n">
        <v>2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 t="n">
        <v>12</v>
      </c>
      <c r="AI246" s="19"/>
      <c r="AJ246" s="19"/>
      <c r="AK246" s="19"/>
      <c r="AL246" s="19"/>
      <c r="AM246" s="19" t="n">
        <v>3</v>
      </c>
      <c r="AN246" s="19" t="n">
        <v>2</v>
      </c>
      <c r="AO246" s="19" t="n">
        <v>7</v>
      </c>
      <c r="AP246" s="19"/>
      <c r="AQ246" s="19"/>
      <c r="AR246" s="19"/>
      <c r="AS246" s="20" t="str">
        <f aca="false">HYPERLINK("http://www.openstreetmap.org/?mlat=32.7045&amp;mlon=44.2686&amp;zoom=12#map=12/32.7045/44.2686","Maplink1")</f>
        <v>Maplink1</v>
      </c>
      <c r="AT246" s="20" t="str">
        <f aca="false">HYPERLINK("https://www.google.iq/maps/search/+32.7045,44.2686/@32.7045,44.2686,14z?hl=en","Maplink2")</f>
        <v>Maplink2</v>
      </c>
      <c r="AU246" s="20" t="str">
        <f aca="false">HYPERLINK("http://www.bing.com/maps/?lvl=14&amp;sty=h&amp;cp=32.7045~44.2686&amp;sp=point.32.7045_44.2686","Maplink3")</f>
        <v>Maplink3</v>
      </c>
    </row>
    <row r="247" customFormat="false" ht="15" hidden="false" customHeight="true" outlineLevel="0" collapsed="false">
      <c r="A247" s="15" t="n">
        <v>26098</v>
      </c>
      <c r="B247" s="16" t="s">
        <v>16</v>
      </c>
      <c r="C247" s="16" t="s">
        <v>494</v>
      </c>
      <c r="D247" s="16" t="s">
        <v>518</v>
      </c>
      <c r="E247" s="17" t="s">
        <v>519</v>
      </c>
      <c r="F247" s="16" t="n">
        <v>32.88390809</v>
      </c>
      <c r="G247" s="16" t="n">
        <v>44.35065798</v>
      </c>
      <c r="H247" s="18" t="n">
        <v>30</v>
      </c>
      <c r="I247" s="18" t="n">
        <v>180</v>
      </c>
      <c r="J247" s="19" t="n">
        <v>2</v>
      </c>
      <c r="K247" s="19" t="n">
        <v>26</v>
      </c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 t="n">
        <v>2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 t="n">
        <v>30</v>
      </c>
      <c r="AI247" s="19"/>
      <c r="AJ247" s="19"/>
      <c r="AK247" s="19"/>
      <c r="AL247" s="19"/>
      <c r="AM247" s="19" t="n">
        <v>28</v>
      </c>
      <c r="AN247" s="19"/>
      <c r="AO247" s="19" t="n">
        <v>2</v>
      </c>
      <c r="AP247" s="19"/>
      <c r="AQ247" s="19"/>
      <c r="AR247" s="19"/>
      <c r="AS247" s="20" t="str">
        <f aca="false">HYPERLINK("http://www.openstreetmap.org/?mlat=32.8839&amp;mlon=44.3507&amp;zoom=12#map=12/32.8839/44.3507","Maplink1")</f>
        <v>Maplink1</v>
      </c>
      <c r="AT247" s="20" t="str">
        <f aca="false">HYPERLINK("https://www.google.iq/maps/search/+32.8839,44.3507/@32.8839,44.3507,14z?hl=en","Maplink2")</f>
        <v>Maplink2</v>
      </c>
      <c r="AU247" s="20" t="str">
        <f aca="false">HYPERLINK("http://www.bing.com/maps/?lvl=14&amp;sty=h&amp;cp=32.8839~44.3507&amp;sp=point.32.8839_44.3507","Maplink3")</f>
        <v>Maplink3</v>
      </c>
    </row>
    <row r="248" customFormat="false" ht="15" hidden="false" customHeight="true" outlineLevel="0" collapsed="false">
      <c r="A248" s="15" t="n">
        <v>23944</v>
      </c>
      <c r="B248" s="16" t="s">
        <v>16</v>
      </c>
      <c r="C248" s="16" t="s">
        <v>494</v>
      </c>
      <c r="D248" s="16" t="s">
        <v>520</v>
      </c>
      <c r="E248" s="17" t="s">
        <v>521</v>
      </c>
      <c r="F248" s="16" t="n">
        <v>32.71906</v>
      </c>
      <c r="G248" s="16" t="n">
        <v>44.27762</v>
      </c>
      <c r="H248" s="18" t="n">
        <v>13</v>
      </c>
      <c r="I248" s="18" t="n">
        <v>78</v>
      </c>
      <c r="J248" s="19" t="n">
        <v>13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 t="n">
        <v>6</v>
      </c>
      <c r="AD248" s="19"/>
      <c r="AE248" s="19"/>
      <c r="AF248" s="19"/>
      <c r="AG248" s="19"/>
      <c r="AH248" s="19" t="n">
        <v>7</v>
      </c>
      <c r="AI248" s="19"/>
      <c r="AJ248" s="19"/>
      <c r="AK248" s="19"/>
      <c r="AL248" s="19"/>
      <c r="AM248" s="19"/>
      <c r="AN248" s="19" t="n">
        <v>6</v>
      </c>
      <c r="AO248" s="19"/>
      <c r="AP248" s="19" t="n">
        <v>7</v>
      </c>
      <c r="AQ248" s="19"/>
      <c r="AR248" s="19"/>
      <c r="AS248" s="20" t="str">
        <f aca="false">HYPERLINK("http://www.openstreetmap.org/?mlat=32.7191&amp;mlon=44.2776&amp;zoom=12#map=12/32.7191/44.2776","Maplink1")</f>
        <v>Maplink1</v>
      </c>
      <c r="AT248" s="20" t="str">
        <f aca="false">HYPERLINK("https://www.google.iq/maps/search/+32.7191,44.2776/@32.7191,44.2776,14z?hl=en","Maplink2")</f>
        <v>Maplink2</v>
      </c>
      <c r="AU248" s="20" t="str">
        <f aca="false">HYPERLINK("http://www.bing.com/maps/?lvl=14&amp;sty=h&amp;cp=32.7191~44.2776&amp;sp=point.32.7191_44.2776","Maplink3")</f>
        <v>Maplink3</v>
      </c>
    </row>
    <row r="249" customFormat="false" ht="15" hidden="false" customHeight="true" outlineLevel="0" collapsed="false">
      <c r="A249" s="15" t="n">
        <v>24570</v>
      </c>
      <c r="B249" s="16" t="s">
        <v>16</v>
      </c>
      <c r="C249" s="16" t="s">
        <v>494</v>
      </c>
      <c r="D249" s="16" t="s">
        <v>522</v>
      </c>
      <c r="E249" s="17" t="s">
        <v>523</v>
      </c>
      <c r="F249" s="16" t="n">
        <v>32.638618</v>
      </c>
      <c r="G249" s="16" t="n">
        <v>44.339358</v>
      </c>
      <c r="H249" s="18" t="n">
        <v>11</v>
      </c>
      <c r="I249" s="18" t="n">
        <v>66</v>
      </c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 t="n">
        <v>11</v>
      </c>
      <c r="W249" s="19"/>
      <c r="X249" s="19"/>
      <c r="Y249" s="19"/>
      <c r="Z249" s="19"/>
      <c r="AA249" s="19"/>
      <c r="AB249" s="19"/>
      <c r="AC249" s="19" t="n">
        <v>5</v>
      </c>
      <c r="AD249" s="19"/>
      <c r="AE249" s="19"/>
      <c r="AF249" s="19"/>
      <c r="AG249" s="19"/>
      <c r="AH249" s="19" t="n">
        <v>6</v>
      </c>
      <c r="AI249" s="19"/>
      <c r="AJ249" s="19"/>
      <c r="AK249" s="19"/>
      <c r="AL249" s="19"/>
      <c r="AM249" s="19" t="n">
        <v>11</v>
      </c>
      <c r="AN249" s="19"/>
      <c r="AO249" s="19"/>
      <c r="AP249" s="19"/>
      <c r="AQ249" s="19"/>
      <c r="AR249" s="19"/>
      <c r="AS249" s="20" t="str">
        <f aca="false">HYPERLINK("http://www.openstreetmap.org/?mlat=32.6386&amp;mlon=44.3394&amp;zoom=12#map=12/32.6386/44.3394","Maplink1")</f>
        <v>Maplink1</v>
      </c>
      <c r="AT249" s="20" t="str">
        <f aca="false">HYPERLINK("https://www.google.iq/maps/search/+32.6386,44.3394/@32.6386,44.3394,14z?hl=en","Maplink2")</f>
        <v>Maplink2</v>
      </c>
      <c r="AU249" s="20" t="str">
        <f aca="false">HYPERLINK("http://www.bing.com/maps/?lvl=14&amp;sty=h&amp;cp=32.6386~44.3394&amp;sp=point.32.6386_44.3394","Maplink3")</f>
        <v>Maplink3</v>
      </c>
    </row>
    <row r="250" customFormat="false" ht="15" hidden="false" customHeight="true" outlineLevel="0" collapsed="false">
      <c r="A250" s="15" t="n">
        <v>7127</v>
      </c>
      <c r="B250" s="16" t="s">
        <v>16</v>
      </c>
      <c r="C250" s="16" t="s">
        <v>494</v>
      </c>
      <c r="D250" s="16" t="s">
        <v>524</v>
      </c>
      <c r="E250" s="17" t="s">
        <v>525</v>
      </c>
      <c r="F250" s="16" t="n">
        <v>32.87355195</v>
      </c>
      <c r="G250" s="16" t="n">
        <v>44.38549737</v>
      </c>
      <c r="H250" s="18" t="n">
        <v>5</v>
      </c>
      <c r="I250" s="18" t="n">
        <v>30</v>
      </c>
      <c r="J250" s="19" t="n">
        <v>4</v>
      </c>
      <c r="K250" s="19" t="n">
        <v>1</v>
      </c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 t="n">
        <v>5</v>
      </c>
      <c r="AI250" s="19"/>
      <c r="AJ250" s="19"/>
      <c r="AK250" s="19"/>
      <c r="AL250" s="19"/>
      <c r="AM250" s="19" t="n">
        <v>1</v>
      </c>
      <c r="AN250" s="19"/>
      <c r="AO250" s="19"/>
      <c r="AP250" s="19" t="n">
        <v>4</v>
      </c>
      <c r="AQ250" s="19"/>
      <c r="AR250" s="19"/>
      <c r="AS250" s="20" t="str">
        <f aca="false">HYPERLINK("http://www.openstreetmap.org/?mlat=32.8736&amp;mlon=44.3855&amp;zoom=12#map=12/32.8736/44.3855","Maplink1")</f>
        <v>Maplink1</v>
      </c>
      <c r="AT250" s="20" t="str">
        <f aca="false">HYPERLINK("https://www.google.iq/maps/search/+32.8736,44.3855/@32.8736,44.3855,14z?hl=en","Maplink2")</f>
        <v>Maplink2</v>
      </c>
      <c r="AU250" s="20" t="str">
        <f aca="false">HYPERLINK("http://www.bing.com/maps/?lvl=14&amp;sty=h&amp;cp=32.8736~44.3855&amp;sp=point.32.8736_44.3855","Maplink3")</f>
        <v>Maplink3</v>
      </c>
    </row>
    <row r="251" customFormat="false" ht="15" hidden="false" customHeight="true" outlineLevel="0" collapsed="false">
      <c r="A251" s="15" t="n">
        <v>25613</v>
      </c>
      <c r="B251" s="16" t="s">
        <v>16</v>
      </c>
      <c r="C251" s="16" t="s">
        <v>494</v>
      </c>
      <c r="D251" s="16" t="s">
        <v>526</v>
      </c>
      <c r="E251" s="17" t="s">
        <v>527</v>
      </c>
      <c r="F251" s="16" t="n">
        <v>32.88250588</v>
      </c>
      <c r="G251" s="16" t="n">
        <v>44.38313912</v>
      </c>
      <c r="H251" s="18" t="n">
        <v>27</v>
      </c>
      <c r="I251" s="18" t="n">
        <v>162</v>
      </c>
      <c r="J251" s="19"/>
      <c r="K251" s="19" t="n">
        <v>22</v>
      </c>
      <c r="L251" s="19" t="n">
        <v>2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 t="n">
        <v>3</v>
      </c>
      <c r="Y251" s="19"/>
      <c r="Z251" s="19"/>
      <c r="AA251" s="19"/>
      <c r="AB251" s="19"/>
      <c r="AC251" s="19"/>
      <c r="AD251" s="19"/>
      <c r="AE251" s="19"/>
      <c r="AF251" s="19"/>
      <c r="AG251" s="19"/>
      <c r="AH251" s="19" t="n">
        <v>27</v>
      </c>
      <c r="AI251" s="19"/>
      <c r="AJ251" s="19"/>
      <c r="AK251" s="19"/>
      <c r="AL251" s="19"/>
      <c r="AM251" s="19" t="n">
        <v>27</v>
      </c>
      <c r="AN251" s="19"/>
      <c r="AO251" s="19"/>
      <c r="AP251" s="19"/>
      <c r="AQ251" s="19"/>
      <c r="AR251" s="19"/>
      <c r="AS251" s="20" t="str">
        <f aca="false">HYPERLINK("http://www.openstreetmap.org/?mlat=32.8825&amp;mlon=44.3831&amp;zoom=12#map=12/32.8825/44.3831","Maplink1")</f>
        <v>Maplink1</v>
      </c>
      <c r="AT251" s="20" t="str">
        <f aca="false">HYPERLINK("https://www.google.iq/maps/search/+32.8825,44.3831/@32.8825,44.3831,14z?hl=en","Maplink2")</f>
        <v>Maplink2</v>
      </c>
      <c r="AU251" s="20" t="str">
        <f aca="false">HYPERLINK("http://www.bing.com/maps/?lvl=14&amp;sty=h&amp;cp=32.8825~44.3831&amp;sp=point.32.8825_44.3831","Maplink3")</f>
        <v>Maplink3</v>
      </c>
    </row>
    <row r="252" customFormat="false" ht="15" hidden="false" customHeight="true" outlineLevel="0" collapsed="false">
      <c r="A252" s="15" t="n">
        <v>25768</v>
      </c>
      <c r="B252" s="16" t="s">
        <v>16</v>
      </c>
      <c r="C252" s="16" t="s">
        <v>494</v>
      </c>
      <c r="D252" s="16" t="s">
        <v>528</v>
      </c>
      <c r="E252" s="17" t="s">
        <v>529</v>
      </c>
      <c r="F252" s="16" t="n">
        <v>32.88287154</v>
      </c>
      <c r="G252" s="16" t="n">
        <v>44.34806697</v>
      </c>
      <c r="H252" s="18" t="n">
        <v>64</v>
      </c>
      <c r="I252" s="18" t="n">
        <v>384</v>
      </c>
      <c r="J252" s="19" t="n">
        <v>5</v>
      </c>
      <c r="K252" s="19" t="n">
        <v>59</v>
      </c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 t="n">
        <v>64</v>
      </c>
      <c r="AI252" s="19"/>
      <c r="AJ252" s="19"/>
      <c r="AK252" s="19"/>
      <c r="AL252" s="19"/>
      <c r="AM252" s="19" t="n">
        <v>59</v>
      </c>
      <c r="AN252" s="19"/>
      <c r="AO252" s="19"/>
      <c r="AP252" s="19" t="n">
        <v>5</v>
      </c>
      <c r="AQ252" s="19"/>
      <c r="AR252" s="19"/>
      <c r="AS252" s="20" t="str">
        <f aca="false">HYPERLINK("http://www.openstreetmap.org/?mlat=32.8829&amp;mlon=44.3481&amp;zoom=12#map=12/32.8829/44.3481","Maplink1")</f>
        <v>Maplink1</v>
      </c>
      <c r="AT252" s="20" t="str">
        <f aca="false">HYPERLINK("https://www.google.iq/maps/search/+32.8829,44.3481/@32.8829,44.3481,14z?hl=en","Maplink2")</f>
        <v>Maplink2</v>
      </c>
      <c r="AU252" s="20" t="str">
        <f aca="false">HYPERLINK("http://www.bing.com/maps/?lvl=14&amp;sty=h&amp;cp=32.8829~44.3481&amp;sp=point.32.8829_44.3481","Maplink3")</f>
        <v>Maplink3</v>
      </c>
    </row>
    <row r="253" customFormat="false" ht="15" hidden="false" customHeight="true" outlineLevel="0" collapsed="false">
      <c r="A253" s="15" t="n">
        <v>24652</v>
      </c>
      <c r="B253" s="16" t="s">
        <v>16</v>
      </c>
      <c r="C253" s="16" t="s">
        <v>494</v>
      </c>
      <c r="D253" s="16" t="s">
        <v>530</v>
      </c>
      <c r="E253" s="17" t="s">
        <v>531</v>
      </c>
      <c r="F253" s="16" t="n">
        <v>32.9272</v>
      </c>
      <c r="G253" s="16" t="n">
        <v>44.3502</v>
      </c>
      <c r="H253" s="18" t="n">
        <v>37</v>
      </c>
      <c r="I253" s="18" t="n">
        <v>222</v>
      </c>
      <c r="J253" s="19"/>
      <c r="K253" s="19" t="n">
        <v>37</v>
      </c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 t="n">
        <v>37</v>
      </c>
      <c r="AI253" s="19"/>
      <c r="AJ253" s="19"/>
      <c r="AK253" s="19"/>
      <c r="AL253" s="19"/>
      <c r="AM253" s="19" t="n">
        <v>37</v>
      </c>
      <c r="AN253" s="19"/>
      <c r="AO253" s="19"/>
      <c r="AP253" s="19"/>
      <c r="AQ253" s="19"/>
      <c r="AR253" s="19"/>
      <c r="AS253" s="20" t="str">
        <f aca="false">HYPERLINK("http://www.openstreetmap.org/?mlat=32.9272&amp;mlon=44.3502&amp;zoom=12#map=12/32.9272/44.3502","Maplink1")</f>
        <v>Maplink1</v>
      </c>
      <c r="AT253" s="20" t="str">
        <f aca="false">HYPERLINK("https://www.google.iq/maps/search/+32.9272,44.3502/@32.9272,44.3502,14z?hl=en","Maplink2")</f>
        <v>Maplink2</v>
      </c>
      <c r="AU253" s="20" t="str">
        <f aca="false">HYPERLINK("http://www.bing.com/maps/?lvl=14&amp;sty=h&amp;cp=32.9272~44.3502&amp;sp=point.32.9272_44.3502","Maplink3")</f>
        <v>Maplink3</v>
      </c>
    </row>
    <row r="254" customFormat="false" ht="15" hidden="false" customHeight="true" outlineLevel="0" collapsed="false">
      <c r="A254" s="15" t="n">
        <v>24166</v>
      </c>
      <c r="B254" s="16" t="s">
        <v>16</v>
      </c>
      <c r="C254" s="16" t="s">
        <v>494</v>
      </c>
      <c r="D254" s="16" t="s">
        <v>532</v>
      </c>
      <c r="E254" s="17" t="s">
        <v>533</v>
      </c>
      <c r="F254" s="16" t="n">
        <v>32.77755653</v>
      </c>
      <c r="G254" s="16" t="n">
        <v>44.28357284</v>
      </c>
      <c r="H254" s="18" t="n">
        <v>10</v>
      </c>
      <c r="I254" s="18" t="n">
        <v>60</v>
      </c>
      <c r="J254" s="19" t="n">
        <v>1</v>
      </c>
      <c r="K254" s="19" t="n">
        <v>6</v>
      </c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 t="n">
        <v>3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 t="n">
        <v>10</v>
      </c>
      <c r="AI254" s="19"/>
      <c r="AJ254" s="19"/>
      <c r="AK254" s="19"/>
      <c r="AL254" s="19"/>
      <c r="AM254" s="19" t="n">
        <v>3</v>
      </c>
      <c r="AN254" s="19" t="n">
        <v>6</v>
      </c>
      <c r="AO254" s="19" t="n">
        <v>1</v>
      </c>
      <c r="AP254" s="19"/>
      <c r="AQ254" s="19"/>
      <c r="AR254" s="19"/>
      <c r="AS254" s="20" t="str">
        <f aca="false">HYPERLINK("http://www.openstreetmap.org/?mlat=32.7776&amp;mlon=44.2836&amp;zoom=12#map=12/32.7776/44.2836","Maplink1")</f>
        <v>Maplink1</v>
      </c>
      <c r="AT254" s="20" t="str">
        <f aca="false">HYPERLINK("https://www.google.iq/maps/search/+32.7776,44.2836/@32.7776,44.2836,14z?hl=en","Maplink2")</f>
        <v>Maplink2</v>
      </c>
      <c r="AU254" s="20" t="str">
        <f aca="false">HYPERLINK("http://www.bing.com/maps/?lvl=14&amp;sty=h&amp;cp=32.7776~44.2836&amp;sp=point.32.7776_44.2836","Maplink3")</f>
        <v>Maplink3</v>
      </c>
    </row>
    <row r="255" customFormat="false" ht="15" hidden="false" customHeight="true" outlineLevel="0" collapsed="false">
      <c r="A255" s="15" t="n">
        <v>24569</v>
      </c>
      <c r="B255" s="16" t="s">
        <v>16</v>
      </c>
      <c r="C255" s="16" t="s">
        <v>494</v>
      </c>
      <c r="D255" s="16" t="s">
        <v>534</v>
      </c>
      <c r="E255" s="17" t="s">
        <v>535</v>
      </c>
      <c r="F255" s="16" t="n">
        <v>32.78329067</v>
      </c>
      <c r="G255" s="16" t="n">
        <v>44.29699536</v>
      </c>
      <c r="H255" s="18" t="n">
        <v>11</v>
      </c>
      <c r="I255" s="18" t="n">
        <v>66</v>
      </c>
      <c r="J255" s="19"/>
      <c r="K255" s="19" t="n">
        <v>6</v>
      </c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 t="n">
        <v>1</v>
      </c>
      <c r="W255" s="19"/>
      <c r="X255" s="19" t="n">
        <v>4</v>
      </c>
      <c r="Y255" s="19"/>
      <c r="Z255" s="19"/>
      <c r="AA255" s="19"/>
      <c r="AB255" s="19"/>
      <c r="AC255" s="19"/>
      <c r="AD255" s="19"/>
      <c r="AE255" s="19"/>
      <c r="AF255" s="19"/>
      <c r="AG255" s="19"/>
      <c r="AH255" s="19" t="n">
        <v>11</v>
      </c>
      <c r="AI255" s="19"/>
      <c r="AJ255" s="19"/>
      <c r="AK255" s="19"/>
      <c r="AL255" s="19"/>
      <c r="AM255" s="19" t="n">
        <v>1</v>
      </c>
      <c r="AN255" s="19" t="n">
        <v>10</v>
      </c>
      <c r="AO255" s="19"/>
      <c r="AP255" s="19"/>
      <c r="AQ255" s="19"/>
      <c r="AR255" s="19"/>
      <c r="AS255" s="20" t="str">
        <f aca="false">HYPERLINK("http://www.openstreetmap.org/?mlat=32.7833&amp;mlon=44.297&amp;zoom=12#map=12/32.7833/44.297","Maplink1")</f>
        <v>Maplink1</v>
      </c>
      <c r="AT255" s="20" t="str">
        <f aca="false">HYPERLINK("https://www.google.iq/maps/search/+32.7833,44.297/@32.7833,44.297,14z?hl=en","Maplink2")</f>
        <v>Maplink2</v>
      </c>
      <c r="AU255" s="20" t="str">
        <f aca="false">HYPERLINK("http://www.bing.com/maps/?lvl=14&amp;sty=h&amp;cp=32.7833~44.297&amp;sp=point.32.7833_44.297","Maplink3")</f>
        <v>Maplink3</v>
      </c>
    </row>
    <row r="256" customFormat="false" ht="15" hidden="false" customHeight="true" outlineLevel="0" collapsed="false">
      <c r="A256" s="15" t="n">
        <v>7220</v>
      </c>
      <c r="B256" s="16" t="s">
        <v>16</v>
      </c>
      <c r="C256" s="16" t="s">
        <v>494</v>
      </c>
      <c r="D256" s="16" t="s">
        <v>536</v>
      </c>
      <c r="E256" s="17" t="s">
        <v>537</v>
      </c>
      <c r="F256" s="16" t="n">
        <v>32.782579</v>
      </c>
      <c r="G256" s="16" t="n">
        <v>44.282657</v>
      </c>
      <c r="H256" s="18" t="n">
        <v>39</v>
      </c>
      <c r="I256" s="18" t="n">
        <v>234</v>
      </c>
      <c r="J256" s="19" t="n">
        <v>1</v>
      </c>
      <c r="K256" s="19" t="n">
        <v>38</v>
      </c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 t="n">
        <v>39</v>
      </c>
      <c r="AI256" s="19"/>
      <c r="AJ256" s="19"/>
      <c r="AK256" s="19"/>
      <c r="AL256" s="19"/>
      <c r="AM256" s="19" t="n">
        <v>38</v>
      </c>
      <c r="AN256" s="19"/>
      <c r="AO256" s="19" t="n">
        <v>1</v>
      </c>
      <c r="AP256" s="19"/>
      <c r="AQ256" s="19"/>
      <c r="AR256" s="19"/>
      <c r="AS256" s="20" t="str">
        <f aca="false">HYPERLINK("http://www.openstreetmap.org/?mlat=32.7826&amp;mlon=44.2827&amp;zoom=12#map=12/32.7826/44.2827","Maplink1")</f>
        <v>Maplink1</v>
      </c>
      <c r="AT256" s="20" t="str">
        <f aca="false">HYPERLINK("https://www.google.iq/maps/search/+32.7826,44.2827/@32.7826,44.2827,14z?hl=en","Maplink2")</f>
        <v>Maplink2</v>
      </c>
      <c r="AU256" s="20" t="str">
        <f aca="false">HYPERLINK("http://www.bing.com/maps/?lvl=14&amp;sty=h&amp;cp=32.7826~44.2827&amp;sp=point.32.7826_44.2827","Maplink3")</f>
        <v>Maplink3</v>
      </c>
    </row>
    <row r="257" customFormat="false" ht="15" hidden="false" customHeight="true" outlineLevel="0" collapsed="false">
      <c r="A257" s="15" t="n">
        <v>24430</v>
      </c>
      <c r="B257" s="16" t="s">
        <v>16</v>
      </c>
      <c r="C257" s="16" t="s">
        <v>494</v>
      </c>
      <c r="D257" s="16" t="s">
        <v>538</v>
      </c>
      <c r="E257" s="17" t="s">
        <v>539</v>
      </c>
      <c r="F257" s="16" t="n">
        <v>32.68004143</v>
      </c>
      <c r="G257" s="16" t="n">
        <v>44.25278929</v>
      </c>
      <c r="H257" s="18" t="n">
        <v>3</v>
      </c>
      <c r="I257" s="18" t="n">
        <v>18</v>
      </c>
      <c r="J257" s="19"/>
      <c r="K257" s="19"/>
      <c r="L257" s="19" t="n">
        <v>3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 t="n">
        <v>3</v>
      </c>
      <c r="AD257" s="19"/>
      <c r="AE257" s="19"/>
      <c r="AF257" s="19"/>
      <c r="AG257" s="19"/>
      <c r="AH257" s="19"/>
      <c r="AI257" s="19"/>
      <c r="AJ257" s="19"/>
      <c r="AK257" s="19"/>
      <c r="AL257" s="19"/>
      <c r="AM257" s="19" t="n">
        <v>3</v>
      </c>
      <c r="AN257" s="19"/>
      <c r="AO257" s="19"/>
      <c r="AP257" s="19"/>
      <c r="AQ257" s="19"/>
      <c r="AR257" s="19"/>
      <c r="AS257" s="20" t="str">
        <f aca="false">HYPERLINK("http://www.openstreetmap.org/?mlat=32.68&amp;mlon=44.2528&amp;zoom=12#map=12/32.68/44.2528","Maplink1")</f>
        <v>Maplink1</v>
      </c>
      <c r="AT257" s="20" t="str">
        <f aca="false">HYPERLINK("https://www.google.iq/maps/search/+32.68,44.2528/@32.68,44.2528,14z?hl=en","Maplink2")</f>
        <v>Maplink2</v>
      </c>
      <c r="AU257" s="20" t="str">
        <f aca="false">HYPERLINK("http://www.bing.com/maps/?lvl=14&amp;sty=h&amp;cp=32.68~44.2528&amp;sp=point.32.68_44.2528","Maplink3")</f>
        <v>Maplink3</v>
      </c>
    </row>
    <row r="258" customFormat="false" ht="15" hidden="false" customHeight="true" outlineLevel="0" collapsed="false">
      <c r="A258" s="15" t="n">
        <v>6376</v>
      </c>
      <c r="B258" s="16" t="s">
        <v>16</v>
      </c>
      <c r="C258" s="16" t="s">
        <v>494</v>
      </c>
      <c r="D258" s="16" t="s">
        <v>540</v>
      </c>
      <c r="E258" s="17" t="s">
        <v>541</v>
      </c>
      <c r="F258" s="16" t="n">
        <v>32.70365966</v>
      </c>
      <c r="G258" s="16" t="n">
        <v>44.32335352</v>
      </c>
      <c r="H258" s="18" t="n">
        <v>17</v>
      </c>
      <c r="I258" s="18" t="n">
        <v>102</v>
      </c>
      <c r="J258" s="19"/>
      <c r="K258" s="19" t="n">
        <v>7</v>
      </c>
      <c r="L258" s="19" t="n">
        <v>10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 t="n">
        <v>17</v>
      </c>
      <c r="AD258" s="19"/>
      <c r="AE258" s="19"/>
      <c r="AF258" s="19"/>
      <c r="AG258" s="19"/>
      <c r="AH258" s="19"/>
      <c r="AI258" s="19"/>
      <c r="AJ258" s="19"/>
      <c r="AK258" s="19"/>
      <c r="AL258" s="19"/>
      <c r="AM258" s="19" t="n">
        <v>7</v>
      </c>
      <c r="AN258" s="19" t="n">
        <v>10</v>
      </c>
      <c r="AO258" s="19"/>
      <c r="AP258" s="19"/>
      <c r="AQ258" s="19"/>
      <c r="AR258" s="19"/>
      <c r="AS258" s="20" t="str">
        <f aca="false">HYPERLINK("http://www.openstreetmap.org/?mlat=32.7037&amp;mlon=44.3234&amp;zoom=12#map=12/32.7037/44.3234","Maplink1")</f>
        <v>Maplink1</v>
      </c>
      <c r="AT258" s="20" t="str">
        <f aca="false">HYPERLINK("https://www.google.iq/maps/search/+32.7037,44.3234/@32.7037,44.3234,14z?hl=en","Maplink2")</f>
        <v>Maplink2</v>
      </c>
      <c r="AU258" s="20" t="str">
        <f aca="false">HYPERLINK("http://www.bing.com/maps/?lvl=14&amp;sty=h&amp;cp=32.7037~44.3234&amp;sp=point.32.7037_44.3234","Maplink3")</f>
        <v>Maplink3</v>
      </c>
    </row>
    <row r="259" customFormat="false" ht="15" hidden="false" customHeight="true" outlineLevel="0" collapsed="false">
      <c r="A259" s="15" t="n">
        <v>26097</v>
      </c>
      <c r="B259" s="16" t="s">
        <v>16</v>
      </c>
      <c r="C259" s="16" t="s">
        <v>494</v>
      </c>
      <c r="D259" s="16" t="s">
        <v>542</v>
      </c>
      <c r="E259" s="17" t="s">
        <v>543</v>
      </c>
      <c r="F259" s="16" t="n">
        <v>32.78403935</v>
      </c>
      <c r="G259" s="16" t="n">
        <v>44.30300611</v>
      </c>
      <c r="H259" s="18" t="n">
        <v>4</v>
      </c>
      <c r="I259" s="18" t="n">
        <v>24</v>
      </c>
      <c r="J259" s="19"/>
      <c r="K259" s="19" t="n">
        <v>1</v>
      </c>
      <c r="L259" s="19" t="n">
        <v>1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 t="n">
        <v>2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 t="n">
        <v>4</v>
      </c>
      <c r="AI259" s="19"/>
      <c r="AJ259" s="19"/>
      <c r="AK259" s="19"/>
      <c r="AL259" s="19"/>
      <c r="AM259" s="19" t="n">
        <v>3</v>
      </c>
      <c r="AN259" s="19" t="n">
        <v>1</v>
      </c>
      <c r="AO259" s="19"/>
      <c r="AP259" s="19"/>
      <c r="AQ259" s="19"/>
      <c r="AR259" s="19"/>
      <c r="AS259" s="20" t="str">
        <f aca="false">HYPERLINK("http://www.openstreetmap.org/?mlat=32.784&amp;mlon=44.303&amp;zoom=12#map=12/32.784/44.303","Maplink1")</f>
        <v>Maplink1</v>
      </c>
      <c r="AT259" s="20" t="str">
        <f aca="false">HYPERLINK("https://www.google.iq/maps/search/+32.784,44.303/@32.784,44.303,14z?hl=en","Maplink2")</f>
        <v>Maplink2</v>
      </c>
      <c r="AU259" s="20" t="str">
        <f aca="false">HYPERLINK("http://www.bing.com/maps/?lvl=14&amp;sty=h&amp;cp=32.784~44.303&amp;sp=point.32.784_44.303","Maplink3")</f>
        <v>Maplink3</v>
      </c>
    </row>
    <row r="260" customFormat="false" ht="15" hidden="false" customHeight="true" outlineLevel="0" collapsed="false">
      <c r="A260" s="15" t="n">
        <v>24649</v>
      </c>
      <c r="B260" s="16" t="s">
        <v>16</v>
      </c>
      <c r="C260" s="16" t="s">
        <v>494</v>
      </c>
      <c r="D260" s="16" t="s">
        <v>544</v>
      </c>
      <c r="E260" s="17" t="s">
        <v>545</v>
      </c>
      <c r="F260" s="16" t="n">
        <v>32.88660656</v>
      </c>
      <c r="G260" s="16" t="n">
        <v>44.38234585</v>
      </c>
      <c r="H260" s="18" t="n">
        <v>108</v>
      </c>
      <c r="I260" s="18" t="n">
        <v>648</v>
      </c>
      <c r="J260" s="19"/>
      <c r="K260" s="19" t="n">
        <v>108</v>
      </c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 t="n">
        <v>108</v>
      </c>
      <c r="AI260" s="19"/>
      <c r="AJ260" s="19"/>
      <c r="AK260" s="19"/>
      <c r="AL260" s="19"/>
      <c r="AM260" s="19" t="n">
        <v>108</v>
      </c>
      <c r="AN260" s="19"/>
      <c r="AO260" s="19"/>
      <c r="AP260" s="19"/>
      <c r="AQ260" s="19"/>
      <c r="AR260" s="19"/>
      <c r="AS260" s="20" t="str">
        <f aca="false">HYPERLINK("http://www.openstreetmap.org/?mlat=32.8866&amp;mlon=44.3823&amp;zoom=12#map=12/32.8866/44.3823","Maplink1")</f>
        <v>Maplink1</v>
      </c>
      <c r="AT260" s="20" t="str">
        <f aca="false">HYPERLINK("https://www.google.iq/maps/search/+32.8866,44.3823/@32.8866,44.3823,14z?hl=en","Maplink2")</f>
        <v>Maplink2</v>
      </c>
      <c r="AU260" s="20" t="str">
        <f aca="false">HYPERLINK("http://www.bing.com/maps/?lvl=14&amp;sty=h&amp;cp=32.8866~44.3823&amp;sp=point.32.8866_44.3823","Maplink3")</f>
        <v>Maplink3</v>
      </c>
    </row>
    <row r="261" customFormat="false" ht="15" hidden="false" customHeight="true" outlineLevel="0" collapsed="false">
      <c r="A261" s="15" t="n">
        <v>24177</v>
      </c>
      <c r="B261" s="16" t="s">
        <v>16</v>
      </c>
      <c r="C261" s="16" t="s">
        <v>494</v>
      </c>
      <c r="D261" s="16" t="s">
        <v>546</v>
      </c>
      <c r="E261" s="17" t="s">
        <v>547</v>
      </c>
      <c r="F261" s="16" t="n">
        <v>32.77921</v>
      </c>
      <c r="G261" s="16" t="n">
        <v>44.294</v>
      </c>
      <c r="H261" s="18" t="n">
        <v>25</v>
      </c>
      <c r="I261" s="18" t="n">
        <v>150</v>
      </c>
      <c r="J261" s="19"/>
      <c r="K261" s="19" t="n">
        <v>25</v>
      </c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 t="n">
        <v>25</v>
      </c>
      <c r="AI261" s="19"/>
      <c r="AJ261" s="19"/>
      <c r="AK261" s="19"/>
      <c r="AL261" s="19"/>
      <c r="AM261" s="19" t="n">
        <v>25</v>
      </c>
      <c r="AN261" s="19"/>
      <c r="AO261" s="19"/>
      <c r="AP261" s="19"/>
      <c r="AQ261" s="19"/>
      <c r="AR261" s="19"/>
      <c r="AS261" s="20" t="str">
        <f aca="false">HYPERLINK("http://www.openstreetmap.org/?mlat=32.7792&amp;mlon=44.294&amp;zoom=12#map=12/32.7792/44.294","Maplink1")</f>
        <v>Maplink1</v>
      </c>
      <c r="AT261" s="20" t="str">
        <f aca="false">HYPERLINK("https://www.google.iq/maps/search/+32.7792,44.294/@32.7792,44.294,14z?hl=en","Maplink2")</f>
        <v>Maplink2</v>
      </c>
      <c r="AU261" s="20" t="str">
        <f aca="false">HYPERLINK("http://www.bing.com/maps/?lvl=14&amp;sty=h&amp;cp=32.7792~44.294&amp;sp=point.32.7792_44.294","Maplink3")</f>
        <v>Maplink3</v>
      </c>
    </row>
    <row r="262" customFormat="false" ht="15" hidden="false" customHeight="true" outlineLevel="0" collapsed="false">
      <c r="A262" s="15" t="n">
        <v>24707</v>
      </c>
      <c r="B262" s="16" t="s">
        <v>16</v>
      </c>
      <c r="C262" s="16" t="s">
        <v>494</v>
      </c>
      <c r="D262" s="16" t="s">
        <v>548</v>
      </c>
      <c r="E262" s="17" t="s">
        <v>549</v>
      </c>
      <c r="F262" s="16" t="n">
        <v>32.78827661</v>
      </c>
      <c r="G262" s="16" t="n">
        <v>44.2774626</v>
      </c>
      <c r="H262" s="18" t="n">
        <v>130</v>
      </c>
      <c r="I262" s="18" t="n">
        <v>780</v>
      </c>
      <c r="J262" s="19"/>
      <c r="K262" s="19" t="n">
        <v>130</v>
      </c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 t="n">
        <v>130</v>
      </c>
      <c r="AI262" s="19"/>
      <c r="AJ262" s="19"/>
      <c r="AK262" s="19"/>
      <c r="AL262" s="19"/>
      <c r="AM262" s="19" t="n">
        <v>130</v>
      </c>
      <c r="AN262" s="19"/>
      <c r="AO262" s="19"/>
      <c r="AP262" s="19"/>
      <c r="AQ262" s="19"/>
      <c r="AR262" s="19"/>
      <c r="AS262" s="20" t="str">
        <f aca="false">HYPERLINK("http://www.openstreetmap.org/?mlat=32.7883&amp;mlon=44.2775&amp;zoom=12#map=12/32.7883/44.2775","Maplink1")</f>
        <v>Maplink1</v>
      </c>
      <c r="AT262" s="20" t="str">
        <f aca="false">HYPERLINK("https://www.google.iq/maps/search/+32.7883,44.2775/@32.7883,44.2775,14z?hl=en","Maplink2")</f>
        <v>Maplink2</v>
      </c>
      <c r="AU262" s="20" t="str">
        <f aca="false">HYPERLINK("http://www.bing.com/maps/?lvl=14&amp;sty=h&amp;cp=32.7883~44.2775&amp;sp=point.32.7883_44.2775","Maplink3")</f>
        <v>Maplink3</v>
      </c>
    </row>
    <row r="263" customFormat="false" ht="15" hidden="false" customHeight="true" outlineLevel="0" collapsed="false">
      <c r="A263" s="15" t="n">
        <v>24959</v>
      </c>
      <c r="B263" s="16" t="s">
        <v>16</v>
      </c>
      <c r="C263" s="16" t="s">
        <v>494</v>
      </c>
      <c r="D263" s="16" t="s">
        <v>550</v>
      </c>
      <c r="E263" s="17" t="s">
        <v>551</v>
      </c>
      <c r="F263" s="16" t="n">
        <v>32.78615221</v>
      </c>
      <c r="G263" s="16" t="n">
        <v>44.27484141</v>
      </c>
      <c r="H263" s="18" t="n">
        <v>8</v>
      </c>
      <c r="I263" s="18" t="n">
        <v>48</v>
      </c>
      <c r="J263" s="19"/>
      <c r="K263" s="19" t="n">
        <v>8</v>
      </c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 t="n">
        <v>8</v>
      </c>
      <c r="AI263" s="19"/>
      <c r="AJ263" s="19"/>
      <c r="AK263" s="19"/>
      <c r="AL263" s="19"/>
      <c r="AM263" s="19"/>
      <c r="AN263" s="19" t="n">
        <v>8</v>
      </c>
      <c r="AO263" s="19"/>
      <c r="AP263" s="19"/>
      <c r="AQ263" s="19"/>
      <c r="AR263" s="19"/>
      <c r="AS263" s="20" t="str">
        <f aca="false">HYPERLINK("http://www.openstreetmap.org/?mlat=32.7862&amp;mlon=44.2748&amp;zoom=12#map=12/32.7862/44.2748","Maplink1")</f>
        <v>Maplink1</v>
      </c>
      <c r="AT263" s="20" t="str">
        <f aca="false">HYPERLINK("https://www.google.iq/maps/search/+32.7862,44.2748/@32.7862,44.2748,14z?hl=en","Maplink2")</f>
        <v>Maplink2</v>
      </c>
      <c r="AU263" s="20" t="str">
        <f aca="false">HYPERLINK("http://www.bing.com/maps/?lvl=14&amp;sty=h&amp;cp=32.7862~44.2748&amp;sp=point.32.7862_44.2748","Maplink3")</f>
        <v>Maplink3</v>
      </c>
    </row>
    <row r="264" customFormat="false" ht="15" hidden="false" customHeight="true" outlineLevel="0" collapsed="false">
      <c r="A264" s="15" t="n">
        <v>26125</v>
      </c>
      <c r="B264" s="16" t="s">
        <v>16</v>
      </c>
      <c r="C264" s="16" t="s">
        <v>494</v>
      </c>
      <c r="D264" s="16" t="s">
        <v>552</v>
      </c>
      <c r="E264" s="17" t="s">
        <v>553</v>
      </c>
      <c r="F264" s="16" t="n">
        <v>32.7881544</v>
      </c>
      <c r="G264" s="16" t="n">
        <v>44.2696712</v>
      </c>
      <c r="H264" s="18" t="n">
        <v>82</v>
      </c>
      <c r="I264" s="18" t="n">
        <v>492</v>
      </c>
      <c r="J264" s="19"/>
      <c r="K264" s="19" t="n">
        <v>82</v>
      </c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 t="n">
        <v>82</v>
      </c>
      <c r="AI264" s="19"/>
      <c r="AJ264" s="19"/>
      <c r="AK264" s="19"/>
      <c r="AL264" s="19"/>
      <c r="AM264" s="19" t="n">
        <v>82</v>
      </c>
      <c r="AN264" s="19"/>
      <c r="AO264" s="19"/>
      <c r="AP264" s="19"/>
      <c r="AQ264" s="19"/>
      <c r="AR264" s="19"/>
      <c r="AS264" s="20" t="str">
        <f aca="false">HYPERLINK("http://www.openstreetmap.org/?mlat=32.7882&amp;mlon=44.2697&amp;zoom=12#map=12/32.7882/44.2697","Maplink1")</f>
        <v>Maplink1</v>
      </c>
      <c r="AT264" s="20" t="str">
        <f aca="false">HYPERLINK("https://www.google.iq/maps/search/+32.7882,44.2697/@32.7882,44.2697,14z?hl=en","Maplink2")</f>
        <v>Maplink2</v>
      </c>
      <c r="AU264" s="20" t="str">
        <f aca="false">HYPERLINK("http://www.bing.com/maps/?lvl=14&amp;sty=h&amp;cp=32.7882~44.2697&amp;sp=point.32.7882_44.2697","Maplink3")</f>
        <v>Maplink3</v>
      </c>
    </row>
    <row r="265" customFormat="false" ht="15" hidden="false" customHeight="true" outlineLevel="0" collapsed="false">
      <c r="A265" s="15" t="n">
        <v>26119</v>
      </c>
      <c r="B265" s="16" t="s">
        <v>16</v>
      </c>
      <c r="C265" s="16" t="s">
        <v>494</v>
      </c>
      <c r="D265" s="16" t="s">
        <v>554</v>
      </c>
      <c r="E265" s="17" t="s">
        <v>555</v>
      </c>
      <c r="F265" s="16" t="n">
        <v>32.78166542</v>
      </c>
      <c r="G265" s="16" t="n">
        <v>44.2691444</v>
      </c>
      <c r="H265" s="18" t="n">
        <v>39</v>
      </c>
      <c r="I265" s="18" t="n">
        <v>234</v>
      </c>
      <c r="J265" s="19"/>
      <c r="K265" s="19" t="n">
        <v>39</v>
      </c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 t="n">
        <v>39</v>
      </c>
      <c r="AI265" s="19"/>
      <c r="AJ265" s="19"/>
      <c r="AK265" s="19"/>
      <c r="AL265" s="19"/>
      <c r="AM265" s="19" t="n">
        <v>39</v>
      </c>
      <c r="AN265" s="19"/>
      <c r="AO265" s="19"/>
      <c r="AP265" s="19"/>
      <c r="AQ265" s="19"/>
      <c r="AR265" s="19"/>
      <c r="AS265" s="20" t="str">
        <f aca="false">HYPERLINK("http://www.openstreetmap.org/?mlat=32.7817&amp;mlon=44.2691&amp;zoom=12#map=12/32.7817/44.2691","Maplink1")</f>
        <v>Maplink1</v>
      </c>
      <c r="AT265" s="20" t="str">
        <f aca="false">HYPERLINK("https://www.google.iq/maps/search/+32.7817,44.2691/@32.7817,44.2691,14z?hl=en","Maplink2")</f>
        <v>Maplink2</v>
      </c>
      <c r="AU265" s="20" t="str">
        <f aca="false">HYPERLINK("http://www.bing.com/maps/?lvl=14&amp;sty=h&amp;cp=32.7817~44.2691&amp;sp=point.32.7817_44.2691","Maplink3")</f>
        <v>Maplink3</v>
      </c>
    </row>
    <row r="266" customFormat="false" ht="15" hidden="false" customHeight="true" outlineLevel="0" collapsed="false">
      <c r="A266" s="15" t="n">
        <v>24169</v>
      </c>
      <c r="B266" s="16" t="s">
        <v>16</v>
      </c>
      <c r="C266" s="16" t="s">
        <v>494</v>
      </c>
      <c r="D266" s="16" t="s">
        <v>556</v>
      </c>
      <c r="E266" s="17" t="s">
        <v>557</v>
      </c>
      <c r="F266" s="16" t="n">
        <v>32.77957942</v>
      </c>
      <c r="G266" s="16" t="n">
        <v>44.26416672</v>
      </c>
      <c r="H266" s="18" t="n">
        <v>77</v>
      </c>
      <c r="I266" s="18" t="n">
        <v>462</v>
      </c>
      <c r="J266" s="19" t="n">
        <v>1</v>
      </c>
      <c r="K266" s="19" t="n">
        <v>76</v>
      </c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 t="n">
        <v>77</v>
      </c>
      <c r="AI266" s="19"/>
      <c r="AJ266" s="19"/>
      <c r="AK266" s="19"/>
      <c r="AL266" s="19"/>
      <c r="AM266" s="19" t="n">
        <v>76</v>
      </c>
      <c r="AN266" s="19"/>
      <c r="AO266" s="19" t="n">
        <v>1</v>
      </c>
      <c r="AP266" s="19"/>
      <c r="AQ266" s="19"/>
      <c r="AR266" s="19"/>
      <c r="AS266" s="20" t="str">
        <f aca="false">HYPERLINK("http://www.openstreetmap.org/?mlat=32.7796&amp;mlon=44.2642&amp;zoom=12#map=12/32.7796/44.2642","Maplink1")</f>
        <v>Maplink1</v>
      </c>
      <c r="AT266" s="20" t="str">
        <f aca="false">HYPERLINK("https://www.google.iq/maps/search/+32.7796,44.2642/@32.7796,44.2642,14z?hl=en","Maplink2")</f>
        <v>Maplink2</v>
      </c>
      <c r="AU266" s="20" t="str">
        <f aca="false">HYPERLINK("http://www.bing.com/maps/?lvl=14&amp;sty=h&amp;cp=32.7796~44.2642&amp;sp=point.32.7796_44.2642","Maplink3")</f>
        <v>Maplink3</v>
      </c>
    </row>
    <row r="267" customFormat="false" ht="15" hidden="false" customHeight="true" outlineLevel="0" collapsed="false">
      <c r="A267" s="15" t="n">
        <v>29582</v>
      </c>
      <c r="B267" s="16" t="s">
        <v>16</v>
      </c>
      <c r="C267" s="16" t="s">
        <v>494</v>
      </c>
      <c r="D267" s="16" t="s">
        <v>558</v>
      </c>
      <c r="E267" s="17" t="s">
        <v>559</v>
      </c>
      <c r="F267" s="16" t="n">
        <v>32.776</v>
      </c>
      <c r="G267" s="16" t="n">
        <v>44.2957</v>
      </c>
      <c r="H267" s="18" t="n">
        <v>92</v>
      </c>
      <c r="I267" s="18" t="n">
        <v>552</v>
      </c>
      <c r="J267" s="19"/>
      <c r="K267" s="19" t="n">
        <v>92</v>
      </c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 t="n">
        <v>92</v>
      </c>
      <c r="AI267" s="19"/>
      <c r="AJ267" s="19"/>
      <c r="AK267" s="19"/>
      <c r="AL267" s="19"/>
      <c r="AM267" s="19" t="n">
        <v>77</v>
      </c>
      <c r="AN267" s="19" t="n">
        <v>15</v>
      </c>
      <c r="AO267" s="19"/>
      <c r="AP267" s="19"/>
      <c r="AQ267" s="19"/>
      <c r="AR267" s="19"/>
      <c r="AS267" s="20" t="str">
        <f aca="false">HYPERLINK("http://www.openstreetmap.org/?mlat=32.776&amp;mlon=44.2957&amp;zoom=12#map=12/32.776/44.2957","Maplink1")</f>
        <v>Maplink1</v>
      </c>
      <c r="AT267" s="20" t="str">
        <f aca="false">HYPERLINK("https://www.google.iq/maps/search/+32.776,44.2957/@32.776,44.2957,14z?hl=en","Maplink2")</f>
        <v>Maplink2</v>
      </c>
      <c r="AU267" s="20" t="str">
        <f aca="false">HYPERLINK("http://www.bing.com/maps/?lvl=14&amp;sty=h&amp;cp=32.776~44.2957&amp;sp=point.32.776_44.2957","Maplink3")</f>
        <v>Maplink3</v>
      </c>
    </row>
    <row r="268" customFormat="false" ht="15" hidden="false" customHeight="true" outlineLevel="0" collapsed="false">
      <c r="A268" s="15" t="n">
        <v>24982</v>
      </c>
      <c r="B268" s="16" t="s">
        <v>16</v>
      </c>
      <c r="C268" s="16" t="s">
        <v>494</v>
      </c>
      <c r="D268" s="16" t="s">
        <v>560</v>
      </c>
      <c r="E268" s="17" t="s">
        <v>561</v>
      </c>
      <c r="F268" s="16" t="n">
        <v>32.78139787</v>
      </c>
      <c r="G268" s="16" t="n">
        <v>44.26462772</v>
      </c>
      <c r="H268" s="18" t="n">
        <v>150</v>
      </c>
      <c r="I268" s="18" t="n">
        <v>900</v>
      </c>
      <c r="J268" s="19"/>
      <c r="K268" s="19" t="n">
        <v>150</v>
      </c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 t="n">
        <v>150</v>
      </c>
      <c r="AI268" s="19"/>
      <c r="AJ268" s="19"/>
      <c r="AK268" s="19"/>
      <c r="AL268" s="19"/>
      <c r="AM268" s="19" t="n">
        <v>70</v>
      </c>
      <c r="AN268" s="19" t="n">
        <v>80</v>
      </c>
      <c r="AO268" s="19"/>
      <c r="AP268" s="19"/>
      <c r="AQ268" s="19"/>
      <c r="AR268" s="19"/>
      <c r="AS268" s="20" t="str">
        <f aca="false">HYPERLINK("http://www.openstreetmap.org/?mlat=32.7814&amp;mlon=44.2646&amp;zoom=12#map=12/32.7814/44.2646","Maplink1")</f>
        <v>Maplink1</v>
      </c>
      <c r="AT268" s="20" t="str">
        <f aca="false">HYPERLINK("https://www.google.iq/maps/search/+32.7814,44.2646/@32.7814,44.2646,14z?hl=en","Maplink2")</f>
        <v>Maplink2</v>
      </c>
      <c r="AU268" s="20" t="str">
        <f aca="false">HYPERLINK("http://www.bing.com/maps/?lvl=14&amp;sty=h&amp;cp=32.7814~44.2646&amp;sp=point.32.7814_44.2646","Maplink3")</f>
        <v>Maplink3</v>
      </c>
    </row>
    <row r="269" customFormat="false" ht="15" hidden="false" customHeight="true" outlineLevel="0" collapsed="false">
      <c r="A269" s="15" t="n">
        <v>24171</v>
      </c>
      <c r="B269" s="16" t="s">
        <v>16</v>
      </c>
      <c r="C269" s="16" t="s">
        <v>494</v>
      </c>
      <c r="D269" s="16" t="s">
        <v>562</v>
      </c>
      <c r="E269" s="17" t="s">
        <v>563</v>
      </c>
      <c r="F269" s="16" t="n">
        <v>32.78451607</v>
      </c>
      <c r="G269" s="16" t="n">
        <v>44.26634048</v>
      </c>
      <c r="H269" s="18" t="n">
        <v>145</v>
      </c>
      <c r="I269" s="18" t="n">
        <v>870</v>
      </c>
      <c r="J269" s="19"/>
      <c r="K269" s="19" t="n">
        <v>145</v>
      </c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 t="n">
        <v>145</v>
      </c>
      <c r="AI269" s="19"/>
      <c r="AJ269" s="19"/>
      <c r="AK269" s="19"/>
      <c r="AL269" s="19"/>
      <c r="AM269" s="19" t="n">
        <v>77</v>
      </c>
      <c r="AN269" s="19" t="n">
        <v>68</v>
      </c>
      <c r="AO269" s="19"/>
      <c r="AP269" s="19"/>
      <c r="AQ269" s="19"/>
      <c r="AR269" s="19"/>
      <c r="AS269" s="20" t="str">
        <f aca="false">HYPERLINK("http://www.openstreetmap.org/?mlat=32.7845&amp;mlon=44.2663&amp;zoom=12#map=12/32.7845/44.2663","Maplink1")</f>
        <v>Maplink1</v>
      </c>
      <c r="AT269" s="20" t="str">
        <f aca="false">HYPERLINK("https://www.google.iq/maps/search/+32.7845,44.2663/@32.7845,44.2663,14z?hl=en","Maplink2")</f>
        <v>Maplink2</v>
      </c>
      <c r="AU269" s="20" t="str">
        <f aca="false">HYPERLINK("http://www.bing.com/maps/?lvl=14&amp;sty=h&amp;cp=32.7845~44.2663&amp;sp=point.32.7845_44.2663","Maplink3")</f>
        <v>Maplink3</v>
      </c>
    </row>
    <row r="270" customFormat="false" ht="15" hidden="false" customHeight="true" outlineLevel="0" collapsed="false">
      <c r="A270" s="15" t="n">
        <v>27308</v>
      </c>
      <c r="B270" s="16" t="s">
        <v>16</v>
      </c>
      <c r="C270" s="16" t="s">
        <v>494</v>
      </c>
      <c r="D270" s="16" t="s">
        <v>564</v>
      </c>
      <c r="E270" s="17" t="s">
        <v>461</v>
      </c>
      <c r="F270" s="16" t="n">
        <v>32.71968988</v>
      </c>
      <c r="G270" s="16" t="n">
        <v>44.27081625</v>
      </c>
      <c r="H270" s="18" t="n">
        <v>8</v>
      </c>
      <c r="I270" s="18" t="n">
        <v>48</v>
      </c>
      <c r="J270" s="19"/>
      <c r="K270" s="19" t="n">
        <v>8</v>
      </c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 t="n">
        <v>8</v>
      </c>
      <c r="AI270" s="19"/>
      <c r="AJ270" s="19"/>
      <c r="AK270" s="19"/>
      <c r="AL270" s="19"/>
      <c r="AM270" s="19" t="n">
        <v>8</v>
      </c>
      <c r="AN270" s="19"/>
      <c r="AO270" s="19"/>
      <c r="AP270" s="19"/>
      <c r="AQ270" s="19"/>
      <c r="AR270" s="19"/>
      <c r="AS270" s="20" t="str">
        <f aca="false">HYPERLINK("http://www.openstreetmap.org/?mlat=32.7197&amp;mlon=44.2708&amp;zoom=12#map=12/32.7197/44.2708","Maplink1")</f>
        <v>Maplink1</v>
      </c>
      <c r="AT270" s="20" t="str">
        <f aca="false">HYPERLINK("https://www.google.iq/maps/search/+32.7197,44.2708/@32.7197,44.2708,14z?hl=en","Maplink2")</f>
        <v>Maplink2</v>
      </c>
      <c r="AU270" s="20" t="str">
        <f aca="false">HYPERLINK("http://www.bing.com/maps/?lvl=14&amp;sty=h&amp;cp=32.7197~44.2708&amp;sp=point.32.7197_44.2708","Maplink3")</f>
        <v>Maplink3</v>
      </c>
    </row>
    <row r="271" customFormat="false" ht="15" hidden="false" customHeight="true" outlineLevel="0" collapsed="false">
      <c r="A271" s="15" t="n">
        <v>7218</v>
      </c>
      <c r="B271" s="16" t="s">
        <v>16</v>
      </c>
      <c r="C271" s="16" t="s">
        <v>494</v>
      </c>
      <c r="D271" s="16" t="s">
        <v>132</v>
      </c>
      <c r="E271" s="17" t="s">
        <v>133</v>
      </c>
      <c r="F271" s="16" t="n">
        <v>32.69673814</v>
      </c>
      <c r="G271" s="16" t="n">
        <v>44.26405448</v>
      </c>
      <c r="H271" s="18" t="n">
        <v>10</v>
      </c>
      <c r="I271" s="18" t="n">
        <v>60</v>
      </c>
      <c r="J271" s="19" t="n">
        <v>5</v>
      </c>
      <c r="K271" s="19" t="n">
        <v>5</v>
      </c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 t="n">
        <v>10</v>
      </c>
      <c r="AI271" s="19"/>
      <c r="AJ271" s="19"/>
      <c r="AK271" s="19"/>
      <c r="AL271" s="19"/>
      <c r="AM271" s="19"/>
      <c r="AN271" s="19" t="n">
        <v>5</v>
      </c>
      <c r="AO271" s="19" t="n">
        <v>3</v>
      </c>
      <c r="AP271" s="19" t="n">
        <v>2</v>
      </c>
      <c r="AQ271" s="19"/>
      <c r="AR271" s="19"/>
      <c r="AS271" s="20" t="str">
        <f aca="false">HYPERLINK("http://www.openstreetmap.org/?mlat=32.6967&amp;mlon=44.2641&amp;zoom=12#map=12/32.6967/44.2641","Maplink1")</f>
        <v>Maplink1</v>
      </c>
      <c r="AT271" s="20" t="str">
        <f aca="false">HYPERLINK("https://www.google.iq/maps/search/+32.6967,44.2641/@32.6967,44.2641,14z?hl=en","Maplink2")</f>
        <v>Maplink2</v>
      </c>
      <c r="AU271" s="20" t="str">
        <f aca="false">HYPERLINK("http://www.bing.com/maps/?lvl=14&amp;sty=h&amp;cp=32.6967~44.2641&amp;sp=point.32.6967_44.2641","Maplink3")</f>
        <v>Maplink3</v>
      </c>
    </row>
    <row r="272" customFormat="false" ht="15" hidden="false" customHeight="true" outlineLevel="0" collapsed="false">
      <c r="A272" s="15" t="n">
        <v>24648</v>
      </c>
      <c r="B272" s="16" t="s">
        <v>16</v>
      </c>
      <c r="C272" s="16" t="s">
        <v>494</v>
      </c>
      <c r="D272" s="16" t="s">
        <v>565</v>
      </c>
      <c r="E272" s="17" t="s">
        <v>566</v>
      </c>
      <c r="F272" s="16" t="n">
        <v>32.87772824</v>
      </c>
      <c r="G272" s="16" t="n">
        <v>44.38452087</v>
      </c>
      <c r="H272" s="18" t="n">
        <v>10</v>
      </c>
      <c r="I272" s="18" t="n">
        <v>60</v>
      </c>
      <c r="J272" s="19"/>
      <c r="K272" s="19" t="n">
        <v>10</v>
      </c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 t="n">
        <v>10</v>
      </c>
      <c r="AI272" s="19"/>
      <c r="AJ272" s="19"/>
      <c r="AK272" s="19"/>
      <c r="AL272" s="19"/>
      <c r="AM272" s="19" t="n">
        <v>10</v>
      </c>
      <c r="AN272" s="19"/>
      <c r="AO272" s="19"/>
      <c r="AP272" s="19"/>
      <c r="AQ272" s="19"/>
      <c r="AR272" s="19"/>
      <c r="AS272" s="20" t="str">
        <f aca="false">HYPERLINK("http://www.openstreetmap.org/?mlat=32.8777&amp;mlon=44.3845&amp;zoom=12#map=12/32.8777/44.3845","Maplink1")</f>
        <v>Maplink1</v>
      </c>
      <c r="AT272" s="20" t="str">
        <f aca="false">HYPERLINK("https://www.google.iq/maps/search/+32.8777,44.3845/@32.8777,44.3845,14z?hl=en","Maplink2")</f>
        <v>Maplink2</v>
      </c>
      <c r="AU272" s="20" t="str">
        <f aca="false">HYPERLINK("http://www.bing.com/maps/?lvl=14&amp;sty=h&amp;cp=32.8777~44.3845&amp;sp=point.32.8777_44.3845","Maplink3")</f>
        <v>Maplink3</v>
      </c>
    </row>
    <row r="273" customFormat="false" ht="15" hidden="false" customHeight="true" outlineLevel="0" collapsed="false">
      <c r="A273" s="15" t="n">
        <v>24706</v>
      </c>
      <c r="B273" s="16" t="s">
        <v>16</v>
      </c>
      <c r="C273" s="16" t="s">
        <v>494</v>
      </c>
      <c r="D273" s="16" t="s">
        <v>567</v>
      </c>
      <c r="E273" s="17" t="s">
        <v>568</v>
      </c>
      <c r="F273" s="16" t="n">
        <v>32.70915953</v>
      </c>
      <c r="G273" s="16" t="n">
        <v>44.26935646</v>
      </c>
      <c r="H273" s="18" t="n">
        <v>7</v>
      </c>
      <c r="I273" s="18" t="n">
        <v>42</v>
      </c>
      <c r="J273" s="19"/>
      <c r="K273" s="19" t="n">
        <v>6</v>
      </c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 t="n">
        <v>1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 t="n">
        <v>7</v>
      </c>
      <c r="AI273" s="19"/>
      <c r="AJ273" s="19"/>
      <c r="AK273" s="19"/>
      <c r="AL273" s="19"/>
      <c r="AM273" s="19"/>
      <c r="AN273" s="19" t="n">
        <v>7</v>
      </c>
      <c r="AO273" s="19"/>
      <c r="AP273" s="19"/>
      <c r="AQ273" s="19"/>
      <c r="AR273" s="19"/>
      <c r="AS273" s="20" t="str">
        <f aca="false">HYPERLINK("http://www.openstreetmap.org/?mlat=32.7092&amp;mlon=44.2694&amp;zoom=12#map=12/32.7092/44.2694","Maplink1")</f>
        <v>Maplink1</v>
      </c>
      <c r="AT273" s="20" t="str">
        <f aca="false">HYPERLINK("https://www.google.iq/maps/search/+32.7092,44.2694/@32.7092,44.2694,14z?hl=en","Maplink2")</f>
        <v>Maplink2</v>
      </c>
      <c r="AU273" s="20" t="str">
        <f aca="false">HYPERLINK("http://www.bing.com/maps/?lvl=14&amp;sty=h&amp;cp=32.7092~44.2694&amp;sp=point.32.7092_44.2694","Maplink3")</f>
        <v>Maplink3</v>
      </c>
    </row>
    <row r="274" customFormat="false" ht="15" hidden="false" customHeight="true" outlineLevel="0" collapsed="false">
      <c r="A274" s="15" t="n">
        <v>24170</v>
      </c>
      <c r="B274" s="16" t="s">
        <v>16</v>
      </c>
      <c r="C274" s="16" t="s">
        <v>494</v>
      </c>
      <c r="D274" s="16" t="s">
        <v>229</v>
      </c>
      <c r="E274" s="17" t="s">
        <v>230</v>
      </c>
      <c r="F274" s="16" t="n">
        <v>32.78369</v>
      </c>
      <c r="G274" s="16" t="n">
        <v>44.27552</v>
      </c>
      <c r="H274" s="18" t="n">
        <v>28</v>
      </c>
      <c r="I274" s="18" t="n">
        <v>168</v>
      </c>
      <c r="J274" s="19"/>
      <c r="K274" s="19" t="n">
        <v>28</v>
      </c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 t="n">
        <v>28</v>
      </c>
      <c r="AI274" s="19"/>
      <c r="AJ274" s="19"/>
      <c r="AK274" s="19"/>
      <c r="AL274" s="19"/>
      <c r="AM274" s="19" t="n">
        <v>28</v>
      </c>
      <c r="AN274" s="19"/>
      <c r="AO274" s="19"/>
      <c r="AP274" s="19"/>
      <c r="AQ274" s="19"/>
      <c r="AR274" s="19"/>
      <c r="AS274" s="20" t="str">
        <f aca="false">HYPERLINK("http://www.openstreetmap.org/?mlat=32.7837&amp;mlon=44.2755&amp;zoom=12#map=12/32.7837/44.2755","Maplink1")</f>
        <v>Maplink1</v>
      </c>
      <c r="AT274" s="20" t="str">
        <f aca="false">HYPERLINK("https://www.google.iq/maps/search/+32.7837,44.2755/@32.7837,44.2755,14z?hl=en","Maplink2")</f>
        <v>Maplink2</v>
      </c>
      <c r="AU274" s="20" t="str">
        <f aca="false">HYPERLINK("http://www.bing.com/maps/?lvl=14&amp;sty=h&amp;cp=32.7837~44.2755&amp;sp=point.32.7837_44.2755","Maplink3")</f>
        <v>Maplink3</v>
      </c>
    </row>
    <row r="275" customFormat="false" ht="15" hidden="false" customHeight="true" outlineLevel="0" collapsed="false">
      <c r="A275" s="15" t="n">
        <v>24653</v>
      </c>
      <c r="B275" s="16" t="s">
        <v>16</v>
      </c>
      <c r="C275" s="16" t="s">
        <v>494</v>
      </c>
      <c r="D275" s="16" t="s">
        <v>569</v>
      </c>
      <c r="E275" s="17" t="s">
        <v>570</v>
      </c>
      <c r="F275" s="16" t="n">
        <v>32.88873347</v>
      </c>
      <c r="G275" s="16" t="n">
        <v>44.38226371</v>
      </c>
      <c r="H275" s="18" t="n">
        <v>27</v>
      </c>
      <c r="I275" s="18" t="n">
        <v>162</v>
      </c>
      <c r="J275" s="19"/>
      <c r="K275" s="19" t="n">
        <v>25</v>
      </c>
      <c r="L275" s="19" t="n">
        <v>2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 t="n">
        <v>27</v>
      </c>
      <c r="AI275" s="19"/>
      <c r="AJ275" s="19"/>
      <c r="AK275" s="19"/>
      <c r="AL275" s="19"/>
      <c r="AM275" s="19" t="n">
        <v>5</v>
      </c>
      <c r="AN275" s="19" t="n">
        <v>22</v>
      </c>
      <c r="AO275" s="19"/>
      <c r="AP275" s="19"/>
      <c r="AQ275" s="19"/>
      <c r="AR275" s="19"/>
      <c r="AS275" s="20" t="str">
        <f aca="false">HYPERLINK("http://www.openstreetmap.org/?mlat=32.8887&amp;mlon=44.3823&amp;zoom=12#map=12/32.8887/44.3823","Maplink1")</f>
        <v>Maplink1</v>
      </c>
      <c r="AT275" s="20" t="str">
        <f aca="false">HYPERLINK("https://www.google.iq/maps/search/+32.8887,44.3823/@32.8887,44.3823,14z?hl=en","Maplink2")</f>
        <v>Maplink2</v>
      </c>
      <c r="AU275" s="20" t="str">
        <f aca="false">HYPERLINK("http://www.bing.com/maps/?lvl=14&amp;sty=h&amp;cp=32.8887~44.3823&amp;sp=point.32.8887_44.3823","Maplink3")</f>
        <v>Maplink3</v>
      </c>
    </row>
    <row r="276" customFormat="false" ht="15" hidden="false" customHeight="true" outlineLevel="0" collapsed="false">
      <c r="A276" s="15" t="n">
        <v>7001</v>
      </c>
      <c r="B276" s="16" t="s">
        <v>16</v>
      </c>
      <c r="C276" s="16" t="s">
        <v>494</v>
      </c>
      <c r="D276" s="16" t="s">
        <v>571</v>
      </c>
      <c r="E276" s="17" t="s">
        <v>572</v>
      </c>
      <c r="F276" s="16" t="n">
        <v>32.477778</v>
      </c>
      <c r="G276" s="16" t="n">
        <v>44.418056</v>
      </c>
      <c r="H276" s="18" t="n">
        <v>3</v>
      </c>
      <c r="I276" s="18" t="n">
        <v>18</v>
      </c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 t="n">
        <v>3</v>
      </c>
      <c r="W276" s="19"/>
      <c r="X276" s="19"/>
      <c r="Y276" s="19"/>
      <c r="Z276" s="19"/>
      <c r="AA276" s="19"/>
      <c r="AB276" s="19"/>
      <c r="AC276" s="19" t="n">
        <v>3</v>
      </c>
      <c r="AD276" s="19"/>
      <c r="AE276" s="19"/>
      <c r="AF276" s="19"/>
      <c r="AG276" s="19"/>
      <c r="AH276" s="19"/>
      <c r="AI276" s="19"/>
      <c r="AJ276" s="19"/>
      <c r="AK276" s="19"/>
      <c r="AL276" s="19"/>
      <c r="AM276" s="19" t="n">
        <v>3</v>
      </c>
      <c r="AN276" s="19"/>
      <c r="AO276" s="19"/>
      <c r="AP276" s="19"/>
      <c r="AQ276" s="19"/>
      <c r="AR276" s="19"/>
      <c r="AS276" s="20" t="str">
        <f aca="false">HYPERLINK("http://www.openstreetmap.org/?mlat=32.4778&amp;mlon=44.4181&amp;zoom=12#map=12/32.4778/44.4181","Maplink1")</f>
        <v>Maplink1</v>
      </c>
      <c r="AT276" s="20" t="str">
        <f aca="false">HYPERLINK("https://www.google.iq/maps/search/+32.4778,44.4181/@32.4778,44.4181,14z?hl=en","Maplink2")</f>
        <v>Maplink2</v>
      </c>
      <c r="AU276" s="20" t="str">
        <f aca="false">HYPERLINK("http://www.bing.com/maps/?lvl=14&amp;sty=h&amp;cp=32.4778~44.4181&amp;sp=point.32.4778_44.4181","Maplink3")</f>
        <v>Maplink3</v>
      </c>
    </row>
    <row r="277" customFormat="false" ht="15" hidden="false" customHeight="true" outlineLevel="0" collapsed="false">
      <c r="A277" s="15" t="n">
        <v>6951</v>
      </c>
      <c r="B277" s="16" t="s">
        <v>16</v>
      </c>
      <c r="C277" s="16" t="s">
        <v>494</v>
      </c>
      <c r="D277" s="16" t="s">
        <v>451</v>
      </c>
      <c r="E277" s="17" t="s">
        <v>573</v>
      </c>
      <c r="F277" s="16" t="n">
        <v>32.77878674</v>
      </c>
      <c r="G277" s="16" t="n">
        <v>44.28740546</v>
      </c>
      <c r="H277" s="18" t="n">
        <v>21</v>
      </c>
      <c r="I277" s="18" t="n">
        <v>126</v>
      </c>
      <c r="J277" s="19" t="n">
        <v>1</v>
      </c>
      <c r="K277" s="19" t="n">
        <v>20</v>
      </c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 t="n">
        <v>21</v>
      </c>
      <c r="AI277" s="19"/>
      <c r="AJ277" s="19"/>
      <c r="AK277" s="19"/>
      <c r="AL277" s="19"/>
      <c r="AM277" s="19" t="n">
        <v>1</v>
      </c>
      <c r="AN277" s="19" t="n">
        <v>20</v>
      </c>
      <c r="AO277" s="19"/>
      <c r="AP277" s="19"/>
      <c r="AQ277" s="19"/>
      <c r="AR277" s="19"/>
      <c r="AS277" s="20" t="str">
        <f aca="false">HYPERLINK("http://www.openstreetmap.org/?mlat=32.7788&amp;mlon=44.2874&amp;zoom=12#map=12/32.7788/44.2874","Maplink1")</f>
        <v>Maplink1</v>
      </c>
      <c r="AT277" s="20" t="str">
        <f aca="false">HYPERLINK("https://www.google.iq/maps/search/+32.7788,44.2874/@32.7788,44.2874,14z?hl=en","Maplink2")</f>
        <v>Maplink2</v>
      </c>
      <c r="AU277" s="20" t="str">
        <f aca="false">HYPERLINK("http://www.bing.com/maps/?lvl=14&amp;sty=h&amp;cp=32.7788~44.2874&amp;sp=point.32.7788_44.2874","Maplink3")</f>
        <v>Maplink3</v>
      </c>
    </row>
    <row r="278" customFormat="false" ht="15" hidden="false" customHeight="true" outlineLevel="0" collapsed="false">
      <c r="A278" s="15" t="n">
        <v>7196</v>
      </c>
      <c r="B278" s="16" t="s">
        <v>16</v>
      </c>
      <c r="C278" s="16" t="s">
        <v>494</v>
      </c>
      <c r="D278" s="16" t="s">
        <v>574</v>
      </c>
      <c r="E278" s="17" t="s">
        <v>575</v>
      </c>
      <c r="F278" s="16" t="n">
        <v>32.77413</v>
      </c>
      <c r="G278" s="16" t="n">
        <v>44.29046</v>
      </c>
      <c r="H278" s="18" t="n">
        <v>25</v>
      </c>
      <c r="I278" s="18" t="n">
        <v>150</v>
      </c>
      <c r="J278" s="19" t="n">
        <v>3</v>
      </c>
      <c r="K278" s="19" t="n">
        <v>22</v>
      </c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 t="n">
        <v>25</v>
      </c>
      <c r="AI278" s="19"/>
      <c r="AJ278" s="19"/>
      <c r="AK278" s="19"/>
      <c r="AL278" s="19"/>
      <c r="AM278" s="19" t="n">
        <v>22</v>
      </c>
      <c r="AN278" s="19"/>
      <c r="AO278" s="19" t="n">
        <v>3</v>
      </c>
      <c r="AP278" s="19"/>
      <c r="AQ278" s="19"/>
      <c r="AR278" s="19"/>
      <c r="AS278" s="20" t="str">
        <f aca="false">HYPERLINK("http://www.openstreetmap.org/?mlat=32.7741&amp;mlon=44.2905&amp;zoom=12#map=12/32.7741/44.2905","Maplink1")</f>
        <v>Maplink1</v>
      </c>
      <c r="AT278" s="20" t="str">
        <f aca="false">HYPERLINK("https://www.google.iq/maps/search/+32.7741,44.2905/@32.7741,44.2905,14z?hl=en","Maplink2")</f>
        <v>Maplink2</v>
      </c>
      <c r="AU278" s="20" t="str">
        <f aca="false">HYPERLINK("http://www.bing.com/maps/?lvl=14&amp;sty=h&amp;cp=32.7741~44.2905&amp;sp=point.32.7741_44.2905","Maplink3")</f>
        <v>Maplink3</v>
      </c>
    </row>
    <row r="279" customFormat="false" ht="15" hidden="false" customHeight="true" outlineLevel="0" collapsed="false">
      <c r="A279" s="15" t="n">
        <v>24984</v>
      </c>
      <c r="B279" s="16" t="s">
        <v>16</v>
      </c>
      <c r="C279" s="16" t="s">
        <v>494</v>
      </c>
      <c r="D279" s="16" t="s">
        <v>576</v>
      </c>
      <c r="E279" s="17" t="s">
        <v>577</v>
      </c>
      <c r="F279" s="16" t="n">
        <v>32.88254779</v>
      </c>
      <c r="G279" s="16" t="n">
        <v>44.34466459</v>
      </c>
      <c r="H279" s="18" t="n">
        <v>100</v>
      </c>
      <c r="I279" s="18" t="n">
        <v>600</v>
      </c>
      <c r="J279" s="19"/>
      <c r="K279" s="19" t="n">
        <v>100</v>
      </c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 t="n">
        <v>100</v>
      </c>
      <c r="AI279" s="19"/>
      <c r="AJ279" s="19"/>
      <c r="AK279" s="19"/>
      <c r="AL279" s="19"/>
      <c r="AM279" s="19" t="n">
        <v>100</v>
      </c>
      <c r="AN279" s="19"/>
      <c r="AO279" s="19"/>
      <c r="AP279" s="19"/>
      <c r="AQ279" s="19"/>
      <c r="AR279" s="19"/>
      <c r="AS279" s="20" t="str">
        <f aca="false">HYPERLINK("http://www.openstreetmap.org/?mlat=32.8825&amp;mlon=44.3447&amp;zoom=12#map=12/32.8825/44.3447","Maplink1")</f>
        <v>Maplink1</v>
      </c>
      <c r="AT279" s="20" t="str">
        <f aca="false">HYPERLINK("https://www.google.iq/maps/search/+32.8825,44.3447/@32.8825,44.3447,14z?hl=en","Maplink2")</f>
        <v>Maplink2</v>
      </c>
      <c r="AU279" s="20" t="str">
        <f aca="false">HYPERLINK("http://www.bing.com/maps/?lvl=14&amp;sty=h&amp;cp=32.8825~44.3447&amp;sp=point.32.8825_44.3447","Maplink3")</f>
        <v>Maplink3</v>
      </c>
    </row>
    <row r="280" customFormat="false" ht="15" hidden="false" customHeight="true" outlineLevel="0" collapsed="false">
      <c r="A280" s="15" t="n">
        <v>24654</v>
      </c>
      <c r="B280" s="16" t="s">
        <v>16</v>
      </c>
      <c r="C280" s="16" t="s">
        <v>494</v>
      </c>
      <c r="D280" s="16" t="s">
        <v>578</v>
      </c>
      <c r="E280" s="17" t="s">
        <v>579</v>
      </c>
      <c r="F280" s="16" t="n">
        <v>32.89002361</v>
      </c>
      <c r="G280" s="16" t="n">
        <v>44.350574</v>
      </c>
      <c r="H280" s="18" t="n">
        <v>7</v>
      </c>
      <c r="I280" s="18" t="n">
        <v>42</v>
      </c>
      <c r="J280" s="19"/>
      <c r="K280" s="19" t="n">
        <v>2</v>
      </c>
      <c r="L280" s="19" t="n">
        <v>5</v>
      </c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 t="n">
        <v>7</v>
      </c>
      <c r="AI280" s="19"/>
      <c r="AJ280" s="19"/>
      <c r="AK280" s="19"/>
      <c r="AL280" s="19"/>
      <c r="AM280" s="19" t="n">
        <v>7</v>
      </c>
      <c r="AN280" s="19"/>
      <c r="AO280" s="19"/>
      <c r="AP280" s="19"/>
      <c r="AQ280" s="19"/>
      <c r="AR280" s="19"/>
      <c r="AS280" s="20" t="str">
        <f aca="false">HYPERLINK("http://www.openstreetmap.org/?mlat=32.89&amp;mlon=44.3506&amp;zoom=12#map=12/32.89/44.3506","Maplink1")</f>
        <v>Maplink1</v>
      </c>
      <c r="AT280" s="20" t="str">
        <f aca="false">HYPERLINK("https://www.google.iq/maps/search/+32.89,44.3506/@32.89,44.3506,14z?hl=en","Maplink2")</f>
        <v>Maplink2</v>
      </c>
      <c r="AU280" s="20" t="str">
        <f aca="false">HYPERLINK("http://www.bing.com/maps/?lvl=14&amp;sty=h&amp;cp=32.89~44.3506&amp;sp=point.32.89_44.3506","Maplink3")</f>
        <v>Maplink3</v>
      </c>
    </row>
    <row r="281" customFormat="false" ht="15" hidden="false" customHeight="true" outlineLevel="0" collapsed="false">
      <c r="A281" s="15" t="n">
        <v>7240</v>
      </c>
      <c r="B281" s="16" t="s">
        <v>16</v>
      </c>
      <c r="C281" s="16" t="s">
        <v>494</v>
      </c>
      <c r="D281" s="16" t="s">
        <v>580</v>
      </c>
      <c r="E281" s="17" t="s">
        <v>581</v>
      </c>
      <c r="F281" s="16" t="n">
        <v>32.78656544</v>
      </c>
      <c r="G281" s="16" t="n">
        <v>44.29426806</v>
      </c>
      <c r="H281" s="18" t="n">
        <v>11</v>
      </c>
      <c r="I281" s="18" t="n">
        <v>66</v>
      </c>
      <c r="J281" s="19"/>
      <c r="K281" s="19" t="n">
        <v>11</v>
      </c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 t="n">
        <v>11</v>
      </c>
      <c r="AI281" s="19"/>
      <c r="AJ281" s="19"/>
      <c r="AK281" s="19"/>
      <c r="AL281" s="19"/>
      <c r="AM281" s="19"/>
      <c r="AN281" s="19" t="n">
        <v>11</v>
      </c>
      <c r="AO281" s="19"/>
      <c r="AP281" s="19"/>
      <c r="AQ281" s="19"/>
      <c r="AR281" s="19"/>
      <c r="AS281" s="20" t="str">
        <f aca="false">HYPERLINK("http://www.openstreetmap.org/?mlat=32.7866&amp;mlon=44.2943&amp;zoom=12#map=12/32.7866/44.2943","Maplink1")</f>
        <v>Maplink1</v>
      </c>
      <c r="AT281" s="20" t="str">
        <f aca="false">HYPERLINK("https://www.google.iq/maps/search/+32.7866,44.2943/@32.7866,44.2943,14z?hl=en","Maplink2")</f>
        <v>Maplink2</v>
      </c>
      <c r="AU281" s="20" t="str">
        <f aca="false">HYPERLINK("http://www.bing.com/maps/?lvl=14&amp;sty=h&amp;cp=32.7866~44.2943&amp;sp=point.32.7866_44.2943","Maplink3")</f>
        <v>Maplink3</v>
      </c>
    </row>
    <row r="282" customFormat="false" ht="15" hidden="false" customHeight="true" outlineLevel="0" collapsed="false">
      <c r="A282" s="15" t="n">
        <v>6955</v>
      </c>
      <c r="B282" s="16" t="s">
        <v>16</v>
      </c>
      <c r="C282" s="16" t="s">
        <v>494</v>
      </c>
      <c r="D282" s="16" t="s">
        <v>582</v>
      </c>
      <c r="E282" s="17" t="s">
        <v>85</v>
      </c>
      <c r="F282" s="16" t="n">
        <v>32.8805306</v>
      </c>
      <c r="G282" s="16" t="n">
        <v>44.3772494</v>
      </c>
      <c r="H282" s="18" t="n">
        <v>37</v>
      </c>
      <c r="I282" s="18" t="n">
        <v>222</v>
      </c>
      <c r="J282" s="19"/>
      <c r="K282" s="19" t="n">
        <v>37</v>
      </c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 t="n">
        <v>37</v>
      </c>
      <c r="AI282" s="19"/>
      <c r="AJ282" s="19"/>
      <c r="AK282" s="19"/>
      <c r="AL282" s="19"/>
      <c r="AM282" s="19"/>
      <c r="AN282" s="19" t="n">
        <v>37</v>
      </c>
      <c r="AO282" s="19"/>
      <c r="AP282" s="19"/>
      <c r="AQ282" s="19"/>
      <c r="AR282" s="19"/>
      <c r="AS282" s="20" t="str">
        <f aca="false">HYPERLINK("http://www.openstreetmap.org/?mlat=32.8805&amp;mlon=44.3772&amp;zoom=12#map=12/32.8805/44.3772","Maplink1")</f>
        <v>Maplink1</v>
      </c>
      <c r="AT282" s="20" t="str">
        <f aca="false">HYPERLINK("https://www.google.iq/maps/search/+32.8805,44.3772/@32.8805,44.3772,14z?hl=en","Maplink2")</f>
        <v>Maplink2</v>
      </c>
      <c r="AU282" s="20" t="str">
        <f aca="false">HYPERLINK("http://www.bing.com/maps/?lvl=14&amp;sty=h&amp;cp=32.8805~44.3772&amp;sp=point.32.8805_44.3772","Maplink3")</f>
        <v>Maplink3</v>
      </c>
    </row>
    <row r="283" customFormat="false" ht="15" hidden="false" customHeight="true" outlineLevel="0" collapsed="false">
      <c r="A283" s="15" t="n">
        <v>27372</v>
      </c>
      <c r="B283" s="16" t="s">
        <v>16</v>
      </c>
      <c r="C283" s="16" t="s">
        <v>494</v>
      </c>
      <c r="D283" s="16" t="s">
        <v>583</v>
      </c>
      <c r="E283" s="17" t="s">
        <v>584</v>
      </c>
      <c r="F283" s="16" t="n">
        <v>32.71826458</v>
      </c>
      <c r="G283" s="16" t="n">
        <v>44.28012393</v>
      </c>
      <c r="H283" s="18" t="n">
        <v>16</v>
      </c>
      <c r="I283" s="18" t="n">
        <v>96</v>
      </c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 t="n">
        <v>16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 t="n">
        <v>16</v>
      </c>
      <c r="AI283" s="19"/>
      <c r="AJ283" s="19"/>
      <c r="AK283" s="19"/>
      <c r="AL283" s="19"/>
      <c r="AM283" s="19"/>
      <c r="AN283" s="19" t="n">
        <v>16</v>
      </c>
      <c r="AO283" s="19"/>
      <c r="AP283" s="19"/>
      <c r="AQ283" s="19"/>
      <c r="AR283" s="19"/>
      <c r="AS283" s="20" t="str">
        <f aca="false">HYPERLINK("http://www.openstreetmap.org/?mlat=32.7183&amp;mlon=44.2801&amp;zoom=12#map=12/32.7183/44.2801","Maplink1")</f>
        <v>Maplink1</v>
      </c>
      <c r="AT283" s="20" t="str">
        <f aca="false">HYPERLINK("https://www.google.iq/maps/search/+32.7183,44.2801/@32.7183,44.2801,14z?hl=en","Maplink2")</f>
        <v>Maplink2</v>
      </c>
      <c r="AU283" s="20" t="str">
        <f aca="false">HYPERLINK("http://www.bing.com/maps/?lvl=14&amp;sty=h&amp;cp=32.7183~44.2801&amp;sp=point.32.7183_44.2801","Maplink3")</f>
        <v>Maplink3</v>
      </c>
    </row>
    <row r="284" customFormat="false" ht="15" hidden="false" customHeight="true" outlineLevel="0" collapsed="false">
      <c r="A284" s="15" t="n">
        <v>24985</v>
      </c>
      <c r="B284" s="16" t="s">
        <v>16</v>
      </c>
      <c r="C284" s="16" t="s">
        <v>494</v>
      </c>
      <c r="D284" s="16" t="s">
        <v>585</v>
      </c>
      <c r="E284" s="17" t="s">
        <v>586</v>
      </c>
      <c r="F284" s="16" t="n">
        <v>32.88256229</v>
      </c>
      <c r="G284" s="16" t="n">
        <v>44.34323782</v>
      </c>
      <c r="H284" s="18" t="n">
        <v>89</v>
      </c>
      <c r="I284" s="18" t="n">
        <v>534</v>
      </c>
      <c r="J284" s="19"/>
      <c r="K284" s="19" t="n">
        <v>89</v>
      </c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 t="n">
        <v>89</v>
      </c>
      <c r="AI284" s="19"/>
      <c r="AJ284" s="19"/>
      <c r="AK284" s="19"/>
      <c r="AL284" s="19"/>
      <c r="AM284" s="19" t="n">
        <v>89</v>
      </c>
      <c r="AN284" s="19"/>
      <c r="AO284" s="19"/>
      <c r="AP284" s="19"/>
      <c r="AQ284" s="19"/>
      <c r="AR284" s="19"/>
      <c r="AS284" s="20" t="str">
        <f aca="false">HYPERLINK("http://www.openstreetmap.org/?mlat=32.8826&amp;mlon=44.3432&amp;zoom=12#map=12/32.8826/44.3432","Maplink1")</f>
        <v>Maplink1</v>
      </c>
      <c r="AT284" s="20" t="str">
        <f aca="false">HYPERLINK("https://www.google.iq/maps/search/+32.8826,44.3432/@32.8826,44.3432,14z?hl=en","Maplink2")</f>
        <v>Maplink2</v>
      </c>
      <c r="AU284" s="20" t="str">
        <f aca="false">HYPERLINK("http://www.bing.com/maps/?lvl=14&amp;sty=h&amp;cp=32.8826~44.3432&amp;sp=point.32.8826_44.3432","Maplink3")</f>
        <v>Maplink3</v>
      </c>
    </row>
    <row r="285" customFormat="false" ht="15" hidden="false" customHeight="true" outlineLevel="0" collapsed="false">
      <c r="A285" s="15" t="n">
        <v>24983</v>
      </c>
      <c r="B285" s="16" t="s">
        <v>16</v>
      </c>
      <c r="C285" s="16" t="s">
        <v>494</v>
      </c>
      <c r="D285" s="16" t="s">
        <v>587</v>
      </c>
      <c r="E285" s="17" t="s">
        <v>588</v>
      </c>
      <c r="F285" s="16" t="n">
        <v>32.78868338</v>
      </c>
      <c r="G285" s="16" t="n">
        <v>44.26741412</v>
      </c>
      <c r="H285" s="18" t="n">
        <v>129</v>
      </c>
      <c r="I285" s="18" t="n">
        <v>774</v>
      </c>
      <c r="J285" s="19"/>
      <c r="K285" s="19" t="n">
        <v>129</v>
      </c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 t="n">
        <v>129</v>
      </c>
      <c r="AI285" s="19"/>
      <c r="AJ285" s="19"/>
      <c r="AK285" s="19"/>
      <c r="AL285" s="19"/>
      <c r="AM285" s="19"/>
      <c r="AN285" s="19" t="n">
        <v>129</v>
      </c>
      <c r="AO285" s="19"/>
      <c r="AP285" s="19"/>
      <c r="AQ285" s="19"/>
      <c r="AR285" s="19"/>
      <c r="AS285" s="20" t="str">
        <f aca="false">HYPERLINK("http://www.openstreetmap.org/?mlat=32.7887&amp;mlon=44.2674&amp;zoom=12#map=12/32.7887/44.2674","Maplink1")</f>
        <v>Maplink1</v>
      </c>
      <c r="AT285" s="20" t="str">
        <f aca="false">HYPERLINK("https://www.google.iq/maps/search/+32.7887,44.2674/@32.7887,44.2674,14z?hl=en","Maplink2")</f>
        <v>Maplink2</v>
      </c>
      <c r="AU285" s="20" t="str">
        <f aca="false">HYPERLINK("http://www.bing.com/maps/?lvl=14&amp;sty=h&amp;cp=32.7887~44.2674&amp;sp=point.32.7887_44.2674","Maplink3")</f>
        <v>Maplink3</v>
      </c>
    </row>
    <row r="286" customFormat="false" ht="15" hidden="false" customHeight="true" outlineLevel="0" collapsed="false">
      <c r="A286" s="15" t="n">
        <v>27370</v>
      </c>
      <c r="B286" s="16" t="s">
        <v>16</v>
      </c>
      <c r="C286" s="16" t="s">
        <v>494</v>
      </c>
      <c r="D286" s="16" t="s">
        <v>589</v>
      </c>
      <c r="E286" s="17" t="s">
        <v>572</v>
      </c>
      <c r="F286" s="16" t="n">
        <v>32.694858</v>
      </c>
      <c r="G286" s="16" t="n">
        <v>44.263859</v>
      </c>
      <c r="H286" s="18" t="n">
        <v>4</v>
      </c>
      <c r="I286" s="18" t="n">
        <v>24</v>
      </c>
      <c r="J286" s="19" t="n">
        <v>2</v>
      </c>
      <c r="K286" s="19" t="n">
        <v>1</v>
      </c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 t="n">
        <v>1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 t="n">
        <v>4</v>
      </c>
      <c r="AI286" s="19"/>
      <c r="AJ286" s="19"/>
      <c r="AK286" s="19"/>
      <c r="AL286" s="19"/>
      <c r="AM286" s="19" t="n">
        <v>1</v>
      </c>
      <c r="AN286" s="19" t="n">
        <v>1</v>
      </c>
      <c r="AO286" s="19" t="n">
        <v>2</v>
      </c>
      <c r="AP286" s="19"/>
      <c r="AQ286" s="19"/>
      <c r="AR286" s="19"/>
      <c r="AS286" s="20" t="str">
        <f aca="false">HYPERLINK("http://www.openstreetmap.org/?mlat=32.6949&amp;mlon=44.2639&amp;zoom=12#map=12/32.6949/44.2639","Maplink1")</f>
        <v>Maplink1</v>
      </c>
      <c r="AT286" s="20" t="str">
        <f aca="false">HYPERLINK("https://www.google.iq/maps/search/+32.6949,44.2639/@32.6949,44.2639,14z?hl=en","Maplink2")</f>
        <v>Maplink2</v>
      </c>
      <c r="AU286" s="20" t="str">
        <f aca="false">HYPERLINK("http://www.bing.com/maps/?lvl=14&amp;sty=h&amp;cp=32.6949~44.2639&amp;sp=point.32.6949_44.2639","Maplink3")</f>
        <v>Maplink3</v>
      </c>
    </row>
    <row r="287" customFormat="false" ht="15" hidden="false" customHeight="true" outlineLevel="0" collapsed="false">
      <c r="A287" s="15" t="n">
        <v>24955</v>
      </c>
      <c r="B287" s="16" t="s">
        <v>16</v>
      </c>
      <c r="C287" s="16" t="s">
        <v>494</v>
      </c>
      <c r="D287" s="16" t="s">
        <v>590</v>
      </c>
      <c r="E287" s="17" t="s">
        <v>591</v>
      </c>
      <c r="F287" s="16" t="n">
        <v>32.76847566</v>
      </c>
      <c r="G287" s="16" t="n">
        <v>44.28907086</v>
      </c>
      <c r="H287" s="18" t="n">
        <v>31</v>
      </c>
      <c r="I287" s="18" t="n">
        <v>186</v>
      </c>
      <c r="J287" s="19" t="n">
        <v>5</v>
      </c>
      <c r="K287" s="19" t="n">
        <v>26</v>
      </c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 t="n">
        <v>31</v>
      </c>
      <c r="AI287" s="19"/>
      <c r="AJ287" s="19"/>
      <c r="AK287" s="19"/>
      <c r="AL287" s="19"/>
      <c r="AM287" s="19"/>
      <c r="AN287" s="19" t="n">
        <v>26</v>
      </c>
      <c r="AO287" s="19" t="n">
        <v>5</v>
      </c>
      <c r="AP287" s="19"/>
      <c r="AQ287" s="19"/>
      <c r="AR287" s="19"/>
      <c r="AS287" s="20" t="str">
        <f aca="false">HYPERLINK("http://www.openstreetmap.org/?mlat=32.7685&amp;mlon=44.2891&amp;zoom=12#map=12/32.7685/44.2891","Maplink1")</f>
        <v>Maplink1</v>
      </c>
      <c r="AT287" s="20" t="str">
        <f aca="false">HYPERLINK("https://www.google.iq/maps/search/+32.7685,44.2891/@32.7685,44.2891,14z?hl=en","Maplink2")</f>
        <v>Maplink2</v>
      </c>
      <c r="AU287" s="20" t="str">
        <f aca="false">HYPERLINK("http://www.bing.com/maps/?lvl=14&amp;sty=h&amp;cp=32.7685~44.2891&amp;sp=point.32.7685_44.2891","Maplink3")</f>
        <v>Maplink3</v>
      </c>
    </row>
    <row r="288" customFormat="false" ht="15" hidden="false" customHeight="true" outlineLevel="0" collapsed="false">
      <c r="A288" s="15" t="n">
        <v>24956</v>
      </c>
      <c r="B288" s="16" t="s">
        <v>16</v>
      </c>
      <c r="C288" s="16" t="s">
        <v>494</v>
      </c>
      <c r="D288" s="16" t="s">
        <v>592</v>
      </c>
      <c r="E288" s="17" t="s">
        <v>593</v>
      </c>
      <c r="F288" s="16" t="n">
        <v>32.76145992</v>
      </c>
      <c r="G288" s="16" t="n">
        <v>44.28615111</v>
      </c>
      <c r="H288" s="18" t="n">
        <v>9</v>
      </c>
      <c r="I288" s="18" t="n">
        <v>54</v>
      </c>
      <c r="J288" s="19" t="n">
        <v>3</v>
      </c>
      <c r="K288" s="19" t="n">
        <v>6</v>
      </c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 t="n">
        <v>9</v>
      </c>
      <c r="AI288" s="19"/>
      <c r="AJ288" s="19"/>
      <c r="AK288" s="19"/>
      <c r="AL288" s="19"/>
      <c r="AM288" s="19"/>
      <c r="AN288" s="19" t="n">
        <v>6</v>
      </c>
      <c r="AO288" s="19" t="n">
        <v>3</v>
      </c>
      <c r="AP288" s="19"/>
      <c r="AQ288" s="19"/>
      <c r="AR288" s="19"/>
      <c r="AS288" s="20" t="str">
        <f aca="false">HYPERLINK("http://www.openstreetmap.org/?mlat=32.7615&amp;mlon=44.2862&amp;zoom=12#map=12/32.7615/44.2862","Maplink1")</f>
        <v>Maplink1</v>
      </c>
      <c r="AT288" s="20" t="str">
        <f aca="false">HYPERLINK("https://www.google.iq/maps/search/+32.7615,44.2862/@32.7615,44.2862,14z?hl=en","Maplink2")</f>
        <v>Maplink2</v>
      </c>
      <c r="AU288" s="20" t="str">
        <f aca="false">HYPERLINK("http://www.bing.com/maps/?lvl=14&amp;sty=h&amp;cp=32.7615~44.2862&amp;sp=point.32.7615_44.2862","Maplink3")</f>
        <v>Maplink3</v>
      </c>
    </row>
    <row r="289" customFormat="false" ht="15" hidden="false" customHeight="true" outlineLevel="0" collapsed="false">
      <c r="A289" s="15" t="n">
        <v>24981</v>
      </c>
      <c r="B289" s="16" t="s">
        <v>16</v>
      </c>
      <c r="C289" s="16" t="s">
        <v>494</v>
      </c>
      <c r="D289" s="16" t="s">
        <v>594</v>
      </c>
      <c r="E289" s="17" t="s">
        <v>595</v>
      </c>
      <c r="F289" s="16" t="n">
        <v>32.75683911</v>
      </c>
      <c r="G289" s="16" t="n">
        <v>44.28329925</v>
      </c>
      <c r="H289" s="18" t="n">
        <v>7</v>
      </c>
      <c r="I289" s="18" t="n">
        <v>42</v>
      </c>
      <c r="J289" s="19" t="n">
        <v>1</v>
      </c>
      <c r="K289" s="19" t="n">
        <v>4</v>
      </c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 t="n">
        <v>2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 t="n">
        <v>7</v>
      </c>
      <c r="AI289" s="19"/>
      <c r="AJ289" s="19"/>
      <c r="AK289" s="19"/>
      <c r="AL289" s="19"/>
      <c r="AM289" s="19" t="n">
        <v>2</v>
      </c>
      <c r="AN289" s="19" t="n">
        <v>4</v>
      </c>
      <c r="AO289" s="19" t="n">
        <v>1</v>
      </c>
      <c r="AP289" s="19"/>
      <c r="AQ289" s="19"/>
      <c r="AR289" s="19"/>
      <c r="AS289" s="20" t="str">
        <f aca="false">HYPERLINK("http://www.openstreetmap.org/?mlat=32.7568&amp;mlon=44.2833&amp;zoom=12#map=12/32.7568/44.2833","Maplink1")</f>
        <v>Maplink1</v>
      </c>
      <c r="AT289" s="20" t="str">
        <f aca="false">HYPERLINK("https://www.google.iq/maps/search/+32.7568,44.2833/@32.7568,44.2833,14z?hl=en","Maplink2")</f>
        <v>Maplink2</v>
      </c>
      <c r="AU289" s="20" t="str">
        <f aca="false">HYPERLINK("http://www.bing.com/maps/?lvl=14&amp;sty=h&amp;cp=32.7568~44.2833&amp;sp=point.32.7568_44.2833","Maplink3")</f>
        <v>Maplink3</v>
      </c>
    </row>
    <row r="290" customFormat="false" ht="15" hidden="false" customHeight="true" outlineLevel="0" collapsed="false">
      <c r="A290" s="15" t="n">
        <v>7149</v>
      </c>
      <c r="B290" s="16" t="s">
        <v>16</v>
      </c>
      <c r="C290" s="16" t="s">
        <v>494</v>
      </c>
      <c r="D290" s="16" t="s">
        <v>596</v>
      </c>
      <c r="E290" s="17" t="s">
        <v>597</v>
      </c>
      <c r="F290" s="16" t="n">
        <v>32.86909345</v>
      </c>
      <c r="G290" s="16" t="n">
        <v>44.34220458</v>
      </c>
      <c r="H290" s="18" t="n">
        <v>30</v>
      </c>
      <c r="I290" s="18" t="n">
        <v>180</v>
      </c>
      <c r="J290" s="19" t="n">
        <v>15</v>
      </c>
      <c r="K290" s="19" t="n">
        <v>12</v>
      </c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 t="n">
        <v>2</v>
      </c>
      <c r="W290" s="19"/>
      <c r="X290" s="19" t="n">
        <v>1</v>
      </c>
      <c r="Y290" s="19"/>
      <c r="Z290" s="19"/>
      <c r="AA290" s="19"/>
      <c r="AB290" s="19"/>
      <c r="AC290" s="19"/>
      <c r="AD290" s="19"/>
      <c r="AE290" s="19"/>
      <c r="AF290" s="19"/>
      <c r="AG290" s="19"/>
      <c r="AH290" s="19" t="n">
        <v>30</v>
      </c>
      <c r="AI290" s="19"/>
      <c r="AJ290" s="19"/>
      <c r="AK290" s="19"/>
      <c r="AL290" s="19" t="n">
        <v>1</v>
      </c>
      <c r="AM290" s="19" t="n">
        <v>12</v>
      </c>
      <c r="AN290" s="19" t="n">
        <v>2</v>
      </c>
      <c r="AO290" s="19" t="n">
        <v>15</v>
      </c>
      <c r="AP290" s="19"/>
      <c r="AQ290" s="19"/>
      <c r="AR290" s="19"/>
      <c r="AS290" s="20" t="str">
        <f aca="false">HYPERLINK("http://www.openstreetmap.org/?mlat=32.8691&amp;mlon=44.3422&amp;zoom=12#map=12/32.8691/44.3422","Maplink1")</f>
        <v>Maplink1</v>
      </c>
      <c r="AT290" s="20" t="str">
        <f aca="false">HYPERLINK("https://www.google.iq/maps/search/+32.8691,44.3422/@32.8691,44.3422,14z?hl=en","Maplink2")</f>
        <v>Maplink2</v>
      </c>
      <c r="AU290" s="20" t="str">
        <f aca="false">HYPERLINK("http://www.bing.com/maps/?lvl=14&amp;sty=h&amp;cp=32.8691~44.3422&amp;sp=point.32.8691_44.3422","Maplink3")</f>
        <v>Maplink3</v>
      </c>
    </row>
    <row r="291" customFormat="false" ht="15" hidden="false" customHeight="true" outlineLevel="0" collapsed="false">
      <c r="A291" s="15" t="n">
        <v>7132</v>
      </c>
      <c r="B291" s="16" t="s">
        <v>16</v>
      </c>
      <c r="C291" s="16" t="s">
        <v>494</v>
      </c>
      <c r="D291" s="16" t="s">
        <v>598</v>
      </c>
      <c r="E291" s="17" t="s">
        <v>599</v>
      </c>
      <c r="F291" s="16" t="n">
        <v>32.76163267</v>
      </c>
      <c r="G291" s="16" t="n">
        <v>44.2610541</v>
      </c>
      <c r="H291" s="18" t="n">
        <v>107</v>
      </c>
      <c r="I291" s="18" t="n">
        <v>642</v>
      </c>
      <c r="J291" s="19"/>
      <c r="K291" s="19" t="n">
        <v>82</v>
      </c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 t="n">
        <v>25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 t="n">
        <v>17</v>
      </c>
      <c r="AH291" s="19" t="n">
        <v>90</v>
      </c>
      <c r="AI291" s="19"/>
      <c r="AJ291" s="19"/>
      <c r="AK291" s="19"/>
      <c r="AL291" s="19"/>
      <c r="AM291" s="19" t="n">
        <v>75</v>
      </c>
      <c r="AN291" s="19" t="n">
        <v>27</v>
      </c>
      <c r="AO291" s="19" t="n">
        <v>5</v>
      </c>
      <c r="AP291" s="19"/>
      <c r="AQ291" s="19"/>
      <c r="AR291" s="19"/>
      <c r="AS291" s="20" t="str">
        <f aca="false">HYPERLINK("http://www.openstreetmap.org/?mlat=32.7616&amp;mlon=44.2611&amp;zoom=12#map=12/32.7616/44.2611","Maplink1")</f>
        <v>Maplink1</v>
      </c>
      <c r="AT291" s="20" t="str">
        <f aca="false">HYPERLINK("https://www.google.iq/maps/search/+32.7616,44.2611/@32.7616,44.2611,14z?hl=en","Maplink2")</f>
        <v>Maplink2</v>
      </c>
      <c r="AU291" s="20" t="str">
        <f aca="false">HYPERLINK("http://www.bing.com/maps/?lvl=14&amp;sty=h&amp;cp=32.7616~44.2611&amp;sp=point.32.7616_44.2611","Maplink3")</f>
        <v>Maplink3</v>
      </c>
    </row>
    <row r="292" customFormat="false" ht="15" hidden="false" customHeight="true" outlineLevel="0" collapsed="false">
      <c r="A292" s="15" t="n">
        <v>27371</v>
      </c>
      <c r="B292" s="16" t="s">
        <v>16</v>
      </c>
      <c r="C292" s="16" t="s">
        <v>494</v>
      </c>
      <c r="D292" s="16" t="s">
        <v>600</v>
      </c>
      <c r="E292" s="17" t="s">
        <v>601</v>
      </c>
      <c r="F292" s="16" t="n">
        <v>32.71907147</v>
      </c>
      <c r="G292" s="16" t="n">
        <v>44.28231496</v>
      </c>
      <c r="H292" s="18" t="n">
        <v>5</v>
      </c>
      <c r="I292" s="18" t="n">
        <v>30</v>
      </c>
      <c r="J292" s="19"/>
      <c r="K292" s="19" t="n">
        <v>4</v>
      </c>
      <c r="L292" s="19" t="n">
        <v>1</v>
      </c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 t="n">
        <v>5</v>
      </c>
      <c r="AI292" s="19"/>
      <c r="AJ292" s="19"/>
      <c r="AK292" s="19"/>
      <c r="AL292" s="19"/>
      <c r="AM292" s="19" t="n">
        <v>5</v>
      </c>
      <c r="AN292" s="19"/>
      <c r="AO292" s="19"/>
      <c r="AP292" s="19"/>
      <c r="AQ292" s="19"/>
      <c r="AR292" s="19"/>
      <c r="AS292" s="20" t="str">
        <f aca="false">HYPERLINK("http://www.openstreetmap.org/?mlat=32.7191&amp;mlon=44.2823&amp;zoom=12#map=12/32.7191/44.2823","Maplink1")</f>
        <v>Maplink1</v>
      </c>
      <c r="AT292" s="20" t="str">
        <f aca="false">HYPERLINK("https://www.google.iq/maps/search/+32.7191,44.2823/@32.7191,44.2823,14z?hl=en","Maplink2")</f>
        <v>Maplink2</v>
      </c>
      <c r="AU292" s="20" t="str">
        <f aca="false">HYPERLINK("http://www.bing.com/maps/?lvl=14&amp;sty=h&amp;cp=32.7191~44.2823&amp;sp=point.32.7191_44.2823","Maplink3")</f>
        <v>Maplink3</v>
      </c>
    </row>
    <row r="293" customFormat="false" ht="15" hidden="false" customHeight="true" outlineLevel="0" collapsed="false">
      <c r="A293" s="15" t="n">
        <v>6950</v>
      </c>
      <c r="B293" s="16" t="s">
        <v>16</v>
      </c>
      <c r="C293" s="16" t="s">
        <v>494</v>
      </c>
      <c r="D293" s="16" t="s">
        <v>602</v>
      </c>
      <c r="E293" s="17" t="s">
        <v>603</v>
      </c>
      <c r="F293" s="16" t="n">
        <v>32.71269238</v>
      </c>
      <c r="G293" s="16" t="n">
        <v>44.2776677</v>
      </c>
      <c r="H293" s="18" t="n">
        <v>5</v>
      </c>
      <c r="I293" s="18" t="n">
        <v>30</v>
      </c>
      <c r="J293" s="19"/>
      <c r="K293" s="19" t="n">
        <v>1</v>
      </c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 t="n">
        <v>4</v>
      </c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 t="n">
        <v>5</v>
      </c>
      <c r="AI293" s="19"/>
      <c r="AJ293" s="19"/>
      <c r="AK293" s="19"/>
      <c r="AL293" s="19" t="n">
        <v>2</v>
      </c>
      <c r="AM293" s="19"/>
      <c r="AN293" s="19" t="n">
        <v>3</v>
      </c>
      <c r="AO293" s="19"/>
      <c r="AP293" s="19"/>
      <c r="AQ293" s="19"/>
      <c r="AR293" s="19"/>
      <c r="AS293" s="20" t="str">
        <f aca="false">HYPERLINK("http://www.openstreetmap.org/?mlat=32.7127&amp;mlon=44.2777&amp;zoom=12#map=12/32.7127/44.2777","Maplink1")</f>
        <v>Maplink1</v>
      </c>
      <c r="AT293" s="20" t="str">
        <f aca="false">HYPERLINK("https://www.google.iq/maps/search/+32.7127,44.2777/@32.7127,44.2777,14z?hl=en","Maplink2")</f>
        <v>Maplink2</v>
      </c>
      <c r="AU293" s="20" t="str">
        <f aca="false">HYPERLINK("http://www.bing.com/maps/?lvl=14&amp;sty=h&amp;cp=32.7127~44.2777&amp;sp=point.32.7127_44.2777","Maplink3")</f>
        <v>Maplink3</v>
      </c>
    </row>
    <row r="294" customFormat="false" ht="15" hidden="false" customHeight="true" outlineLevel="0" collapsed="false">
      <c r="A294" s="15" t="n">
        <v>24172</v>
      </c>
      <c r="B294" s="16" t="s">
        <v>16</v>
      </c>
      <c r="C294" s="16" t="s">
        <v>494</v>
      </c>
      <c r="D294" s="16" t="s">
        <v>604</v>
      </c>
      <c r="E294" s="17" t="s">
        <v>605</v>
      </c>
      <c r="F294" s="16" t="n">
        <v>32.71310854</v>
      </c>
      <c r="G294" s="16" t="n">
        <v>44.29573565</v>
      </c>
      <c r="H294" s="18" t="n">
        <v>22</v>
      </c>
      <c r="I294" s="18" t="n">
        <v>132</v>
      </c>
      <c r="J294" s="19"/>
      <c r="K294" s="19" t="n">
        <v>15</v>
      </c>
      <c r="L294" s="19" t="n">
        <v>1</v>
      </c>
      <c r="M294" s="19"/>
      <c r="N294" s="19"/>
      <c r="O294" s="19"/>
      <c r="P294" s="19"/>
      <c r="Q294" s="19"/>
      <c r="R294" s="19"/>
      <c r="S294" s="19"/>
      <c r="T294" s="19"/>
      <c r="U294" s="19"/>
      <c r="V294" s="19" t="n">
        <v>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 t="n">
        <v>22</v>
      </c>
      <c r="AI294" s="19"/>
      <c r="AJ294" s="19"/>
      <c r="AK294" s="19"/>
      <c r="AL294" s="19"/>
      <c r="AM294" s="19" t="n">
        <v>11</v>
      </c>
      <c r="AN294" s="19" t="n">
        <v>11</v>
      </c>
      <c r="AO294" s="19"/>
      <c r="AP294" s="19"/>
      <c r="AQ294" s="19"/>
      <c r="AR294" s="19"/>
      <c r="AS294" s="20" t="str">
        <f aca="false">HYPERLINK("http://www.openstreetmap.org/?mlat=32.7131&amp;mlon=44.2957&amp;zoom=12#map=12/32.7131/44.2957","Maplink1")</f>
        <v>Maplink1</v>
      </c>
      <c r="AT294" s="20" t="str">
        <f aca="false">HYPERLINK("https://www.google.iq/maps/search/+32.7131,44.2957/@32.7131,44.2957,14z?hl=en","Maplink2")</f>
        <v>Maplink2</v>
      </c>
      <c r="AU294" s="20" t="str">
        <f aca="false">HYPERLINK("http://www.bing.com/maps/?lvl=14&amp;sty=h&amp;cp=32.7131~44.2957&amp;sp=point.32.7131_44.2957","Maplink3")</f>
        <v>Maplink3</v>
      </c>
    </row>
    <row r="295" customFormat="false" ht="15" hidden="false" customHeight="true" outlineLevel="0" collapsed="false">
      <c r="A295" s="15" t="n">
        <v>24954</v>
      </c>
      <c r="B295" s="16" t="s">
        <v>16</v>
      </c>
      <c r="C295" s="16" t="s">
        <v>494</v>
      </c>
      <c r="D295" s="16" t="s">
        <v>606</v>
      </c>
      <c r="E295" s="17" t="s">
        <v>607</v>
      </c>
      <c r="F295" s="16" t="n">
        <v>32.76538685</v>
      </c>
      <c r="G295" s="16" t="n">
        <v>44.28612295</v>
      </c>
      <c r="H295" s="18" t="n">
        <v>31</v>
      </c>
      <c r="I295" s="18" t="n">
        <v>186</v>
      </c>
      <c r="J295" s="19"/>
      <c r="K295" s="19" t="n">
        <v>31</v>
      </c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 t="n">
        <v>31</v>
      </c>
      <c r="AI295" s="19"/>
      <c r="AJ295" s="19"/>
      <c r="AK295" s="19"/>
      <c r="AL295" s="19"/>
      <c r="AM295" s="19"/>
      <c r="AN295" s="19" t="n">
        <v>31</v>
      </c>
      <c r="AO295" s="19"/>
      <c r="AP295" s="19"/>
      <c r="AQ295" s="19"/>
      <c r="AR295" s="19"/>
      <c r="AS295" s="20" t="str">
        <f aca="false">HYPERLINK("http://www.openstreetmap.org/?mlat=32.7654&amp;mlon=44.2861&amp;zoom=12#map=12/32.7654/44.2861","Maplink1")</f>
        <v>Maplink1</v>
      </c>
      <c r="AT295" s="20" t="str">
        <f aca="false">HYPERLINK("https://www.google.iq/maps/search/+32.7654,44.2861/@32.7654,44.2861,14z?hl=en","Maplink2")</f>
        <v>Maplink2</v>
      </c>
      <c r="AU295" s="20" t="str">
        <f aca="false">HYPERLINK("http://www.bing.com/maps/?lvl=14&amp;sty=h&amp;cp=32.7654~44.2861&amp;sp=point.32.7654_44.2861","Maplink3")</f>
        <v>Maplink3</v>
      </c>
    </row>
    <row r="296" customFormat="false" ht="15" hidden="false" customHeight="true" outlineLevel="0" collapsed="false">
      <c r="A296" s="15" t="n">
        <v>24604</v>
      </c>
      <c r="B296" s="16" t="s">
        <v>16</v>
      </c>
      <c r="C296" s="16" t="s">
        <v>608</v>
      </c>
      <c r="D296" s="16" t="s">
        <v>609</v>
      </c>
      <c r="E296" s="17" t="s">
        <v>610</v>
      </c>
      <c r="F296" s="16" t="n">
        <v>32.39891923</v>
      </c>
      <c r="G296" s="16" t="n">
        <v>44.73177717</v>
      </c>
      <c r="H296" s="18" t="n">
        <v>22</v>
      </c>
      <c r="I296" s="18" t="n">
        <v>132</v>
      </c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 t="n">
        <v>22</v>
      </c>
      <c r="W296" s="19"/>
      <c r="X296" s="19"/>
      <c r="Y296" s="19"/>
      <c r="Z296" s="19"/>
      <c r="AA296" s="19"/>
      <c r="AB296" s="19"/>
      <c r="AC296" s="19" t="n">
        <v>1</v>
      </c>
      <c r="AD296" s="19"/>
      <c r="AE296" s="19"/>
      <c r="AF296" s="19"/>
      <c r="AG296" s="19" t="n">
        <v>21</v>
      </c>
      <c r="AH296" s="19"/>
      <c r="AI296" s="19"/>
      <c r="AJ296" s="19"/>
      <c r="AK296" s="19"/>
      <c r="AL296" s="19"/>
      <c r="AM296" s="19" t="n">
        <v>3</v>
      </c>
      <c r="AN296" s="19" t="n">
        <v>18</v>
      </c>
      <c r="AO296" s="19"/>
      <c r="AP296" s="19"/>
      <c r="AQ296" s="19"/>
      <c r="AR296" s="19" t="n">
        <v>1</v>
      </c>
      <c r="AS296" s="20" t="str">
        <f aca="false">HYPERLINK("http://www.openstreetmap.org/?mlat=32.3989&amp;mlon=44.7318&amp;zoom=12#map=12/32.3989/44.7318","Maplink1")</f>
        <v>Maplink1</v>
      </c>
      <c r="AT296" s="20" t="str">
        <f aca="false">HYPERLINK("https://www.google.iq/maps/search/+32.3989,44.7318/@32.3989,44.7318,14z?hl=en","Maplink2")</f>
        <v>Maplink2</v>
      </c>
      <c r="AU296" s="20" t="str">
        <f aca="false">HYPERLINK("http://www.bing.com/maps/?lvl=14&amp;sty=h&amp;cp=32.3989~44.7318&amp;sp=point.32.3989_44.7318","Maplink3")</f>
        <v>Maplink3</v>
      </c>
    </row>
    <row r="297" customFormat="false" ht="15" hidden="false" customHeight="true" outlineLevel="0" collapsed="false">
      <c r="A297" s="15" t="n">
        <v>24977</v>
      </c>
      <c r="B297" s="16" t="s">
        <v>16</v>
      </c>
      <c r="C297" s="16" t="s">
        <v>608</v>
      </c>
      <c r="D297" s="16" t="s">
        <v>611</v>
      </c>
      <c r="E297" s="17" t="s">
        <v>612</v>
      </c>
      <c r="F297" s="16" t="n">
        <v>32.30560647</v>
      </c>
      <c r="G297" s="16" t="n">
        <v>44.68621843</v>
      </c>
      <c r="H297" s="18" t="n">
        <v>14</v>
      </c>
      <c r="I297" s="18" t="n">
        <v>84</v>
      </c>
      <c r="J297" s="19" t="n">
        <v>2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 t="n">
        <v>12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 t="n">
        <v>2</v>
      </c>
      <c r="AI297" s="19"/>
      <c r="AJ297" s="19" t="n">
        <v>12</v>
      </c>
      <c r="AK297" s="19"/>
      <c r="AL297" s="19"/>
      <c r="AM297" s="19" t="n">
        <v>12</v>
      </c>
      <c r="AN297" s="19"/>
      <c r="AO297" s="19" t="n">
        <v>2</v>
      </c>
      <c r="AP297" s="19"/>
      <c r="AQ297" s="19"/>
      <c r="AR297" s="19"/>
      <c r="AS297" s="20" t="str">
        <f aca="false">HYPERLINK("http://www.openstreetmap.org/?mlat=32.3056&amp;mlon=44.6862&amp;zoom=12#map=12/32.3056/44.6862","Maplink1")</f>
        <v>Maplink1</v>
      </c>
      <c r="AT297" s="20" t="str">
        <f aca="false">HYPERLINK("https://www.google.iq/maps/search/+32.3056,44.6862/@32.3056,44.6862,14z?hl=en","Maplink2")</f>
        <v>Maplink2</v>
      </c>
      <c r="AU297" s="20" t="str">
        <f aca="false">HYPERLINK("http://www.bing.com/maps/?lvl=14&amp;sty=h&amp;cp=32.3056~44.6862&amp;sp=point.32.3056_44.6862","Maplink3")</f>
        <v>Maplink3</v>
      </c>
    </row>
    <row r="298" customFormat="false" ht="15" hidden="false" customHeight="true" outlineLevel="0" collapsed="false">
      <c r="A298" s="15" t="n">
        <v>23959</v>
      </c>
      <c r="B298" s="16" t="s">
        <v>16</v>
      </c>
      <c r="C298" s="16" t="s">
        <v>608</v>
      </c>
      <c r="D298" s="16" t="s">
        <v>613</v>
      </c>
      <c r="E298" s="17" t="s">
        <v>614</v>
      </c>
      <c r="F298" s="16" t="n">
        <v>32.4011792</v>
      </c>
      <c r="G298" s="16" t="n">
        <v>44.67893397</v>
      </c>
      <c r="H298" s="18" t="n">
        <v>5</v>
      </c>
      <c r="I298" s="18" t="n">
        <v>30</v>
      </c>
      <c r="J298" s="19" t="n">
        <v>4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 t="n">
        <v>1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 t="n">
        <v>5</v>
      </c>
      <c r="AI298" s="19"/>
      <c r="AJ298" s="19"/>
      <c r="AK298" s="19"/>
      <c r="AL298" s="19"/>
      <c r="AM298" s="19" t="n">
        <v>1</v>
      </c>
      <c r="AN298" s="19"/>
      <c r="AO298" s="19" t="n">
        <v>4</v>
      </c>
      <c r="AP298" s="19"/>
      <c r="AQ298" s="19"/>
      <c r="AR298" s="19"/>
      <c r="AS298" s="20" t="str">
        <f aca="false">HYPERLINK("http://www.openstreetmap.org/?mlat=32.4012&amp;mlon=44.6789&amp;zoom=12#map=12/32.4012/44.6789","Maplink1")</f>
        <v>Maplink1</v>
      </c>
      <c r="AT298" s="20" t="str">
        <f aca="false">HYPERLINK("https://www.google.iq/maps/search/+32.4012,44.6789/@32.4012,44.6789,14z?hl=en","Maplink2")</f>
        <v>Maplink2</v>
      </c>
      <c r="AU298" s="20" t="str">
        <f aca="false">HYPERLINK("http://www.bing.com/maps/?lvl=14&amp;sty=h&amp;cp=32.4012~44.6789&amp;sp=point.32.4012_44.6789","Maplink3")</f>
        <v>Maplink3</v>
      </c>
    </row>
    <row r="299" customFormat="false" ht="15" hidden="false" customHeight="true" outlineLevel="0" collapsed="false">
      <c r="A299" s="15" t="n">
        <v>24646</v>
      </c>
      <c r="B299" s="16" t="s">
        <v>16</v>
      </c>
      <c r="C299" s="16" t="s">
        <v>608</v>
      </c>
      <c r="D299" s="16" t="s">
        <v>615</v>
      </c>
      <c r="E299" s="17" t="s">
        <v>616</v>
      </c>
      <c r="F299" s="16" t="n">
        <v>32.38423002</v>
      </c>
      <c r="G299" s="16" t="n">
        <v>44.53541374</v>
      </c>
      <c r="H299" s="18" t="n">
        <v>30</v>
      </c>
      <c r="I299" s="18" t="n">
        <v>180</v>
      </c>
      <c r="J299" s="19" t="n">
        <v>5</v>
      </c>
      <c r="K299" s="19"/>
      <c r="L299" s="19" t="n">
        <v>3</v>
      </c>
      <c r="M299" s="19"/>
      <c r="N299" s="19"/>
      <c r="O299" s="19"/>
      <c r="P299" s="19"/>
      <c r="Q299" s="19"/>
      <c r="R299" s="19"/>
      <c r="S299" s="19"/>
      <c r="T299" s="19"/>
      <c r="U299" s="19"/>
      <c r="V299" s="19" t="n">
        <v>20</v>
      </c>
      <c r="W299" s="19"/>
      <c r="X299" s="19" t="n">
        <v>2</v>
      </c>
      <c r="Y299" s="19"/>
      <c r="Z299" s="19"/>
      <c r="AA299" s="19"/>
      <c r="AB299" s="19"/>
      <c r="AC299" s="19" t="n">
        <v>10</v>
      </c>
      <c r="AD299" s="19"/>
      <c r="AE299" s="19"/>
      <c r="AF299" s="19"/>
      <c r="AG299" s="19" t="n">
        <v>7</v>
      </c>
      <c r="AH299" s="19" t="n">
        <v>13</v>
      </c>
      <c r="AI299" s="19"/>
      <c r="AJ299" s="19"/>
      <c r="AK299" s="19"/>
      <c r="AL299" s="19"/>
      <c r="AM299" s="19" t="n">
        <v>22</v>
      </c>
      <c r="AN299" s="19" t="n">
        <v>3</v>
      </c>
      <c r="AO299" s="19" t="n">
        <v>5</v>
      </c>
      <c r="AP299" s="19"/>
      <c r="AQ299" s="19"/>
      <c r="AR299" s="19"/>
      <c r="AS299" s="20" t="str">
        <f aca="false">HYPERLINK("http://www.openstreetmap.org/?mlat=32.3842&amp;mlon=44.5354&amp;zoom=12#map=12/32.3842/44.5354","Maplink1")</f>
        <v>Maplink1</v>
      </c>
      <c r="AT299" s="20" t="str">
        <f aca="false">HYPERLINK("https://www.google.iq/maps/search/+32.3842,44.5354/@32.3842,44.5354,14z?hl=en","Maplink2")</f>
        <v>Maplink2</v>
      </c>
      <c r="AU299" s="20" t="str">
        <f aca="false">HYPERLINK("http://www.bing.com/maps/?lvl=14&amp;sty=h&amp;cp=32.3842~44.5354&amp;sp=point.32.3842_44.5354","Maplink3")</f>
        <v>Maplink3</v>
      </c>
    </row>
    <row r="300" customFormat="false" ht="15" hidden="false" customHeight="true" outlineLevel="0" collapsed="false">
      <c r="A300" s="15" t="n">
        <v>24605</v>
      </c>
      <c r="B300" s="16" t="s">
        <v>16</v>
      </c>
      <c r="C300" s="16" t="s">
        <v>608</v>
      </c>
      <c r="D300" s="16" t="s">
        <v>617</v>
      </c>
      <c r="E300" s="17" t="s">
        <v>618</v>
      </c>
      <c r="F300" s="16" t="n">
        <v>32.32462371</v>
      </c>
      <c r="G300" s="16" t="n">
        <v>44.66897258</v>
      </c>
      <c r="H300" s="18" t="n">
        <v>2</v>
      </c>
      <c r="I300" s="18" t="n">
        <v>12</v>
      </c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 t="n">
        <v>2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 t="n">
        <v>2</v>
      </c>
      <c r="AH300" s="19"/>
      <c r="AI300" s="19"/>
      <c r="AJ300" s="19"/>
      <c r="AK300" s="19"/>
      <c r="AL300" s="19"/>
      <c r="AM300" s="19" t="n">
        <v>2</v>
      </c>
      <c r="AN300" s="19"/>
      <c r="AO300" s="19"/>
      <c r="AP300" s="19"/>
      <c r="AQ300" s="19"/>
      <c r="AR300" s="19"/>
      <c r="AS300" s="20" t="str">
        <f aca="false">HYPERLINK("http://www.openstreetmap.org/?mlat=32.3246&amp;mlon=44.669&amp;zoom=12#map=12/32.3246/44.669","Maplink1")</f>
        <v>Maplink1</v>
      </c>
      <c r="AT300" s="20" t="str">
        <f aca="false">HYPERLINK("https://www.google.iq/maps/search/+32.3246,44.669/@32.3246,44.669,14z?hl=en","Maplink2")</f>
        <v>Maplink2</v>
      </c>
      <c r="AU300" s="20" t="str">
        <f aca="false">HYPERLINK("http://www.bing.com/maps/?lvl=14&amp;sty=h&amp;cp=32.3246~44.669&amp;sp=point.32.3246_44.669","Maplink3")</f>
        <v>Maplink3</v>
      </c>
    </row>
    <row r="301" customFormat="false" ht="15" hidden="false" customHeight="true" outlineLevel="0" collapsed="false">
      <c r="A301" s="15" t="n">
        <v>24836</v>
      </c>
      <c r="B301" s="16" t="s">
        <v>16</v>
      </c>
      <c r="C301" s="16" t="s">
        <v>608</v>
      </c>
      <c r="D301" s="16" t="s">
        <v>619</v>
      </c>
      <c r="E301" s="17" t="s">
        <v>620</v>
      </c>
      <c r="F301" s="16" t="n">
        <v>32.35948723</v>
      </c>
      <c r="G301" s="16" t="n">
        <v>44.6344875</v>
      </c>
      <c r="H301" s="18" t="n">
        <v>12</v>
      </c>
      <c r="I301" s="18" t="n">
        <v>72</v>
      </c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 t="n">
        <v>12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 t="n">
        <v>12</v>
      </c>
      <c r="AH301" s="19"/>
      <c r="AI301" s="19"/>
      <c r="AJ301" s="19"/>
      <c r="AK301" s="19"/>
      <c r="AL301" s="19"/>
      <c r="AM301" s="19"/>
      <c r="AN301" s="19" t="n">
        <v>12</v>
      </c>
      <c r="AO301" s="19"/>
      <c r="AP301" s="19"/>
      <c r="AQ301" s="19"/>
      <c r="AR301" s="19"/>
      <c r="AS301" s="20" t="str">
        <f aca="false">HYPERLINK("http://www.openstreetmap.org/?mlat=32.3595&amp;mlon=44.6345&amp;zoom=12#map=12/32.3595/44.6345","Maplink1")</f>
        <v>Maplink1</v>
      </c>
      <c r="AT301" s="20" t="str">
        <f aca="false">HYPERLINK("https://www.google.iq/maps/search/+32.3595,44.6345/@32.3595,44.6345,14z?hl=en","Maplink2")</f>
        <v>Maplink2</v>
      </c>
      <c r="AU301" s="20" t="str">
        <f aca="false">HYPERLINK("http://www.bing.com/maps/?lvl=14&amp;sty=h&amp;cp=32.3595~44.6345&amp;sp=point.32.3595_44.6345","Maplink3")</f>
        <v>Maplink3</v>
      </c>
    </row>
    <row r="302" customFormat="false" ht="15" hidden="false" customHeight="true" outlineLevel="0" collapsed="false">
      <c r="A302" s="15" t="n">
        <v>24544</v>
      </c>
      <c r="B302" s="16" t="s">
        <v>16</v>
      </c>
      <c r="C302" s="16" t="s">
        <v>608</v>
      </c>
      <c r="D302" s="16" t="s">
        <v>621</v>
      </c>
      <c r="E302" s="17" t="s">
        <v>622</v>
      </c>
      <c r="F302" s="16" t="n">
        <v>32.39000335</v>
      </c>
      <c r="G302" s="16" t="n">
        <v>44.54883903</v>
      </c>
      <c r="H302" s="18" t="n">
        <v>77</v>
      </c>
      <c r="I302" s="18" t="n">
        <v>462</v>
      </c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 t="n">
        <v>77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 t="n">
        <v>77</v>
      </c>
      <c r="AI302" s="19"/>
      <c r="AJ302" s="19"/>
      <c r="AK302" s="19"/>
      <c r="AL302" s="19"/>
      <c r="AM302" s="19" t="n">
        <v>77</v>
      </c>
      <c r="AN302" s="19"/>
      <c r="AO302" s="19"/>
      <c r="AP302" s="19"/>
      <c r="AQ302" s="19"/>
      <c r="AR302" s="19"/>
      <c r="AS302" s="20" t="str">
        <f aca="false">HYPERLINK("http://www.openstreetmap.org/?mlat=32.39&amp;mlon=44.5488&amp;zoom=12#map=12/32.39/44.5488","Maplink1")</f>
        <v>Maplink1</v>
      </c>
      <c r="AT302" s="20" t="str">
        <f aca="false">HYPERLINK("https://www.google.iq/maps/search/+32.39,44.5488/@32.39,44.5488,14z?hl=en","Maplink2")</f>
        <v>Maplink2</v>
      </c>
      <c r="AU302" s="20" t="str">
        <f aca="false">HYPERLINK("http://www.bing.com/maps/?lvl=14&amp;sty=h&amp;cp=32.39~44.5488&amp;sp=point.32.39_44.5488","Maplink3")</f>
        <v>Maplink3</v>
      </c>
    </row>
    <row r="303" customFormat="false" ht="15" hidden="false" customHeight="true" outlineLevel="0" collapsed="false">
      <c r="A303" s="15" t="n">
        <v>24271</v>
      </c>
      <c r="B303" s="16" t="s">
        <v>16</v>
      </c>
      <c r="C303" s="16" t="s">
        <v>608</v>
      </c>
      <c r="D303" s="16" t="s">
        <v>623</v>
      </c>
      <c r="E303" s="17" t="s">
        <v>624</v>
      </c>
      <c r="F303" s="16" t="n">
        <v>32.40101156</v>
      </c>
      <c r="G303" s="16" t="n">
        <v>44.67345002</v>
      </c>
      <c r="H303" s="18" t="n">
        <v>32</v>
      </c>
      <c r="I303" s="18" t="n">
        <v>192</v>
      </c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 t="n">
        <v>32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 t="n">
        <v>15</v>
      </c>
      <c r="AI303" s="19"/>
      <c r="AJ303" s="19" t="n">
        <v>17</v>
      </c>
      <c r="AK303" s="19"/>
      <c r="AL303" s="19"/>
      <c r="AM303" s="19" t="n">
        <v>32</v>
      </c>
      <c r="AN303" s="19"/>
      <c r="AO303" s="19"/>
      <c r="AP303" s="19"/>
      <c r="AQ303" s="19"/>
      <c r="AR303" s="19"/>
      <c r="AS303" s="20" t="str">
        <f aca="false">HYPERLINK("http://www.openstreetmap.org/?mlat=32.401&amp;mlon=44.6735&amp;zoom=12#map=12/32.401/44.6735","Maplink1")</f>
        <v>Maplink1</v>
      </c>
      <c r="AT303" s="20" t="str">
        <f aca="false">HYPERLINK("https://www.google.iq/maps/search/+32.401,44.6735/@32.401,44.6735,14z?hl=en","Maplink2")</f>
        <v>Maplink2</v>
      </c>
      <c r="AU303" s="20" t="str">
        <f aca="false">HYPERLINK("http://www.bing.com/maps/?lvl=14&amp;sty=h&amp;cp=32.401~44.6735&amp;sp=point.32.401_44.6735","Maplink3")</f>
        <v>Maplink3</v>
      </c>
    </row>
    <row r="304" customFormat="false" ht="15" hidden="false" customHeight="true" outlineLevel="0" collapsed="false">
      <c r="A304" s="15" t="n">
        <v>24270</v>
      </c>
      <c r="B304" s="16" t="s">
        <v>16</v>
      </c>
      <c r="C304" s="16" t="s">
        <v>608</v>
      </c>
      <c r="D304" s="16" t="s">
        <v>625</v>
      </c>
      <c r="E304" s="17" t="s">
        <v>626</v>
      </c>
      <c r="F304" s="16" t="n">
        <v>32.40065579</v>
      </c>
      <c r="G304" s="16" t="n">
        <v>44.65448974</v>
      </c>
      <c r="H304" s="18" t="n">
        <v>60</v>
      </c>
      <c r="I304" s="18" t="n">
        <v>360</v>
      </c>
      <c r="J304" s="19" t="n">
        <v>7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 t="n">
        <v>53</v>
      </c>
      <c r="W304" s="19"/>
      <c r="X304" s="19"/>
      <c r="Y304" s="19"/>
      <c r="Z304" s="19"/>
      <c r="AA304" s="19"/>
      <c r="AB304" s="19"/>
      <c r="AC304" s="19" t="n">
        <v>10</v>
      </c>
      <c r="AD304" s="19"/>
      <c r="AE304" s="19"/>
      <c r="AF304" s="19"/>
      <c r="AG304" s="19"/>
      <c r="AH304" s="19" t="n">
        <v>32</v>
      </c>
      <c r="AI304" s="19"/>
      <c r="AJ304" s="19" t="n">
        <v>18</v>
      </c>
      <c r="AK304" s="19"/>
      <c r="AL304" s="19"/>
      <c r="AM304" s="19" t="n">
        <v>42</v>
      </c>
      <c r="AN304" s="19" t="n">
        <v>11</v>
      </c>
      <c r="AO304" s="19" t="n">
        <v>7</v>
      </c>
      <c r="AP304" s="19"/>
      <c r="AQ304" s="19"/>
      <c r="AR304" s="19"/>
      <c r="AS304" s="20" t="str">
        <f aca="false">HYPERLINK("http://www.openstreetmap.org/?mlat=32.4007&amp;mlon=44.6545&amp;zoom=12#map=12/32.4007/44.6545","Maplink1")</f>
        <v>Maplink1</v>
      </c>
      <c r="AT304" s="20" t="str">
        <f aca="false">HYPERLINK("https://www.google.iq/maps/search/+32.4007,44.6545/@32.4007,44.6545,14z?hl=en","Maplink2")</f>
        <v>Maplink2</v>
      </c>
      <c r="AU304" s="20" t="str">
        <f aca="false">HYPERLINK("http://www.bing.com/maps/?lvl=14&amp;sty=h&amp;cp=32.4007~44.6545&amp;sp=point.32.4007_44.6545","Maplink3")</f>
        <v>Maplink3</v>
      </c>
    </row>
    <row r="305" customFormat="false" ht="15" hidden="false" customHeight="true" outlineLevel="0" collapsed="false">
      <c r="A305" s="15" t="n">
        <v>25896</v>
      </c>
      <c r="B305" s="16" t="s">
        <v>16</v>
      </c>
      <c r="C305" s="16" t="s">
        <v>608</v>
      </c>
      <c r="D305" s="16" t="s">
        <v>627</v>
      </c>
      <c r="E305" s="17" t="s">
        <v>628</v>
      </c>
      <c r="F305" s="16" t="n">
        <v>32.40396807</v>
      </c>
      <c r="G305" s="16" t="n">
        <v>44.67146108</v>
      </c>
      <c r="H305" s="18" t="n">
        <v>15</v>
      </c>
      <c r="I305" s="18" t="n">
        <v>90</v>
      </c>
      <c r="J305" s="19" t="n">
        <v>6</v>
      </c>
      <c r="K305" s="19"/>
      <c r="L305" s="19" t="n">
        <v>1</v>
      </c>
      <c r="M305" s="19"/>
      <c r="N305" s="19"/>
      <c r="O305" s="19"/>
      <c r="P305" s="19"/>
      <c r="Q305" s="19"/>
      <c r="R305" s="19" t="n">
        <v>1</v>
      </c>
      <c r="S305" s="19"/>
      <c r="T305" s="19"/>
      <c r="U305" s="19"/>
      <c r="V305" s="19" t="n">
        <v>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 t="n">
        <v>15</v>
      </c>
      <c r="AI305" s="19"/>
      <c r="AJ305" s="19"/>
      <c r="AK305" s="19"/>
      <c r="AL305" s="19"/>
      <c r="AM305" s="19" t="n">
        <v>7</v>
      </c>
      <c r="AN305" s="19" t="n">
        <v>1</v>
      </c>
      <c r="AO305" s="19" t="n">
        <v>7</v>
      </c>
      <c r="AP305" s="19"/>
      <c r="AQ305" s="19"/>
      <c r="AR305" s="19"/>
      <c r="AS305" s="20" t="str">
        <f aca="false">HYPERLINK("http://www.openstreetmap.org/?mlat=32.404&amp;mlon=44.6715&amp;zoom=12#map=12/32.404/44.6715","Maplink1")</f>
        <v>Maplink1</v>
      </c>
      <c r="AT305" s="20" t="str">
        <f aca="false">HYPERLINK("https://www.google.iq/maps/search/+32.404,44.6715/@32.404,44.6715,14z?hl=en","Maplink2")</f>
        <v>Maplink2</v>
      </c>
      <c r="AU305" s="20" t="str">
        <f aca="false">HYPERLINK("http://www.bing.com/maps/?lvl=14&amp;sty=h&amp;cp=32.404~44.6715&amp;sp=point.32.404_44.6715","Maplink3")</f>
        <v>Maplink3</v>
      </c>
    </row>
    <row r="306" customFormat="false" ht="15" hidden="false" customHeight="true" outlineLevel="0" collapsed="false">
      <c r="A306" s="15" t="n">
        <v>24711</v>
      </c>
      <c r="B306" s="16" t="s">
        <v>16</v>
      </c>
      <c r="C306" s="16" t="s">
        <v>608</v>
      </c>
      <c r="D306" s="16" t="s">
        <v>629</v>
      </c>
      <c r="E306" s="17" t="s">
        <v>630</v>
      </c>
      <c r="F306" s="16" t="n">
        <v>32.32336781</v>
      </c>
      <c r="G306" s="16" t="n">
        <v>44.92340164</v>
      </c>
      <c r="H306" s="18" t="n">
        <v>15</v>
      </c>
      <c r="I306" s="18" t="n">
        <v>90</v>
      </c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 t="n">
        <v>15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 t="n">
        <v>2</v>
      </c>
      <c r="AH306" s="19" t="n">
        <v>13</v>
      </c>
      <c r="AI306" s="19"/>
      <c r="AJ306" s="19"/>
      <c r="AK306" s="19"/>
      <c r="AL306" s="19"/>
      <c r="AM306" s="19" t="n">
        <v>15</v>
      </c>
      <c r="AN306" s="19"/>
      <c r="AO306" s="19"/>
      <c r="AP306" s="19"/>
      <c r="AQ306" s="19"/>
      <c r="AR306" s="19"/>
      <c r="AS306" s="20" t="str">
        <f aca="false">HYPERLINK("http://www.openstreetmap.org/?mlat=32.3234&amp;mlon=44.9234&amp;zoom=12#map=12/32.3234/44.9234","Maplink1")</f>
        <v>Maplink1</v>
      </c>
      <c r="AT306" s="20" t="str">
        <f aca="false">HYPERLINK("https://www.google.iq/maps/search/+32.3234,44.9234/@32.3234,44.9234,14z?hl=en","Maplink2")</f>
        <v>Maplink2</v>
      </c>
      <c r="AU306" s="20" t="str">
        <f aca="false">HYPERLINK("http://www.bing.com/maps/?lvl=14&amp;sty=h&amp;cp=32.3234~44.9234&amp;sp=point.32.3234_44.9234","Maplink3")</f>
        <v>Maplink3</v>
      </c>
    </row>
    <row r="307" customFormat="false" ht="15" hidden="false" customHeight="true" outlineLevel="0" collapsed="false">
      <c r="A307" s="15" t="n">
        <v>24293</v>
      </c>
      <c r="B307" s="16" t="s">
        <v>16</v>
      </c>
      <c r="C307" s="16" t="s">
        <v>608</v>
      </c>
      <c r="D307" s="16" t="s">
        <v>631</v>
      </c>
      <c r="E307" s="17" t="s">
        <v>632</v>
      </c>
      <c r="F307" s="16" t="n">
        <v>32.297528</v>
      </c>
      <c r="G307" s="16" t="n">
        <v>44.683026</v>
      </c>
      <c r="H307" s="18" t="n">
        <v>9</v>
      </c>
      <c r="I307" s="18" t="n">
        <v>54</v>
      </c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 t="n">
        <v>9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 t="n">
        <v>9</v>
      </c>
      <c r="AI307" s="19"/>
      <c r="AJ307" s="19"/>
      <c r="AK307" s="19"/>
      <c r="AL307" s="19"/>
      <c r="AM307" s="19" t="n">
        <v>9</v>
      </c>
      <c r="AN307" s="19"/>
      <c r="AO307" s="19"/>
      <c r="AP307" s="19"/>
      <c r="AQ307" s="19"/>
      <c r="AR307" s="19"/>
      <c r="AS307" s="20" t="str">
        <f aca="false">HYPERLINK("http://www.openstreetmap.org/?mlat=32.2975&amp;mlon=44.683&amp;zoom=12#map=12/32.2975/44.683","Maplink1")</f>
        <v>Maplink1</v>
      </c>
      <c r="AT307" s="20" t="str">
        <f aca="false">HYPERLINK("https://www.google.iq/maps/search/+32.2975,44.683/@32.2975,44.683,14z?hl=en","Maplink2")</f>
        <v>Maplink2</v>
      </c>
      <c r="AU307" s="20" t="str">
        <f aca="false">HYPERLINK("http://www.bing.com/maps/?lvl=14&amp;sty=h&amp;cp=32.2975~44.683&amp;sp=point.32.2975_44.683","Maplink3")</f>
        <v>Maplink3</v>
      </c>
    </row>
    <row r="308" customFormat="false" ht="15" hidden="false" customHeight="true" outlineLevel="0" collapsed="false">
      <c r="A308" s="15" t="n">
        <v>6361</v>
      </c>
      <c r="B308" s="16" t="s">
        <v>16</v>
      </c>
      <c r="C308" s="16" t="s">
        <v>608</v>
      </c>
      <c r="D308" s="16" t="s">
        <v>633</v>
      </c>
      <c r="E308" s="17" t="s">
        <v>634</v>
      </c>
      <c r="F308" s="16" t="n">
        <v>32.29928053</v>
      </c>
      <c r="G308" s="16" t="n">
        <v>44.68993932</v>
      </c>
      <c r="H308" s="18" t="n">
        <v>73</v>
      </c>
      <c r="I308" s="18" t="n">
        <v>438</v>
      </c>
      <c r="J308" s="19" t="n">
        <v>10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 t="n">
        <v>63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 t="n">
        <v>43</v>
      </c>
      <c r="AI308" s="19"/>
      <c r="AJ308" s="19" t="n">
        <v>30</v>
      </c>
      <c r="AK308" s="19"/>
      <c r="AL308" s="19"/>
      <c r="AM308" s="19" t="n">
        <v>50</v>
      </c>
      <c r="AN308" s="19" t="n">
        <v>13</v>
      </c>
      <c r="AO308" s="19" t="n">
        <v>5</v>
      </c>
      <c r="AP308" s="19" t="n">
        <v>5</v>
      </c>
      <c r="AQ308" s="19"/>
      <c r="AR308" s="19"/>
      <c r="AS308" s="20" t="str">
        <f aca="false">HYPERLINK("http://www.openstreetmap.org/?mlat=32.2993&amp;mlon=44.6899&amp;zoom=12#map=12/32.2993/44.6899","Maplink1")</f>
        <v>Maplink1</v>
      </c>
      <c r="AT308" s="20" t="str">
        <f aca="false">HYPERLINK("https://www.google.iq/maps/search/+32.2993,44.6899/@32.2993,44.6899,14z?hl=en","Maplink2")</f>
        <v>Maplink2</v>
      </c>
      <c r="AU308" s="20" t="str">
        <f aca="false">HYPERLINK("http://www.bing.com/maps/?lvl=14&amp;sty=h&amp;cp=32.2993~44.6899&amp;sp=point.32.2993_44.6899","Maplink3")</f>
        <v>Maplink3</v>
      </c>
    </row>
    <row r="309" customFormat="false" ht="15" hidden="false" customHeight="true" outlineLevel="0" collapsed="false">
      <c r="A309" s="15" t="n">
        <v>25593</v>
      </c>
      <c r="B309" s="16" t="s">
        <v>16</v>
      </c>
      <c r="C309" s="16" t="s">
        <v>608</v>
      </c>
      <c r="D309" s="16" t="s">
        <v>635</v>
      </c>
      <c r="E309" s="17" t="s">
        <v>636</v>
      </c>
      <c r="F309" s="16" t="n">
        <v>32.30192</v>
      </c>
      <c r="G309" s="16" t="n">
        <v>44.678507</v>
      </c>
      <c r="H309" s="18" t="n">
        <v>2</v>
      </c>
      <c r="I309" s="18" t="n">
        <v>12</v>
      </c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 t="n">
        <v>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 t="n">
        <v>2</v>
      </c>
      <c r="AI309" s="19"/>
      <c r="AJ309" s="19"/>
      <c r="AK309" s="19"/>
      <c r="AL309" s="19"/>
      <c r="AM309" s="19" t="n">
        <v>2</v>
      </c>
      <c r="AN309" s="19"/>
      <c r="AO309" s="19"/>
      <c r="AP309" s="19"/>
      <c r="AQ309" s="19"/>
      <c r="AR309" s="19"/>
      <c r="AS309" s="20" t="str">
        <f aca="false">HYPERLINK("http://www.openstreetmap.org/?mlat=32.3019&amp;mlon=44.6785&amp;zoom=12#map=12/32.3019/44.6785","Maplink1")</f>
        <v>Maplink1</v>
      </c>
      <c r="AT309" s="20" t="str">
        <f aca="false">HYPERLINK("https://www.google.iq/maps/search/+32.3019,44.6785/@32.3019,44.6785,14z?hl=en","Maplink2")</f>
        <v>Maplink2</v>
      </c>
      <c r="AU309" s="20" t="str">
        <f aca="false">HYPERLINK("http://www.bing.com/maps/?lvl=14&amp;sty=h&amp;cp=32.3019~44.6785&amp;sp=point.32.3019_44.6785","Maplink3")</f>
        <v>Maplink3</v>
      </c>
    </row>
    <row r="310" customFormat="false" ht="15" hidden="false" customHeight="true" outlineLevel="0" collapsed="false">
      <c r="A310" s="15" t="n">
        <v>25592</v>
      </c>
      <c r="B310" s="16" t="s">
        <v>16</v>
      </c>
      <c r="C310" s="16" t="s">
        <v>608</v>
      </c>
      <c r="D310" s="16" t="s">
        <v>637</v>
      </c>
      <c r="E310" s="17" t="s">
        <v>638</v>
      </c>
      <c r="F310" s="16" t="n">
        <v>32.28530027</v>
      </c>
      <c r="G310" s="16" t="n">
        <v>44.68760144</v>
      </c>
      <c r="H310" s="18" t="n">
        <v>6</v>
      </c>
      <c r="I310" s="18" t="n">
        <v>36</v>
      </c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 t="n">
        <v>6</v>
      </c>
      <c r="W310" s="19"/>
      <c r="X310" s="19"/>
      <c r="Y310" s="19"/>
      <c r="Z310" s="19"/>
      <c r="AA310" s="19"/>
      <c r="AB310" s="19"/>
      <c r="AC310" s="19" t="n">
        <v>6</v>
      </c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 t="n">
        <v>6</v>
      </c>
      <c r="AO310" s="19"/>
      <c r="AP310" s="19"/>
      <c r="AQ310" s="19"/>
      <c r="AR310" s="19"/>
      <c r="AS310" s="20" t="str">
        <f aca="false">HYPERLINK("http://www.openstreetmap.org/?mlat=32.2853&amp;mlon=44.6876&amp;zoom=12#map=12/32.2853/44.6876","Maplink1")</f>
        <v>Maplink1</v>
      </c>
      <c r="AT310" s="20" t="str">
        <f aca="false">HYPERLINK("https://www.google.iq/maps/search/+32.2853,44.6876/@32.2853,44.6876,14z?hl=en","Maplink2")</f>
        <v>Maplink2</v>
      </c>
      <c r="AU310" s="20" t="str">
        <f aca="false">HYPERLINK("http://www.bing.com/maps/?lvl=14&amp;sty=h&amp;cp=32.2853~44.6876&amp;sp=point.32.2853_44.6876","Maplink3")</f>
        <v>Maplink3</v>
      </c>
    </row>
    <row r="311" customFormat="false" ht="15" hidden="false" customHeight="true" outlineLevel="0" collapsed="false">
      <c r="A311" s="15" t="n">
        <v>25591</v>
      </c>
      <c r="B311" s="16" t="s">
        <v>16</v>
      </c>
      <c r="C311" s="16" t="s">
        <v>608</v>
      </c>
      <c r="D311" s="16" t="s">
        <v>639</v>
      </c>
      <c r="E311" s="17" t="s">
        <v>640</v>
      </c>
      <c r="F311" s="16" t="n">
        <v>32.30579444</v>
      </c>
      <c r="G311" s="16" t="n">
        <v>44.67604849</v>
      </c>
      <c r="H311" s="18" t="n">
        <v>14</v>
      </c>
      <c r="I311" s="18" t="n">
        <v>84</v>
      </c>
      <c r="J311" s="19" t="n">
        <v>1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 t="n">
        <v>13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 t="n">
        <v>14</v>
      </c>
      <c r="AI311" s="19"/>
      <c r="AJ311" s="19"/>
      <c r="AK311" s="19"/>
      <c r="AL311" s="19"/>
      <c r="AM311" s="19" t="n">
        <v>13</v>
      </c>
      <c r="AN311" s="19"/>
      <c r="AO311" s="19" t="n">
        <v>1</v>
      </c>
      <c r="AP311" s="19"/>
      <c r="AQ311" s="19"/>
      <c r="AR311" s="19"/>
      <c r="AS311" s="20" t="str">
        <f aca="false">HYPERLINK("http://www.openstreetmap.org/?mlat=32.3058&amp;mlon=44.676&amp;zoom=12#map=12/32.3058/44.676","Maplink1")</f>
        <v>Maplink1</v>
      </c>
      <c r="AT311" s="20" t="str">
        <f aca="false">HYPERLINK("https://www.google.iq/maps/search/+32.3058,44.676/@32.3058,44.676,14z?hl=en","Maplink2")</f>
        <v>Maplink2</v>
      </c>
      <c r="AU311" s="20" t="str">
        <f aca="false">HYPERLINK("http://www.bing.com/maps/?lvl=14&amp;sty=h&amp;cp=32.3058~44.676&amp;sp=point.32.3058_44.676","Maplink3")</f>
        <v>Maplink3</v>
      </c>
    </row>
    <row r="312" customFormat="false" ht="15" hidden="false" customHeight="true" outlineLevel="0" collapsed="false">
      <c r="A312" s="15" t="n">
        <v>6679</v>
      </c>
      <c r="B312" s="16" t="s">
        <v>16</v>
      </c>
      <c r="C312" s="16" t="s">
        <v>608</v>
      </c>
      <c r="D312" s="16" t="s">
        <v>641</v>
      </c>
      <c r="E312" s="17" t="s">
        <v>642</v>
      </c>
      <c r="F312" s="16" t="n">
        <v>32.28808117</v>
      </c>
      <c r="G312" s="16" t="n">
        <v>44.68437608</v>
      </c>
      <c r="H312" s="18" t="n">
        <v>14</v>
      </c>
      <c r="I312" s="18" t="n">
        <v>84</v>
      </c>
      <c r="J312" s="19" t="n">
        <v>1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 t="n">
        <v>11</v>
      </c>
      <c r="W312" s="19"/>
      <c r="X312" s="19" t="n">
        <v>2</v>
      </c>
      <c r="Y312" s="19"/>
      <c r="Z312" s="19"/>
      <c r="AA312" s="19"/>
      <c r="AB312" s="19"/>
      <c r="AC312" s="19"/>
      <c r="AD312" s="19"/>
      <c r="AE312" s="19"/>
      <c r="AF312" s="19"/>
      <c r="AG312" s="19" t="n">
        <v>4</v>
      </c>
      <c r="AH312" s="19" t="n">
        <v>10</v>
      </c>
      <c r="AI312" s="19"/>
      <c r="AJ312" s="19"/>
      <c r="AK312" s="19"/>
      <c r="AL312" s="19"/>
      <c r="AM312" s="19" t="n">
        <v>13</v>
      </c>
      <c r="AN312" s="19"/>
      <c r="AO312" s="19" t="n">
        <v>1</v>
      </c>
      <c r="AP312" s="19"/>
      <c r="AQ312" s="19"/>
      <c r="AR312" s="19"/>
      <c r="AS312" s="20" t="str">
        <f aca="false">HYPERLINK("http://www.openstreetmap.org/?mlat=32.2881&amp;mlon=44.6844&amp;zoom=12#map=12/32.2881/44.6844","Maplink1")</f>
        <v>Maplink1</v>
      </c>
      <c r="AT312" s="20" t="str">
        <f aca="false">HYPERLINK("https://www.google.iq/maps/search/+32.2881,44.6844/@32.2881,44.6844,14z?hl=en","Maplink2")</f>
        <v>Maplink2</v>
      </c>
      <c r="AU312" s="20" t="str">
        <f aca="false">HYPERLINK("http://www.bing.com/maps/?lvl=14&amp;sty=h&amp;cp=32.2881~44.6844&amp;sp=point.32.2881_44.6844","Maplink3")</f>
        <v>Maplink3</v>
      </c>
    </row>
    <row r="313" customFormat="false" ht="15" hidden="false" customHeight="true" outlineLevel="0" collapsed="false">
      <c r="A313" s="15" t="n">
        <v>24835</v>
      </c>
      <c r="B313" s="16" t="s">
        <v>16</v>
      </c>
      <c r="C313" s="16" t="s">
        <v>608</v>
      </c>
      <c r="D313" s="16" t="s">
        <v>643</v>
      </c>
      <c r="E313" s="17" t="s">
        <v>644</v>
      </c>
      <c r="F313" s="16" t="n">
        <v>32.36392918</v>
      </c>
      <c r="G313" s="16" t="n">
        <v>44.6138536</v>
      </c>
      <c r="H313" s="18" t="n">
        <v>14</v>
      </c>
      <c r="I313" s="18" t="n">
        <v>84</v>
      </c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 t="n">
        <v>14</v>
      </c>
      <c r="W313" s="19"/>
      <c r="X313" s="19"/>
      <c r="Y313" s="19"/>
      <c r="Z313" s="19"/>
      <c r="AA313" s="19"/>
      <c r="AB313" s="19"/>
      <c r="AC313" s="19" t="n">
        <v>4</v>
      </c>
      <c r="AD313" s="19"/>
      <c r="AE313" s="19"/>
      <c r="AF313" s="19"/>
      <c r="AG313" s="19" t="n">
        <v>10</v>
      </c>
      <c r="AH313" s="19"/>
      <c r="AI313" s="19"/>
      <c r="AJ313" s="19"/>
      <c r="AK313" s="19"/>
      <c r="AL313" s="19"/>
      <c r="AM313" s="19"/>
      <c r="AN313" s="19" t="n">
        <v>14</v>
      </c>
      <c r="AO313" s="19"/>
      <c r="AP313" s="19"/>
      <c r="AQ313" s="19"/>
      <c r="AR313" s="19"/>
      <c r="AS313" s="20" t="str">
        <f aca="false">HYPERLINK("http://www.openstreetmap.org/?mlat=32.3639&amp;mlon=44.6139&amp;zoom=12#map=12/32.3639/44.6139","Maplink1")</f>
        <v>Maplink1</v>
      </c>
      <c r="AT313" s="20" t="str">
        <f aca="false">HYPERLINK("https://www.google.iq/maps/search/+32.3639,44.6139/@32.3639,44.6139,14z?hl=en","Maplink2")</f>
        <v>Maplink2</v>
      </c>
      <c r="AU313" s="20" t="str">
        <f aca="false">HYPERLINK("http://www.bing.com/maps/?lvl=14&amp;sty=h&amp;cp=32.3639~44.6139&amp;sp=point.32.3639_44.6139","Maplink3")</f>
        <v>Maplink3</v>
      </c>
    </row>
    <row r="314" customFormat="false" ht="15" hidden="false" customHeight="true" outlineLevel="0" collapsed="false">
      <c r="A314" s="15" t="n">
        <v>6693</v>
      </c>
      <c r="B314" s="16" t="s">
        <v>16</v>
      </c>
      <c r="C314" s="16" t="s">
        <v>608</v>
      </c>
      <c r="D314" s="16" t="s">
        <v>645</v>
      </c>
      <c r="E314" s="17" t="s">
        <v>646</v>
      </c>
      <c r="F314" s="16" t="n">
        <v>32.29612721</v>
      </c>
      <c r="G314" s="16" t="n">
        <v>44.68029887</v>
      </c>
      <c r="H314" s="18" t="n">
        <v>4</v>
      </c>
      <c r="I314" s="18" t="n">
        <v>24</v>
      </c>
      <c r="J314" s="19" t="n">
        <v>3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 t="n">
        <v>1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 t="n">
        <v>4</v>
      </c>
      <c r="AI314" s="19"/>
      <c r="AJ314" s="19"/>
      <c r="AK314" s="19"/>
      <c r="AL314" s="19"/>
      <c r="AM314" s="19" t="n">
        <v>1</v>
      </c>
      <c r="AN314" s="19"/>
      <c r="AO314" s="19" t="n">
        <v>1</v>
      </c>
      <c r="AP314" s="19" t="n">
        <v>2</v>
      </c>
      <c r="AQ314" s="19"/>
      <c r="AR314" s="19"/>
      <c r="AS314" s="20" t="str">
        <f aca="false">HYPERLINK("http://www.openstreetmap.org/?mlat=32.2961&amp;mlon=44.6803&amp;zoom=12#map=12/32.2961/44.6803","Maplink1")</f>
        <v>Maplink1</v>
      </c>
      <c r="AT314" s="20" t="str">
        <f aca="false">HYPERLINK("https://www.google.iq/maps/search/+32.2961,44.6803/@32.2961,44.6803,14z?hl=en","Maplink2")</f>
        <v>Maplink2</v>
      </c>
      <c r="AU314" s="20" t="str">
        <f aca="false">HYPERLINK("http://www.bing.com/maps/?lvl=14&amp;sty=h&amp;cp=32.2961~44.6803&amp;sp=point.32.2961_44.6803","Maplink3")</f>
        <v>Maplink3</v>
      </c>
    </row>
    <row r="315" customFormat="false" ht="15" hidden="false" customHeight="true" outlineLevel="0" collapsed="false">
      <c r="A315" s="15" t="n">
        <v>25590</v>
      </c>
      <c r="B315" s="16" t="s">
        <v>16</v>
      </c>
      <c r="C315" s="16" t="s">
        <v>608</v>
      </c>
      <c r="D315" s="16" t="s">
        <v>647</v>
      </c>
      <c r="E315" s="17" t="s">
        <v>648</v>
      </c>
      <c r="F315" s="16" t="n">
        <v>32.3292688</v>
      </c>
      <c r="G315" s="16" t="n">
        <v>44.91755367</v>
      </c>
      <c r="H315" s="18" t="n">
        <v>2</v>
      </c>
      <c r="I315" s="18" t="n">
        <v>12</v>
      </c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 t="n">
        <v>2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 t="n">
        <v>2</v>
      </c>
      <c r="AI315" s="19"/>
      <c r="AJ315" s="19"/>
      <c r="AK315" s="19"/>
      <c r="AL315" s="19"/>
      <c r="AM315" s="19" t="n">
        <v>2</v>
      </c>
      <c r="AN315" s="19"/>
      <c r="AO315" s="19"/>
      <c r="AP315" s="19"/>
      <c r="AQ315" s="19"/>
      <c r="AR315" s="19"/>
      <c r="AS315" s="20" t="str">
        <f aca="false">HYPERLINK("http://www.openstreetmap.org/?mlat=32.3293&amp;mlon=44.9176&amp;zoom=12#map=12/32.3293/44.9176","Maplink1")</f>
        <v>Maplink1</v>
      </c>
      <c r="AT315" s="20" t="str">
        <f aca="false">HYPERLINK("https://www.google.iq/maps/search/+32.3293,44.9176/@32.3293,44.9176,14z?hl=en","Maplink2")</f>
        <v>Maplink2</v>
      </c>
      <c r="AU315" s="20" t="str">
        <f aca="false">HYPERLINK("http://www.bing.com/maps/?lvl=14&amp;sty=h&amp;cp=32.3293~44.9176&amp;sp=point.32.3293_44.9176","Maplink3")</f>
        <v>Maplink3</v>
      </c>
    </row>
    <row r="316" customFormat="false" ht="15" hidden="false" customHeight="true" outlineLevel="0" collapsed="false">
      <c r="A316" s="15" t="n">
        <v>25594</v>
      </c>
      <c r="B316" s="16" t="s">
        <v>16</v>
      </c>
      <c r="C316" s="16" t="s">
        <v>608</v>
      </c>
      <c r="D316" s="16" t="s">
        <v>649</v>
      </c>
      <c r="E316" s="17" t="s">
        <v>650</v>
      </c>
      <c r="F316" s="16" t="n">
        <v>32.32325147</v>
      </c>
      <c r="G316" s="16" t="n">
        <v>44.87794977</v>
      </c>
      <c r="H316" s="18" t="n">
        <v>7</v>
      </c>
      <c r="I316" s="18" t="n">
        <v>42</v>
      </c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 t="n">
        <v>7</v>
      </c>
      <c r="W316" s="19"/>
      <c r="X316" s="19"/>
      <c r="Y316" s="19"/>
      <c r="Z316" s="19"/>
      <c r="AA316" s="19"/>
      <c r="AB316" s="19"/>
      <c r="AC316" s="19" t="n">
        <v>2</v>
      </c>
      <c r="AD316" s="19"/>
      <c r="AE316" s="19"/>
      <c r="AF316" s="19"/>
      <c r="AG316" s="19"/>
      <c r="AH316" s="19" t="n">
        <v>5</v>
      </c>
      <c r="AI316" s="19"/>
      <c r="AJ316" s="19"/>
      <c r="AK316" s="19"/>
      <c r="AL316" s="19"/>
      <c r="AM316" s="19" t="n">
        <v>7</v>
      </c>
      <c r="AN316" s="19"/>
      <c r="AO316" s="19"/>
      <c r="AP316" s="19"/>
      <c r="AQ316" s="19"/>
      <c r="AR316" s="19"/>
      <c r="AS316" s="20" t="str">
        <f aca="false">HYPERLINK("http://www.openstreetmap.org/?mlat=32.3233&amp;mlon=44.8779&amp;zoom=12#map=12/32.3233/44.8779","Maplink1")</f>
        <v>Maplink1</v>
      </c>
      <c r="AT316" s="20" t="str">
        <f aca="false">HYPERLINK("https://www.google.iq/maps/search/+32.3233,44.8779/@32.3233,44.8779,14z?hl=en","Maplink2")</f>
        <v>Maplink2</v>
      </c>
      <c r="AU316" s="20" t="str">
        <f aca="false">HYPERLINK("http://www.bing.com/maps/?lvl=14&amp;sty=h&amp;cp=32.3233~44.8779&amp;sp=point.32.3233_44.8779","Maplink3")</f>
        <v>Maplink3</v>
      </c>
    </row>
    <row r="317" customFormat="false" ht="15" hidden="false" customHeight="true" outlineLevel="0" collapsed="false">
      <c r="A317" s="15" t="n">
        <v>25589</v>
      </c>
      <c r="B317" s="16" t="s">
        <v>16</v>
      </c>
      <c r="C317" s="16" t="s">
        <v>608</v>
      </c>
      <c r="D317" s="16" t="s">
        <v>651</v>
      </c>
      <c r="E317" s="17" t="s">
        <v>652</v>
      </c>
      <c r="F317" s="16" t="n">
        <v>32.32866412</v>
      </c>
      <c r="G317" s="16" t="n">
        <v>44.87200021</v>
      </c>
      <c r="H317" s="18" t="n">
        <v>8</v>
      </c>
      <c r="I317" s="18" t="n">
        <v>48</v>
      </c>
      <c r="J317" s="19" t="n">
        <v>5</v>
      </c>
      <c r="K317" s="19"/>
      <c r="L317" s="19" t="n">
        <v>3</v>
      </c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 t="n">
        <v>8</v>
      </c>
      <c r="AD317" s="19"/>
      <c r="AE317" s="19"/>
      <c r="AF317" s="19"/>
      <c r="AG317" s="19"/>
      <c r="AH317" s="19"/>
      <c r="AI317" s="19"/>
      <c r="AJ317" s="19"/>
      <c r="AK317" s="19"/>
      <c r="AL317" s="19"/>
      <c r="AM317" s="19" t="n">
        <v>3</v>
      </c>
      <c r="AN317" s="19"/>
      <c r="AO317" s="19" t="n">
        <v>5</v>
      </c>
      <c r="AP317" s="19"/>
      <c r="AQ317" s="19"/>
      <c r="AR317" s="19"/>
      <c r="AS317" s="20" t="str">
        <f aca="false">HYPERLINK("http://www.openstreetmap.org/?mlat=32.3287&amp;mlon=44.872&amp;zoom=12#map=12/32.3287/44.872","Maplink1")</f>
        <v>Maplink1</v>
      </c>
      <c r="AT317" s="20" t="str">
        <f aca="false">HYPERLINK("https://www.google.iq/maps/search/+32.3287,44.872/@32.3287,44.872,14z?hl=en","Maplink2")</f>
        <v>Maplink2</v>
      </c>
      <c r="AU317" s="20" t="str">
        <f aca="false">HYPERLINK("http://www.bing.com/maps/?lvl=14&amp;sty=h&amp;cp=32.3287~44.872&amp;sp=point.32.3287_44.872","Maplink3")</f>
        <v>Maplink3</v>
      </c>
    </row>
    <row r="318" customFormat="false" ht="15" hidden="false" customHeight="true" outlineLevel="0" collapsed="false">
      <c r="A318" s="15" t="n">
        <v>25598</v>
      </c>
      <c r="B318" s="16" t="s">
        <v>16</v>
      </c>
      <c r="C318" s="16" t="s">
        <v>608</v>
      </c>
      <c r="D318" s="16" t="s">
        <v>653</v>
      </c>
      <c r="E318" s="17" t="s">
        <v>654</v>
      </c>
      <c r="F318" s="16" t="n">
        <v>32.18905</v>
      </c>
      <c r="G318" s="16" t="n">
        <v>44.70921</v>
      </c>
      <c r="H318" s="18" t="n">
        <v>5</v>
      </c>
      <c r="I318" s="18" t="n">
        <v>30</v>
      </c>
      <c r="J318" s="19" t="n">
        <v>1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 t="n">
        <v>4</v>
      </c>
      <c r="W318" s="19"/>
      <c r="X318" s="19"/>
      <c r="Y318" s="19"/>
      <c r="Z318" s="19"/>
      <c r="AA318" s="19"/>
      <c r="AB318" s="19"/>
      <c r="AC318" s="19" t="n">
        <v>4</v>
      </c>
      <c r="AD318" s="19"/>
      <c r="AE318" s="19"/>
      <c r="AF318" s="19"/>
      <c r="AG318" s="19"/>
      <c r="AH318" s="19" t="n">
        <v>1</v>
      </c>
      <c r="AI318" s="19"/>
      <c r="AJ318" s="19"/>
      <c r="AK318" s="19"/>
      <c r="AL318" s="19"/>
      <c r="AM318" s="19" t="n">
        <v>4</v>
      </c>
      <c r="AN318" s="19"/>
      <c r="AO318" s="19"/>
      <c r="AP318" s="19" t="n">
        <v>1</v>
      </c>
      <c r="AQ318" s="19"/>
      <c r="AR318" s="19"/>
      <c r="AS318" s="20" t="str">
        <f aca="false">HYPERLINK("http://www.openstreetmap.org/?mlat=32.1891&amp;mlon=44.7092&amp;zoom=12#map=12/32.1891/44.7092","Maplink1")</f>
        <v>Maplink1</v>
      </c>
      <c r="AT318" s="20" t="str">
        <f aca="false">HYPERLINK("https://www.google.iq/maps/search/+32.1891,44.7092/@32.1891,44.7092,14z?hl=en","Maplink2")</f>
        <v>Maplink2</v>
      </c>
      <c r="AU318" s="20" t="str">
        <f aca="false">HYPERLINK("http://www.bing.com/maps/?lvl=14&amp;sty=h&amp;cp=32.1891~44.7092&amp;sp=point.32.1891_44.7092","Maplink3")</f>
        <v>Maplink3</v>
      </c>
    </row>
    <row r="319" customFormat="false" ht="15" hidden="false" customHeight="true" outlineLevel="0" collapsed="false">
      <c r="A319" s="15" t="n">
        <v>25597</v>
      </c>
      <c r="B319" s="16" t="s">
        <v>16</v>
      </c>
      <c r="C319" s="16" t="s">
        <v>608</v>
      </c>
      <c r="D319" s="16" t="s">
        <v>655</v>
      </c>
      <c r="E319" s="17" t="s">
        <v>656</v>
      </c>
      <c r="F319" s="16" t="n">
        <v>32.13816</v>
      </c>
      <c r="G319" s="16" t="n">
        <v>44.74561</v>
      </c>
      <c r="H319" s="18" t="n">
        <v>1</v>
      </c>
      <c r="I319" s="18" t="n">
        <v>6</v>
      </c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 t="n">
        <v>1</v>
      </c>
      <c r="W319" s="19"/>
      <c r="X319" s="19"/>
      <c r="Y319" s="19"/>
      <c r="Z319" s="19"/>
      <c r="AA319" s="19"/>
      <c r="AB319" s="19"/>
      <c r="AC319" s="19" t="n">
        <v>1</v>
      </c>
      <c r="AD319" s="19"/>
      <c r="AE319" s="19"/>
      <c r="AF319" s="19"/>
      <c r="AG319" s="19"/>
      <c r="AH319" s="19"/>
      <c r="AI319" s="19"/>
      <c r="AJ319" s="19"/>
      <c r="AK319" s="19"/>
      <c r="AL319" s="19"/>
      <c r="AM319" s="19" t="n">
        <v>1</v>
      </c>
      <c r="AN319" s="19"/>
      <c r="AO319" s="19"/>
      <c r="AP319" s="19"/>
      <c r="AQ319" s="19"/>
      <c r="AR319" s="19"/>
      <c r="AS319" s="20" t="str">
        <f aca="false">HYPERLINK("http://www.openstreetmap.org/?mlat=32.1382&amp;mlon=44.7456&amp;zoom=12#map=12/32.1382/44.7456","Maplink1")</f>
        <v>Maplink1</v>
      </c>
      <c r="AT319" s="20" t="str">
        <f aca="false">HYPERLINK("https://www.google.iq/maps/search/+32.1382,44.7456/@32.1382,44.7456,14z?hl=en","Maplink2")</f>
        <v>Maplink2</v>
      </c>
      <c r="AU319" s="20" t="str">
        <f aca="false">HYPERLINK("http://www.bing.com/maps/?lvl=14&amp;sty=h&amp;cp=32.1382~44.7456&amp;sp=point.32.1382_44.7456","Maplink3")</f>
        <v>Maplink3</v>
      </c>
    </row>
    <row r="320" customFormat="false" ht="15" hidden="false" customHeight="true" outlineLevel="0" collapsed="false">
      <c r="A320" s="15" t="n">
        <v>25120</v>
      </c>
      <c r="B320" s="16" t="s">
        <v>16</v>
      </c>
      <c r="C320" s="16" t="s">
        <v>608</v>
      </c>
      <c r="D320" s="16" t="s">
        <v>657</v>
      </c>
      <c r="E320" s="17" t="s">
        <v>658</v>
      </c>
      <c r="F320" s="16" t="n">
        <v>32.38091687</v>
      </c>
      <c r="G320" s="16" t="n">
        <v>44.61627681</v>
      </c>
      <c r="H320" s="18" t="n">
        <v>5</v>
      </c>
      <c r="I320" s="18" t="n">
        <v>30</v>
      </c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 t="n">
        <v>5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 t="n">
        <v>2</v>
      </c>
      <c r="AH320" s="19" t="n">
        <v>3</v>
      </c>
      <c r="AI320" s="19"/>
      <c r="AJ320" s="19"/>
      <c r="AK320" s="19"/>
      <c r="AL320" s="19"/>
      <c r="AM320" s="19" t="n">
        <v>5</v>
      </c>
      <c r="AN320" s="19"/>
      <c r="AO320" s="19"/>
      <c r="AP320" s="19"/>
      <c r="AQ320" s="19"/>
      <c r="AR320" s="19"/>
      <c r="AS320" s="20" t="str">
        <f aca="false">HYPERLINK("http://www.openstreetmap.org/?mlat=32.3809&amp;mlon=44.6163&amp;zoom=12#map=12/32.3809/44.6163","Maplink1")</f>
        <v>Maplink1</v>
      </c>
      <c r="AT320" s="20" t="str">
        <f aca="false">HYPERLINK("https://www.google.iq/maps/search/+32.3809,44.6163/@32.3809,44.6163,14z?hl=en","Maplink2")</f>
        <v>Maplink2</v>
      </c>
      <c r="AU320" s="20" t="str">
        <f aca="false">HYPERLINK("http://www.bing.com/maps/?lvl=14&amp;sty=h&amp;cp=32.3809~44.6163&amp;sp=point.32.3809_44.6163","Maplink3")</f>
        <v>Maplink3</v>
      </c>
    </row>
    <row r="321" customFormat="false" ht="15" hidden="false" customHeight="true" outlineLevel="0" collapsed="false">
      <c r="A321" s="15" t="n">
        <v>24710</v>
      </c>
      <c r="B321" s="16" t="s">
        <v>16</v>
      </c>
      <c r="C321" s="16" t="s">
        <v>608</v>
      </c>
      <c r="D321" s="16" t="s">
        <v>659</v>
      </c>
      <c r="E321" s="17" t="s">
        <v>660</v>
      </c>
      <c r="F321" s="16" t="n">
        <v>32.3590971</v>
      </c>
      <c r="G321" s="16" t="n">
        <v>44.80326517</v>
      </c>
      <c r="H321" s="18" t="n">
        <v>54</v>
      </c>
      <c r="I321" s="18" t="n">
        <v>324</v>
      </c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 t="n">
        <v>54</v>
      </c>
      <c r="W321" s="19"/>
      <c r="X321" s="19"/>
      <c r="Y321" s="19"/>
      <c r="Z321" s="19"/>
      <c r="AA321" s="19"/>
      <c r="AB321" s="19"/>
      <c r="AC321" s="19" t="n">
        <v>5</v>
      </c>
      <c r="AD321" s="19"/>
      <c r="AE321" s="19"/>
      <c r="AF321" s="19"/>
      <c r="AG321" s="19" t="n">
        <v>49</v>
      </c>
      <c r="AH321" s="19"/>
      <c r="AI321" s="19"/>
      <c r="AJ321" s="19"/>
      <c r="AK321" s="19"/>
      <c r="AL321" s="19"/>
      <c r="AM321" s="19" t="n">
        <v>8</v>
      </c>
      <c r="AN321" s="19" t="n">
        <v>46</v>
      </c>
      <c r="AO321" s="19"/>
      <c r="AP321" s="19"/>
      <c r="AQ321" s="19"/>
      <c r="AR321" s="19"/>
      <c r="AS321" s="20" t="str">
        <f aca="false">HYPERLINK("http://www.openstreetmap.org/?mlat=32.3591&amp;mlon=44.8033&amp;zoom=12#map=12/32.3591/44.8033","Maplink1")</f>
        <v>Maplink1</v>
      </c>
      <c r="AT321" s="20" t="str">
        <f aca="false">HYPERLINK("https://www.google.iq/maps/search/+32.3591,44.8033/@32.3591,44.8033,14z?hl=en","Maplink2")</f>
        <v>Maplink2</v>
      </c>
      <c r="AU321" s="20" t="str">
        <f aca="false">HYPERLINK("http://www.bing.com/maps/?lvl=14&amp;sty=h&amp;cp=32.3591~44.8033&amp;sp=point.32.3591_44.8033","Maplink3")</f>
        <v>Maplink3</v>
      </c>
    </row>
    <row r="322" customFormat="false" ht="15" hidden="false" customHeight="true" outlineLevel="0" collapsed="false">
      <c r="A322" s="15" t="n">
        <v>6783</v>
      </c>
      <c r="B322" s="16" t="s">
        <v>16</v>
      </c>
      <c r="C322" s="16" t="s">
        <v>608</v>
      </c>
      <c r="D322" s="16" t="s">
        <v>661</v>
      </c>
      <c r="E322" s="17" t="s">
        <v>662</v>
      </c>
      <c r="F322" s="16" t="n">
        <v>32.37444491</v>
      </c>
      <c r="G322" s="16" t="n">
        <v>44.54112047</v>
      </c>
      <c r="H322" s="18" t="n">
        <v>60</v>
      </c>
      <c r="I322" s="18" t="n">
        <v>360</v>
      </c>
      <c r="J322" s="19" t="n">
        <v>5</v>
      </c>
      <c r="K322" s="19"/>
      <c r="L322" s="19" t="n">
        <v>2</v>
      </c>
      <c r="M322" s="19"/>
      <c r="N322" s="19"/>
      <c r="O322" s="19"/>
      <c r="P322" s="19"/>
      <c r="Q322" s="19"/>
      <c r="R322" s="19"/>
      <c r="S322" s="19"/>
      <c r="T322" s="19"/>
      <c r="U322" s="19"/>
      <c r="V322" s="19" t="n">
        <v>51</v>
      </c>
      <c r="W322" s="19"/>
      <c r="X322" s="19" t="n">
        <v>2</v>
      </c>
      <c r="Y322" s="19"/>
      <c r="Z322" s="19"/>
      <c r="AA322" s="19"/>
      <c r="AB322" s="19"/>
      <c r="AC322" s="19" t="n">
        <v>10</v>
      </c>
      <c r="AD322" s="19"/>
      <c r="AE322" s="19"/>
      <c r="AF322" s="19"/>
      <c r="AG322" s="19" t="n">
        <v>25</v>
      </c>
      <c r="AH322" s="19" t="n">
        <v>25</v>
      </c>
      <c r="AI322" s="19"/>
      <c r="AJ322" s="19"/>
      <c r="AK322" s="19"/>
      <c r="AL322" s="19"/>
      <c r="AM322" s="19" t="n">
        <v>43</v>
      </c>
      <c r="AN322" s="19" t="n">
        <v>12</v>
      </c>
      <c r="AO322" s="19" t="n">
        <v>5</v>
      </c>
      <c r="AP322" s="19"/>
      <c r="AQ322" s="19"/>
      <c r="AR322" s="19"/>
      <c r="AS322" s="20" t="str">
        <f aca="false">HYPERLINK("http://www.openstreetmap.org/?mlat=32.3744&amp;mlon=44.5411&amp;zoom=12#map=12/32.3744/44.5411","Maplink1")</f>
        <v>Maplink1</v>
      </c>
      <c r="AT322" s="20" t="str">
        <f aca="false">HYPERLINK("https://www.google.iq/maps/search/+32.3744,44.5411/@32.3744,44.5411,14z?hl=en","Maplink2")</f>
        <v>Maplink2</v>
      </c>
      <c r="AU322" s="20" t="str">
        <f aca="false">HYPERLINK("http://www.bing.com/maps/?lvl=14&amp;sty=h&amp;cp=32.3744~44.5411&amp;sp=point.32.3744_44.5411","Maplink3")</f>
        <v>Maplink3</v>
      </c>
    </row>
    <row r="323" customFormat="false" ht="15" hidden="false" customHeight="true" outlineLevel="0" collapsed="false">
      <c r="A323" s="15" t="n">
        <v>6640</v>
      </c>
      <c r="B323" s="16" t="s">
        <v>16</v>
      </c>
      <c r="C323" s="16" t="s">
        <v>608</v>
      </c>
      <c r="D323" s="16" t="s">
        <v>663</v>
      </c>
      <c r="E323" s="17" t="s">
        <v>664</v>
      </c>
      <c r="F323" s="16" t="n">
        <v>32.276111</v>
      </c>
      <c r="G323" s="16" t="n">
        <v>44.689167</v>
      </c>
      <c r="H323" s="18" t="n">
        <v>20</v>
      </c>
      <c r="I323" s="18" t="n">
        <v>120</v>
      </c>
      <c r="J323" s="19" t="n">
        <v>5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 t="n">
        <v>15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 t="n">
        <v>13</v>
      </c>
      <c r="AH323" s="19" t="n">
        <v>7</v>
      </c>
      <c r="AI323" s="19"/>
      <c r="AJ323" s="19"/>
      <c r="AK323" s="19"/>
      <c r="AL323" s="19"/>
      <c r="AM323" s="19" t="n">
        <v>8</v>
      </c>
      <c r="AN323" s="19" t="n">
        <v>7</v>
      </c>
      <c r="AO323" s="19" t="n">
        <v>5</v>
      </c>
      <c r="AP323" s="19"/>
      <c r="AQ323" s="19"/>
      <c r="AR323" s="19"/>
      <c r="AS323" s="20" t="str">
        <f aca="false">HYPERLINK("http://www.openstreetmap.org/?mlat=32.2761&amp;mlon=44.6892&amp;zoom=12#map=12/32.2761/44.6892","Maplink1")</f>
        <v>Maplink1</v>
      </c>
      <c r="AT323" s="20" t="str">
        <f aca="false">HYPERLINK("https://www.google.iq/maps/search/+32.2761,44.6892/@32.2761,44.6892,14z?hl=en","Maplink2")</f>
        <v>Maplink2</v>
      </c>
      <c r="AU323" s="20" t="str">
        <f aca="false">HYPERLINK("http://www.bing.com/maps/?lvl=14&amp;sty=h&amp;cp=32.2761~44.6892&amp;sp=point.32.2761_44.6892","Maplink3")</f>
        <v>Maplink3</v>
      </c>
    </row>
    <row r="324" customFormat="false" ht="15" hidden="false" customHeight="true" outlineLevel="0" collapsed="false">
      <c r="A324" s="15" t="n">
        <v>21467</v>
      </c>
      <c r="B324" s="16" t="s">
        <v>16</v>
      </c>
      <c r="C324" s="16" t="s">
        <v>608</v>
      </c>
      <c r="D324" s="16" t="s">
        <v>665</v>
      </c>
      <c r="E324" s="17" t="s">
        <v>666</v>
      </c>
      <c r="F324" s="16" t="n">
        <v>32.43855289</v>
      </c>
      <c r="G324" s="16" t="n">
        <v>44.79022871</v>
      </c>
      <c r="H324" s="18" t="n">
        <v>8</v>
      </c>
      <c r="I324" s="18" t="n">
        <v>48</v>
      </c>
      <c r="J324" s="19" t="n">
        <v>8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 t="n">
        <v>8</v>
      </c>
      <c r="AI324" s="19"/>
      <c r="AJ324" s="19"/>
      <c r="AK324" s="19"/>
      <c r="AL324" s="19"/>
      <c r="AM324" s="19"/>
      <c r="AN324" s="19" t="n">
        <v>2</v>
      </c>
      <c r="AO324" s="19" t="n">
        <v>6</v>
      </c>
      <c r="AP324" s="19"/>
      <c r="AQ324" s="19"/>
      <c r="AR324" s="19"/>
      <c r="AS324" s="20" t="str">
        <f aca="false">HYPERLINK("http://www.openstreetmap.org/?mlat=32.4386&amp;mlon=44.7902&amp;zoom=12#map=12/32.4386/44.7902","Maplink1")</f>
        <v>Maplink1</v>
      </c>
      <c r="AT324" s="20" t="str">
        <f aca="false">HYPERLINK("https://www.google.iq/maps/search/+32.4386,44.7902/@32.4386,44.7902,14z?hl=en","Maplink2")</f>
        <v>Maplink2</v>
      </c>
      <c r="AU324" s="20" t="str">
        <f aca="false">HYPERLINK("http://www.bing.com/maps/?lvl=14&amp;sty=h&amp;cp=32.4386~44.7902&amp;sp=point.32.4386_44.7902","Maplink3")</f>
        <v>Maplink3</v>
      </c>
    </row>
    <row r="325" customFormat="false" ht="15" hidden="false" customHeight="true" outlineLevel="0" collapsed="false">
      <c r="A325" s="15" t="n">
        <v>6769</v>
      </c>
      <c r="B325" s="16" t="s">
        <v>16</v>
      </c>
      <c r="C325" s="16" t="s">
        <v>608</v>
      </c>
      <c r="D325" s="16" t="s">
        <v>667</v>
      </c>
      <c r="E325" s="17" t="s">
        <v>668</v>
      </c>
      <c r="F325" s="16" t="n">
        <v>32.37640221</v>
      </c>
      <c r="G325" s="16" t="n">
        <v>44.63432045</v>
      </c>
      <c r="H325" s="18" t="n">
        <v>25</v>
      </c>
      <c r="I325" s="18" t="n">
        <v>150</v>
      </c>
      <c r="J325" s="19" t="n">
        <v>2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 t="n">
        <v>23</v>
      </c>
      <c r="W325" s="19"/>
      <c r="X325" s="19"/>
      <c r="Y325" s="19"/>
      <c r="Z325" s="19"/>
      <c r="AA325" s="19"/>
      <c r="AB325" s="19"/>
      <c r="AC325" s="19" t="n">
        <v>21</v>
      </c>
      <c r="AD325" s="19"/>
      <c r="AE325" s="19"/>
      <c r="AF325" s="19"/>
      <c r="AG325" s="19"/>
      <c r="AH325" s="19" t="n">
        <v>2</v>
      </c>
      <c r="AI325" s="19" t="n">
        <v>2</v>
      </c>
      <c r="AJ325" s="19"/>
      <c r="AK325" s="19"/>
      <c r="AL325" s="19"/>
      <c r="AM325" s="19" t="n">
        <v>23</v>
      </c>
      <c r="AN325" s="19"/>
      <c r="AO325" s="19"/>
      <c r="AP325" s="19" t="n">
        <v>2</v>
      </c>
      <c r="AQ325" s="19"/>
      <c r="AR325" s="19"/>
      <c r="AS325" s="20" t="str">
        <f aca="false">HYPERLINK("http://www.openstreetmap.org/?mlat=32.3764&amp;mlon=44.6343&amp;zoom=12#map=12/32.3764/44.6343","Maplink1")</f>
        <v>Maplink1</v>
      </c>
      <c r="AT325" s="20" t="str">
        <f aca="false">HYPERLINK("https://www.google.iq/maps/search/+32.3764,44.6343/@32.3764,44.6343,14z?hl=en","Maplink2")</f>
        <v>Maplink2</v>
      </c>
      <c r="AU325" s="20" t="str">
        <f aca="false">HYPERLINK("http://www.bing.com/maps/?lvl=14&amp;sty=h&amp;cp=32.3764~44.6343&amp;sp=point.32.3764_44.6343","Maplink3")</f>
        <v>Maplink3</v>
      </c>
    </row>
    <row r="326" customFormat="false" ht="15" hidden="false" customHeight="true" outlineLevel="0" collapsed="false">
      <c r="A326" s="15" t="n">
        <v>6793</v>
      </c>
      <c r="B326" s="16" t="s">
        <v>16</v>
      </c>
      <c r="C326" s="16" t="s">
        <v>608</v>
      </c>
      <c r="D326" s="16" t="s">
        <v>669</v>
      </c>
      <c r="E326" s="17" t="s">
        <v>670</v>
      </c>
      <c r="F326" s="16" t="n">
        <v>32.3898078</v>
      </c>
      <c r="G326" s="16" t="n">
        <v>44.5774396</v>
      </c>
      <c r="H326" s="18" t="n">
        <v>17</v>
      </c>
      <c r="I326" s="18" t="n">
        <v>102</v>
      </c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 t="n">
        <v>17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 t="n">
        <v>1</v>
      </c>
      <c r="AH326" s="19" t="n">
        <v>16</v>
      </c>
      <c r="AI326" s="19"/>
      <c r="AJ326" s="19"/>
      <c r="AK326" s="19"/>
      <c r="AL326" s="19"/>
      <c r="AM326" s="19" t="n">
        <v>17</v>
      </c>
      <c r="AN326" s="19"/>
      <c r="AO326" s="19"/>
      <c r="AP326" s="19"/>
      <c r="AQ326" s="19"/>
      <c r="AR326" s="19"/>
      <c r="AS326" s="20" t="str">
        <f aca="false">HYPERLINK("http://www.openstreetmap.org/?mlat=32.3898&amp;mlon=44.5774&amp;zoom=12#map=12/32.3898/44.5774","Maplink1")</f>
        <v>Maplink1</v>
      </c>
      <c r="AT326" s="20" t="str">
        <f aca="false">HYPERLINK("https://www.google.iq/maps/search/+32.3898,44.5774/@32.3898,44.5774,14z?hl=en","Maplink2")</f>
        <v>Maplink2</v>
      </c>
      <c r="AU326" s="20" t="str">
        <f aca="false">HYPERLINK("http://www.bing.com/maps/?lvl=14&amp;sty=h&amp;cp=32.3898~44.5774&amp;sp=point.32.3898_44.5774","Maplink3")</f>
        <v>Maplink3</v>
      </c>
    </row>
    <row r="327" customFormat="false" ht="15" hidden="false" customHeight="true" outlineLevel="0" collapsed="false">
      <c r="A327" s="15" t="n">
        <v>7242</v>
      </c>
      <c r="B327" s="16" t="s">
        <v>16</v>
      </c>
      <c r="C327" s="16" t="s">
        <v>608</v>
      </c>
      <c r="D327" s="16" t="s">
        <v>671</v>
      </c>
      <c r="E327" s="17" t="s">
        <v>672</v>
      </c>
      <c r="F327" s="16" t="n">
        <v>32.37761251</v>
      </c>
      <c r="G327" s="16" t="n">
        <v>44.67986712</v>
      </c>
      <c r="H327" s="18" t="n">
        <v>16</v>
      </c>
      <c r="I327" s="18" t="n">
        <v>96</v>
      </c>
      <c r="J327" s="19" t="n">
        <v>2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 t="n">
        <v>14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 t="n">
        <v>16</v>
      </c>
      <c r="AI327" s="19"/>
      <c r="AJ327" s="19"/>
      <c r="AK327" s="19"/>
      <c r="AL327" s="19"/>
      <c r="AM327" s="19" t="n">
        <v>14</v>
      </c>
      <c r="AN327" s="19"/>
      <c r="AO327" s="19" t="n">
        <v>2</v>
      </c>
      <c r="AP327" s="19"/>
      <c r="AQ327" s="19"/>
      <c r="AR327" s="19"/>
      <c r="AS327" s="20" t="str">
        <f aca="false">HYPERLINK("http://www.openstreetmap.org/?mlat=32.3776&amp;mlon=44.6799&amp;zoom=12#map=12/32.3776/44.6799","Maplink1")</f>
        <v>Maplink1</v>
      </c>
      <c r="AT327" s="20" t="str">
        <f aca="false">HYPERLINK("https://www.google.iq/maps/search/+32.3776,44.6799/@32.3776,44.6799,14z?hl=en","Maplink2")</f>
        <v>Maplink2</v>
      </c>
      <c r="AU327" s="20" t="str">
        <f aca="false">HYPERLINK("http://www.bing.com/maps/?lvl=14&amp;sty=h&amp;cp=32.3776~44.6799&amp;sp=point.32.3776_44.6799","Maplink3")</f>
        <v>Maplink3</v>
      </c>
    </row>
    <row r="328" customFormat="false" ht="15" hidden="false" customHeight="true" outlineLevel="0" collapsed="false">
      <c r="A328" s="15" t="n">
        <v>25616</v>
      </c>
      <c r="B328" s="16" t="s">
        <v>16</v>
      </c>
      <c r="C328" s="16" t="s">
        <v>608</v>
      </c>
      <c r="D328" s="16" t="s">
        <v>673</v>
      </c>
      <c r="E328" s="17" t="s">
        <v>674</v>
      </c>
      <c r="F328" s="16" t="n">
        <v>32.19166</v>
      </c>
      <c r="G328" s="16" t="n">
        <v>44.71193</v>
      </c>
      <c r="H328" s="18" t="n">
        <v>12</v>
      </c>
      <c r="I328" s="18" t="n">
        <v>72</v>
      </c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 t="n">
        <v>12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 t="n">
        <v>12</v>
      </c>
      <c r="AI328" s="19"/>
      <c r="AJ328" s="19"/>
      <c r="AK328" s="19"/>
      <c r="AL328" s="19"/>
      <c r="AM328" s="19"/>
      <c r="AN328" s="19" t="n">
        <v>12</v>
      </c>
      <c r="AO328" s="19"/>
      <c r="AP328" s="19"/>
      <c r="AQ328" s="19"/>
      <c r="AR328" s="19"/>
      <c r="AS328" s="20" t="str">
        <f aca="false">HYPERLINK("http://www.openstreetmap.org/?mlat=32.1917&amp;mlon=44.7119&amp;zoom=12#map=12/32.1917/44.7119","Maplink1")</f>
        <v>Maplink1</v>
      </c>
      <c r="AT328" s="20" t="str">
        <f aca="false">HYPERLINK("https://www.google.iq/maps/search/+32.1917,44.7119/@32.1917,44.7119,14z?hl=en","Maplink2")</f>
        <v>Maplink2</v>
      </c>
      <c r="AU328" s="20" t="str">
        <f aca="false">HYPERLINK("http://www.bing.com/maps/?lvl=14&amp;sty=h&amp;cp=32.1917~44.7119&amp;sp=point.32.1917_44.7119","Maplink3")</f>
        <v>Maplink3</v>
      </c>
    </row>
    <row r="329" customFormat="false" ht="15" hidden="false" customHeight="true" outlineLevel="0" collapsed="false">
      <c r="A329" s="15" t="n">
        <v>25615</v>
      </c>
      <c r="B329" s="16" t="s">
        <v>16</v>
      </c>
      <c r="C329" s="16" t="s">
        <v>608</v>
      </c>
      <c r="D329" s="16" t="s">
        <v>675</v>
      </c>
      <c r="E329" s="17" t="s">
        <v>676</v>
      </c>
      <c r="F329" s="16" t="n">
        <v>32.19685</v>
      </c>
      <c r="G329" s="16" t="n">
        <v>44.71468</v>
      </c>
      <c r="H329" s="18" t="n">
        <v>8</v>
      </c>
      <c r="I329" s="18" t="n">
        <v>48</v>
      </c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 t="n">
        <v>8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 t="n">
        <v>8</v>
      </c>
      <c r="AI329" s="19"/>
      <c r="AJ329" s="19"/>
      <c r="AK329" s="19"/>
      <c r="AL329" s="19"/>
      <c r="AM329" s="19"/>
      <c r="AN329" s="19" t="n">
        <v>8</v>
      </c>
      <c r="AO329" s="19"/>
      <c r="AP329" s="19"/>
      <c r="AQ329" s="19"/>
      <c r="AR329" s="19"/>
      <c r="AS329" s="20" t="str">
        <f aca="false">HYPERLINK("http://www.openstreetmap.org/?mlat=32.1968&amp;mlon=44.7147&amp;zoom=12#map=12/32.1968/44.7147","Maplink1")</f>
        <v>Maplink1</v>
      </c>
      <c r="AT329" s="20" t="str">
        <f aca="false">HYPERLINK("https://www.google.iq/maps/search/+32.1968,44.7147/@32.1968,44.7147,14z?hl=en","Maplink2")</f>
        <v>Maplink2</v>
      </c>
      <c r="AU329" s="20" t="str">
        <f aca="false">HYPERLINK("http://www.bing.com/maps/?lvl=14&amp;sty=h&amp;cp=32.1968~44.7147&amp;sp=point.32.1968_44.7147","Maplink3")</f>
        <v>Maplink3</v>
      </c>
    </row>
    <row r="330" customFormat="false" ht="15" hidden="false" customHeight="true" outlineLevel="0" collapsed="false">
      <c r="A330" s="15" t="n">
        <v>24709</v>
      </c>
      <c r="B330" s="16" t="s">
        <v>16</v>
      </c>
      <c r="C330" s="16" t="s">
        <v>608</v>
      </c>
      <c r="D330" s="16" t="s">
        <v>677</v>
      </c>
      <c r="E330" s="17" t="s">
        <v>678</v>
      </c>
      <c r="F330" s="16" t="n">
        <v>32.41893965</v>
      </c>
      <c r="G330" s="16" t="n">
        <v>44.68613955</v>
      </c>
      <c r="H330" s="18" t="n">
        <v>7</v>
      </c>
      <c r="I330" s="18" t="n">
        <v>42</v>
      </c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 t="n">
        <v>7</v>
      </c>
      <c r="W330" s="19"/>
      <c r="X330" s="19"/>
      <c r="Y330" s="19"/>
      <c r="Z330" s="19"/>
      <c r="AA330" s="19"/>
      <c r="AB330" s="19"/>
      <c r="AC330" s="19" t="n">
        <v>7</v>
      </c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 t="n">
        <v>7</v>
      </c>
      <c r="AO330" s="19"/>
      <c r="AP330" s="19"/>
      <c r="AQ330" s="19"/>
      <c r="AR330" s="19"/>
      <c r="AS330" s="20" t="str">
        <f aca="false">HYPERLINK("http://www.openstreetmap.org/?mlat=32.4189&amp;mlon=44.6861&amp;zoom=12#map=12/32.4189/44.6861","Maplink1")</f>
        <v>Maplink1</v>
      </c>
      <c r="AT330" s="20" t="str">
        <f aca="false">HYPERLINK("https://www.google.iq/maps/search/+32.4189,44.6861/@32.4189,44.6861,14z?hl=en","Maplink2")</f>
        <v>Maplink2</v>
      </c>
      <c r="AU330" s="20" t="str">
        <f aca="false">HYPERLINK("http://www.bing.com/maps/?lvl=14&amp;sty=h&amp;cp=32.4189~44.6861&amp;sp=point.32.4189_44.6861","Maplink3")</f>
        <v>Maplink3</v>
      </c>
    </row>
    <row r="331" customFormat="false" ht="15" hidden="false" customHeight="true" outlineLevel="0" collapsed="false">
      <c r="A331" s="15" t="n">
        <v>25453</v>
      </c>
      <c r="B331" s="16" t="s">
        <v>16</v>
      </c>
      <c r="C331" s="16" t="s">
        <v>608</v>
      </c>
      <c r="D331" s="16" t="s">
        <v>679</v>
      </c>
      <c r="E331" s="17" t="s">
        <v>680</v>
      </c>
      <c r="F331" s="16" t="n">
        <v>32.37450081</v>
      </c>
      <c r="G331" s="16" t="n">
        <v>44.76827768</v>
      </c>
      <c r="H331" s="18" t="n">
        <v>13</v>
      </c>
      <c r="I331" s="18" t="n">
        <v>78</v>
      </c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 t="n">
        <v>13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 t="n">
        <v>13</v>
      </c>
      <c r="AH331" s="19"/>
      <c r="AI331" s="19"/>
      <c r="AJ331" s="19"/>
      <c r="AK331" s="19"/>
      <c r="AL331" s="19"/>
      <c r="AM331" s="19" t="n">
        <v>13</v>
      </c>
      <c r="AN331" s="19"/>
      <c r="AO331" s="19"/>
      <c r="AP331" s="19"/>
      <c r="AQ331" s="19"/>
      <c r="AR331" s="19"/>
      <c r="AS331" s="20" t="str">
        <f aca="false">HYPERLINK("http://www.openstreetmap.org/?mlat=32.3745&amp;mlon=44.7683&amp;zoom=12#map=12/32.3745/44.7683","Maplink1")</f>
        <v>Maplink1</v>
      </c>
      <c r="AT331" s="20" t="str">
        <f aca="false">HYPERLINK("https://www.google.iq/maps/search/+32.3745,44.7683/@32.3745,44.7683,14z?hl=en","Maplink2")</f>
        <v>Maplink2</v>
      </c>
      <c r="AU331" s="20" t="str">
        <f aca="false">HYPERLINK("http://www.bing.com/maps/?lvl=14&amp;sty=h&amp;cp=32.3745~44.7683&amp;sp=point.32.3745_44.7683","Maplink3")</f>
        <v>Maplink3</v>
      </c>
    </row>
    <row r="332" customFormat="false" ht="15" hidden="false" customHeight="true" outlineLevel="0" collapsed="false">
      <c r="A332" s="15" t="n">
        <v>23958</v>
      </c>
      <c r="B332" s="16" t="s">
        <v>16</v>
      </c>
      <c r="C332" s="16" t="s">
        <v>608</v>
      </c>
      <c r="D332" s="16" t="s">
        <v>681</v>
      </c>
      <c r="E332" s="17" t="s">
        <v>682</v>
      </c>
      <c r="F332" s="16" t="n">
        <v>32.24935192</v>
      </c>
      <c r="G332" s="16" t="n">
        <v>44.69645214</v>
      </c>
      <c r="H332" s="18" t="n">
        <v>1</v>
      </c>
      <c r="I332" s="18" t="n">
        <v>6</v>
      </c>
      <c r="J332" s="19" t="n">
        <v>1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 t="n">
        <v>1</v>
      </c>
      <c r="AH332" s="19"/>
      <c r="AI332" s="19"/>
      <c r="AJ332" s="19"/>
      <c r="AK332" s="19"/>
      <c r="AL332" s="19"/>
      <c r="AM332" s="19"/>
      <c r="AN332" s="19"/>
      <c r="AO332" s="19"/>
      <c r="AP332" s="19" t="n">
        <v>1</v>
      </c>
      <c r="AQ332" s="19"/>
      <c r="AR332" s="19"/>
      <c r="AS332" s="20" t="str">
        <f aca="false">HYPERLINK("http://www.openstreetmap.org/?mlat=32.2494&amp;mlon=44.6965&amp;zoom=12#map=12/32.2494/44.6965","Maplink1")</f>
        <v>Maplink1</v>
      </c>
      <c r="AT332" s="20" t="str">
        <f aca="false">HYPERLINK("https://www.google.iq/maps/search/+32.2494,44.6965/@32.2494,44.6965,14z?hl=en","Maplink2")</f>
        <v>Maplink2</v>
      </c>
      <c r="AU332" s="20" t="str">
        <f aca="false">HYPERLINK("http://www.bing.com/maps/?lvl=14&amp;sty=h&amp;cp=32.2494~44.6965&amp;sp=point.32.2494_44.6965","Maplink3")</f>
        <v>Maplink3</v>
      </c>
    </row>
    <row r="333" customFormat="false" ht="15" hidden="false" customHeight="true" outlineLevel="0" collapsed="false">
      <c r="A333" s="15" t="n">
        <v>24268</v>
      </c>
      <c r="B333" s="16" t="s">
        <v>16</v>
      </c>
      <c r="C333" s="16" t="s">
        <v>608</v>
      </c>
      <c r="D333" s="16" t="s">
        <v>683</v>
      </c>
      <c r="E333" s="17" t="s">
        <v>684</v>
      </c>
      <c r="F333" s="16" t="n">
        <v>32.37416432</v>
      </c>
      <c r="G333" s="16" t="n">
        <v>44.64656842</v>
      </c>
      <c r="H333" s="18" t="n">
        <v>47</v>
      </c>
      <c r="I333" s="18" t="n">
        <v>282</v>
      </c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 t="n">
        <v>47</v>
      </c>
      <c r="W333" s="19"/>
      <c r="X333" s="19"/>
      <c r="Y333" s="19"/>
      <c r="Z333" s="19"/>
      <c r="AA333" s="19"/>
      <c r="AB333" s="19"/>
      <c r="AC333" s="19" t="n">
        <v>19</v>
      </c>
      <c r="AD333" s="19"/>
      <c r="AE333" s="19"/>
      <c r="AF333" s="19"/>
      <c r="AG333" s="19" t="n">
        <v>5</v>
      </c>
      <c r="AH333" s="19" t="n">
        <v>10</v>
      </c>
      <c r="AI333" s="19"/>
      <c r="AJ333" s="19" t="n">
        <v>13</v>
      </c>
      <c r="AK333" s="19"/>
      <c r="AL333" s="19"/>
      <c r="AM333" s="19" t="n">
        <v>47</v>
      </c>
      <c r="AN333" s="19"/>
      <c r="AO333" s="19"/>
      <c r="AP333" s="19"/>
      <c r="AQ333" s="19"/>
      <c r="AR333" s="19"/>
      <c r="AS333" s="20" t="str">
        <f aca="false">HYPERLINK("http://www.openstreetmap.org/?mlat=32.3742&amp;mlon=44.6466&amp;zoom=12#map=12/32.3742/44.6466","Maplink1")</f>
        <v>Maplink1</v>
      </c>
      <c r="AT333" s="20" t="str">
        <f aca="false">HYPERLINK("https://www.google.iq/maps/search/+32.3742,44.6466/@32.3742,44.6466,14z?hl=en","Maplink2")</f>
        <v>Maplink2</v>
      </c>
      <c r="AU333" s="20" t="str">
        <f aca="false">HYPERLINK("http://www.bing.com/maps/?lvl=14&amp;sty=h&amp;cp=32.3742~44.6466&amp;sp=point.32.3742_44.6466","Maplink3")</f>
        <v>Maplink3</v>
      </c>
    </row>
    <row r="334" customFormat="false" ht="15" hidden="false" customHeight="true" outlineLevel="0" collapsed="false">
      <c r="A334" s="15" t="n">
        <v>25448</v>
      </c>
      <c r="B334" s="16" t="s">
        <v>16</v>
      </c>
      <c r="C334" s="16" t="s">
        <v>608</v>
      </c>
      <c r="D334" s="16" t="s">
        <v>685</v>
      </c>
      <c r="E334" s="17" t="s">
        <v>686</v>
      </c>
      <c r="F334" s="16" t="n">
        <v>32.31632479</v>
      </c>
      <c r="G334" s="16" t="n">
        <v>44.8780905</v>
      </c>
      <c r="H334" s="18" t="n">
        <v>6</v>
      </c>
      <c r="I334" s="18" t="n">
        <v>36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 t="n">
        <v>6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 t="n">
        <v>2</v>
      </c>
      <c r="AH334" s="19" t="n">
        <v>4</v>
      </c>
      <c r="AI334" s="19"/>
      <c r="AJ334" s="19"/>
      <c r="AK334" s="19"/>
      <c r="AL334" s="19"/>
      <c r="AM334" s="19" t="n">
        <v>6</v>
      </c>
      <c r="AN334" s="19"/>
      <c r="AO334" s="19"/>
      <c r="AP334" s="19"/>
      <c r="AQ334" s="19"/>
      <c r="AR334" s="19"/>
      <c r="AS334" s="20" t="str">
        <f aca="false">HYPERLINK("http://www.openstreetmap.org/?mlat=32.3163&amp;mlon=44.8781&amp;zoom=12#map=12/32.3163/44.8781","Maplink1")</f>
        <v>Maplink1</v>
      </c>
      <c r="AT334" s="20" t="str">
        <f aca="false">HYPERLINK("https://www.google.iq/maps/search/+32.3163,44.8781/@32.3163,44.8781,14z?hl=en","Maplink2")</f>
        <v>Maplink2</v>
      </c>
      <c r="AU334" s="20" t="str">
        <f aca="false">HYPERLINK("http://www.bing.com/maps/?lvl=14&amp;sty=h&amp;cp=32.3163~44.8781&amp;sp=point.32.3163_44.8781","Maplink3")</f>
        <v>Maplink3</v>
      </c>
    </row>
    <row r="335" customFormat="false" ht="15" hidden="false" customHeight="true" outlineLevel="0" collapsed="false">
      <c r="A335" s="15" t="n">
        <v>24340</v>
      </c>
      <c r="B335" s="16" t="s">
        <v>16</v>
      </c>
      <c r="C335" s="16" t="s">
        <v>608</v>
      </c>
      <c r="D335" s="16" t="s">
        <v>687</v>
      </c>
      <c r="E335" s="17" t="s">
        <v>688</v>
      </c>
      <c r="F335" s="16" t="n">
        <v>32.39609226</v>
      </c>
      <c r="G335" s="16" t="n">
        <v>44.52962184</v>
      </c>
      <c r="H335" s="18" t="n">
        <v>12</v>
      </c>
      <c r="I335" s="18" t="n">
        <v>72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 t="n">
        <v>12</v>
      </c>
      <c r="W335" s="19"/>
      <c r="X335" s="19"/>
      <c r="Y335" s="19"/>
      <c r="Z335" s="19"/>
      <c r="AA335" s="19"/>
      <c r="AB335" s="19"/>
      <c r="AC335" s="19" t="n">
        <v>12</v>
      </c>
      <c r="AD335" s="19"/>
      <c r="AE335" s="19"/>
      <c r="AF335" s="19"/>
      <c r="AG335" s="19"/>
      <c r="AH335" s="19"/>
      <c r="AI335" s="19"/>
      <c r="AJ335" s="19"/>
      <c r="AK335" s="19"/>
      <c r="AL335" s="19"/>
      <c r="AM335" s="19" t="n">
        <v>12</v>
      </c>
      <c r="AN335" s="19"/>
      <c r="AO335" s="19"/>
      <c r="AP335" s="19"/>
      <c r="AQ335" s="19"/>
      <c r="AR335" s="19"/>
      <c r="AS335" s="20" t="str">
        <f aca="false">HYPERLINK("http://www.openstreetmap.org/?mlat=32.3961&amp;mlon=44.5296&amp;zoom=12#map=12/32.3961/44.5296","Maplink1")</f>
        <v>Maplink1</v>
      </c>
      <c r="AT335" s="20" t="str">
        <f aca="false">HYPERLINK("https://www.google.iq/maps/search/+32.3961,44.5296/@32.3961,44.5296,14z?hl=en","Maplink2")</f>
        <v>Maplink2</v>
      </c>
      <c r="AU335" s="20" t="str">
        <f aca="false">HYPERLINK("http://www.bing.com/maps/?lvl=14&amp;sty=h&amp;cp=32.3961~44.5296&amp;sp=point.32.3961_44.5296","Maplink3")</f>
        <v>Maplink3</v>
      </c>
    </row>
    <row r="336" customFormat="false" ht="15" hidden="false" customHeight="true" outlineLevel="0" collapsed="false">
      <c r="A336" s="15" t="n">
        <v>25986</v>
      </c>
      <c r="B336" s="16" t="s">
        <v>16</v>
      </c>
      <c r="C336" s="16" t="s">
        <v>608</v>
      </c>
      <c r="D336" s="16" t="s">
        <v>689</v>
      </c>
      <c r="E336" s="17" t="s">
        <v>690</v>
      </c>
      <c r="F336" s="16" t="n">
        <v>32.39550109</v>
      </c>
      <c r="G336" s="16" t="n">
        <v>44.66708304</v>
      </c>
      <c r="H336" s="18" t="n">
        <v>19</v>
      </c>
      <c r="I336" s="18" t="n">
        <v>114</v>
      </c>
      <c r="J336" s="19" t="n">
        <v>4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 t="n">
        <v>15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 t="n">
        <v>19</v>
      </c>
      <c r="AI336" s="19"/>
      <c r="AJ336" s="19"/>
      <c r="AK336" s="19"/>
      <c r="AL336" s="19"/>
      <c r="AM336" s="19" t="n">
        <v>15</v>
      </c>
      <c r="AN336" s="19"/>
      <c r="AO336" s="19" t="n">
        <v>2</v>
      </c>
      <c r="AP336" s="19" t="n">
        <v>2</v>
      </c>
      <c r="AQ336" s="19"/>
      <c r="AR336" s="19"/>
      <c r="AS336" s="20" t="str">
        <f aca="false">HYPERLINK("http://www.openstreetmap.org/?mlat=32.3955&amp;mlon=44.6671&amp;zoom=12#map=12/32.3955/44.6671","Maplink1")</f>
        <v>Maplink1</v>
      </c>
      <c r="AT336" s="20" t="str">
        <f aca="false">HYPERLINK("https://www.google.iq/maps/search/+32.3955,44.6671/@32.3955,44.6671,14z?hl=en","Maplink2")</f>
        <v>Maplink2</v>
      </c>
      <c r="AU336" s="20" t="str">
        <f aca="false">HYPERLINK("http://www.bing.com/maps/?lvl=14&amp;sty=h&amp;cp=32.3955~44.6671&amp;sp=point.32.3955_44.6671","Maplink3")</f>
        <v>Maplink3</v>
      </c>
    </row>
    <row r="337" customFormat="false" ht="15" hidden="false" customHeight="true" outlineLevel="0" collapsed="false">
      <c r="A337" s="15" t="n">
        <v>25987</v>
      </c>
      <c r="B337" s="16" t="s">
        <v>16</v>
      </c>
      <c r="C337" s="16" t="s">
        <v>608</v>
      </c>
      <c r="D337" s="16" t="s">
        <v>691</v>
      </c>
      <c r="E337" s="17" t="s">
        <v>692</v>
      </c>
      <c r="F337" s="16" t="n">
        <v>32.39721179</v>
      </c>
      <c r="G337" s="16" t="n">
        <v>44.66765502</v>
      </c>
      <c r="H337" s="18" t="n">
        <v>2</v>
      </c>
      <c r="I337" s="18" t="n">
        <v>12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 t="n">
        <v>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 t="n">
        <v>2</v>
      </c>
      <c r="AI337" s="19"/>
      <c r="AJ337" s="19"/>
      <c r="AK337" s="19"/>
      <c r="AL337" s="19"/>
      <c r="AM337" s="19" t="n">
        <v>2</v>
      </c>
      <c r="AN337" s="19"/>
      <c r="AO337" s="19"/>
      <c r="AP337" s="19"/>
      <c r="AQ337" s="19"/>
      <c r="AR337" s="19"/>
      <c r="AS337" s="20" t="str">
        <f aca="false">HYPERLINK("http://www.openstreetmap.org/?mlat=32.3972&amp;mlon=44.6677&amp;zoom=12#map=12/32.3972/44.6677","Maplink1")</f>
        <v>Maplink1</v>
      </c>
      <c r="AT337" s="20" t="str">
        <f aca="false">HYPERLINK("https://www.google.iq/maps/search/+32.3972,44.6677/@32.3972,44.6677,14z?hl=en","Maplink2")</f>
        <v>Maplink2</v>
      </c>
      <c r="AU337" s="20" t="str">
        <f aca="false">HYPERLINK("http://www.bing.com/maps/?lvl=14&amp;sty=h&amp;cp=32.3972~44.6677&amp;sp=point.32.3972_44.6677","Maplink3")</f>
        <v>Maplink3</v>
      </c>
    </row>
    <row r="338" customFormat="false" ht="15" hidden="false" customHeight="true" outlineLevel="0" collapsed="false">
      <c r="A338" s="15" t="n">
        <v>25988</v>
      </c>
      <c r="B338" s="16" t="s">
        <v>16</v>
      </c>
      <c r="C338" s="16" t="s">
        <v>608</v>
      </c>
      <c r="D338" s="16" t="s">
        <v>693</v>
      </c>
      <c r="E338" s="17" t="s">
        <v>694</v>
      </c>
      <c r="F338" s="16" t="n">
        <v>32.39499021</v>
      </c>
      <c r="G338" s="16" t="n">
        <v>44.66611812</v>
      </c>
      <c r="H338" s="18" t="n">
        <v>11</v>
      </c>
      <c r="I338" s="18" t="n">
        <v>66</v>
      </c>
      <c r="J338" s="19" t="n">
        <v>7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 t="n">
        <v>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 t="n">
        <v>11</v>
      </c>
      <c r="AI338" s="19"/>
      <c r="AJ338" s="19"/>
      <c r="AK338" s="19"/>
      <c r="AL338" s="19"/>
      <c r="AM338" s="19" t="n">
        <v>4</v>
      </c>
      <c r="AN338" s="19"/>
      <c r="AO338" s="19" t="n">
        <v>5</v>
      </c>
      <c r="AP338" s="19" t="n">
        <v>2</v>
      </c>
      <c r="AQ338" s="19"/>
      <c r="AR338" s="19"/>
      <c r="AS338" s="20" t="str">
        <f aca="false">HYPERLINK("http://www.openstreetmap.org/?mlat=32.395&amp;mlon=44.6661&amp;zoom=12#map=12/32.395/44.6661","Maplink1")</f>
        <v>Maplink1</v>
      </c>
      <c r="AT338" s="20" t="str">
        <f aca="false">HYPERLINK("https://www.google.iq/maps/search/+32.395,44.6661/@32.395,44.6661,14z?hl=en","Maplink2")</f>
        <v>Maplink2</v>
      </c>
      <c r="AU338" s="20" t="str">
        <f aca="false">HYPERLINK("http://www.bing.com/maps/?lvl=14&amp;sty=h&amp;cp=32.395~44.6661&amp;sp=point.32.395_44.6661","Maplink3")</f>
        <v>Maplink3</v>
      </c>
    </row>
    <row r="339" customFormat="false" ht="15" hidden="false" customHeight="true" outlineLevel="0" collapsed="false">
      <c r="A339" s="15" t="n">
        <v>25989</v>
      </c>
      <c r="B339" s="16" t="s">
        <v>16</v>
      </c>
      <c r="C339" s="16" t="s">
        <v>608</v>
      </c>
      <c r="D339" s="16" t="s">
        <v>695</v>
      </c>
      <c r="E339" s="17" t="s">
        <v>696</v>
      </c>
      <c r="F339" s="16" t="n">
        <v>32.39374717</v>
      </c>
      <c r="G339" s="16" t="n">
        <v>44.66782241</v>
      </c>
      <c r="H339" s="18" t="n">
        <v>6</v>
      </c>
      <c r="I339" s="18" t="n">
        <v>36</v>
      </c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 t="n">
        <v>6</v>
      </c>
      <c r="W339" s="19"/>
      <c r="X339" s="19"/>
      <c r="Y339" s="19"/>
      <c r="Z339" s="19"/>
      <c r="AA339" s="19"/>
      <c r="AB339" s="19"/>
      <c r="AC339" s="19" t="n">
        <v>2</v>
      </c>
      <c r="AD339" s="19"/>
      <c r="AE339" s="19"/>
      <c r="AF339" s="19"/>
      <c r="AG339" s="19" t="n">
        <v>2</v>
      </c>
      <c r="AH339" s="19" t="n">
        <v>2</v>
      </c>
      <c r="AI339" s="19"/>
      <c r="AJ339" s="19"/>
      <c r="AK339" s="19"/>
      <c r="AL339" s="19"/>
      <c r="AM339" s="19" t="n">
        <v>6</v>
      </c>
      <c r="AN339" s="19"/>
      <c r="AO339" s="19"/>
      <c r="AP339" s="19"/>
      <c r="AQ339" s="19"/>
      <c r="AR339" s="19"/>
      <c r="AS339" s="20" t="str">
        <f aca="false">HYPERLINK("http://www.openstreetmap.org/?mlat=32.3937&amp;mlon=44.6678&amp;zoom=12#map=12/32.3937/44.6678","Maplink1")</f>
        <v>Maplink1</v>
      </c>
      <c r="AT339" s="20" t="str">
        <f aca="false">HYPERLINK("https://www.google.iq/maps/search/+32.3937,44.6678/@32.3937,44.6678,14z?hl=en","Maplink2")</f>
        <v>Maplink2</v>
      </c>
      <c r="AU339" s="20" t="str">
        <f aca="false">HYPERLINK("http://www.bing.com/maps/?lvl=14&amp;sty=h&amp;cp=32.3937~44.6678&amp;sp=point.32.3937_44.6678","Maplink3")</f>
        <v>Maplink3</v>
      </c>
    </row>
    <row r="340" customFormat="false" ht="15" hidden="false" customHeight="true" outlineLevel="0" collapsed="false">
      <c r="A340" s="15" t="n">
        <v>25990</v>
      </c>
      <c r="B340" s="16" t="s">
        <v>16</v>
      </c>
      <c r="C340" s="16" t="s">
        <v>608</v>
      </c>
      <c r="D340" s="16" t="s">
        <v>697</v>
      </c>
      <c r="E340" s="17" t="s">
        <v>698</v>
      </c>
      <c r="F340" s="16" t="n">
        <v>32.39207515</v>
      </c>
      <c r="G340" s="16" t="n">
        <v>44.66733224</v>
      </c>
      <c r="H340" s="18" t="n">
        <v>9</v>
      </c>
      <c r="I340" s="18" t="n">
        <v>54</v>
      </c>
      <c r="J340" s="19" t="n">
        <v>4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 t="n">
        <v>5</v>
      </c>
      <c r="W340" s="19"/>
      <c r="X340" s="19"/>
      <c r="Y340" s="19"/>
      <c r="Z340" s="19"/>
      <c r="AA340" s="19"/>
      <c r="AB340" s="19"/>
      <c r="AC340" s="19" t="n">
        <v>2</v>
      </c>
      <c r="AD340" s="19"/>
      <c r="AE340" s="19"/>
      <c r="AF340" s="19"/>
      <c r="AG340" s="19" t="n">
        <v>3</v>
      </c>
      <c r="AH340" s="19" t="n">
        <v>4</v>
      </c>
      <c r="AI340" s="19"/>
      <c r="AJ340" s="19"/>
      <c r="AK340" s="19"/>
      <c r="AL340" s="19"/>
      <c r="AM340" s="19" t="n">
        <v>5</v>
      </c>
      <c r="AN340" s="19"/>
      <c r="AO340" s="19" t="n">
        <v>4</v>
      </c>
      <c r="AP340" s="19"/>
      <c r="AQ340" s="19"/>
      <c r="AR340" s="19"/>
      <c r="AS340" s="20" t="str">
        <f aca="false">HYPERLINK("http://www.openstreetmap.org/?mlat=32.3921&amp;mlon=44.6673&amp;zoom=12#map=12/32.3921/44.6673","Maplink1")</f>
        <v>Maplink1</v>
      </c>
      <c r="AT340" s="20" t="str">
        <f aca="false">HYPERLINK("https://www.google.iq/maps/search/+32.3921,44.6673/@32.3921,44.6673,14z?hl=en","Maplink2")</f>
        <v>Maplink2</v>
      </c>
      <c r="AU340" s="20" t="str">
        <f aca="false">HYPERLINK("http://www.bing.com/maps/?lvl=14&amp;sty=h&amp;cp=32.3921~44.6673&amp;sp=point.32.3921_44.6673","Maplink3")</f>
        <v>Maplink3</v>
      </c>
    </row>
    <row r="341" customFormat="false" ht="15" hidden="false" customHeight="true" outlineLevel="0" collapsed="false">
      <c r="A341" s="15" t="n">
        <v>24269</v>
      </c>
      <c r="B341" s="16" t="s">
        <v>16</v>
      </c>
      <c r="C341" s="16" t="s">
        <v>608</v>
      </c>
      <c r="D341" s="16" t="s">
        <v>699</v>
      </c>
      <c r="E341" s="17" t="s">
        <v>700</v>
      </c>
      <c r="F341" s="16" t="n">
        <v>32.37398323</v>
      </c>
      <c r="G341" s="16" t="n">
        <v>44.66131202</v>
      </c>
      <c r="H341" s="18" t="n">
        <v>8</v>
      </c>
      <c r="I341" s="18" t="n">
        <v>48</v>
      </c>
      <c r="J341" s="19" t="n">
        <v>3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 t="n">
        <v>4</v>
      </c>
      <c r="W341" s="19"/>
      <c r="X341" s="19" t="n">
        <v>1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 t="n">
        <v>8</v>
      </c>
      <c r="AI341" s="19"/>
      <c r="AJ341" s="19"/>
      <c r="AK341" s="19"/>
      <c r="AL341" s="19"/>
      <c r="AM341" s="19" t="n">
        <v>4</v>
      </c>
      <c r="AN341" s="19" t="n">
        <v>1</v>
      </c>
      <c r="AO341" s="19"/>
      <c r="AP341" s="19" t="n">
        <v>3</v>
      </c>
      <c r="AQ341" s="19"/>
      <c r="AR341" s="19"/>
      <c r="AS341" s="20" t="str">
        <f aca="false">HYPERLINK("http://www.openstreetmap.org/?mlat=32.374&amp;mlon=44.6613&amp;zoom=12#map=12/32.374/44.6613","Maplink1")</f>
        <v>Maplink1</v>
      </c>
      <c r="AT341" s="20" t="str">
        <f aca="false">HYPERLINK("https://www.google.iq/maps/search/+32.374,44.6613/@32.374,44.6613,14z?hl=en","Maplink2")</f>
        <v>Maplink2</v>
      </c>
      <c r="AU341" s="20" t="str">
        <f aca="false">HYPERLINK("http://www.bing.com/maps/?lvl=14&amp;sty=h&amp;cp=32.374~44.6613&amp;sp=point.32.374_44.6613","Maplink3")</f>
        <v>Maplink3</v>
      </c>
    </row>
    <row r="342" customFormat="false" ht="15" hidden="false" customHeight="true" outlineLevel="0" collapsed="false">
      <c r="A342" s="15" t="n">
        <v>25879</v>
      </c>
      <c r="B342" s="16" t="s">
        <v>16</v>
      </c>
      <c r="C342" s="16" t="s">
        <v>608</v>
      </c>
      <c r="D342" s="16" t="s">
        <v>701</v>
      </c>
      <c r="E342" s="17" t="s">
        <v>454</v>
      </c>
      <c r="F342" s="16" t="n">
        <v>32.29255279</v>
      </c>
      <c r="G342" s="16" t="n">
        <v>44.68195866</v>
      </c>
      <c r="H342" s="18" t="n">
        <v>9</v>
      </c>
      <c r="I342" s="18" t="n">
        <v>54</v>
      </c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 t="n">
        <v>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 t="n">
        <v>1</v>
      </c>
      <c r="AH342" s="19" t="n">
        <v>8</v>
      </c>
      <c r="AI342" s="19"/>
      <c r="AJ342" s="19"/>
      <c r="AK342" s="19"/>
      <c r="AL342" s="19"/>
      <c r="AM342" s="19" t="n">
        <v>9</v>
      </c>
      <c r="AN342" s="19"/>
      <c r="AO342" s="19"/>
      <c r="AP342" s="19"/>
      <c r="AQ342" s="19"/>
      <c r="AR342" s="19"/>
      <c r="AS342" s="20" t="str">
        <f aca="false">HYPERLINK("http://www.openstreetmap.org/?mlat=32.2926&amp;mlon=44.682&amp;zoom=12#map=12/32.2926/44.682","Maplink1")</f>
        <v>Maplink1</v>
      </c>
      <c r="AT342" s="20" t="str">
        <f aca="false">HYPERLINK("https://www.google.iq/maps/search/+32.2926,44.682/@32.2926,44.682,14z?hl=en","Maplink2")</f>
        <v>Maplink2</v>
      </c>
      <c r="AU342" s="20" t="str">
        <f aca="false">HYPERLINK("http://www.bing.com/maps/?lvl=14&amp;sty=h&amp;cp=32.2926~44.682&amp;sp=point.32.2926_44.682","Maplink3")</f>
        <v>Maplink3</v>
      </c>
    </row>
    <row r="343" customFormat="false" ht="15" hidden="false" customHeight="true" outlineLevel="0" collapsed="false">
      <c r="A343" s="15" t="n">
        <v>25449</v>
      </c>
      <c r="B343" s="16" t="s">
        <v>16</v>
      </c>
      <c r="C343" s="16" t="s">
        <v>608</v>
      </c>
      <c r="D343" s="16" t="s">
        <v>702</v>
      </c>
      <c r="E343" s="17" t="s">
        <v>703</v>
      </c>
      <c r="F343" s="16" t="n">
        <v>32.32757079</v>
      </c>
      <c r="G343" s="16" t="n">
        <v>44.91938478</v>
      </c>
      <c r="H343" s="18" t="n">
        <v>7</v>
      </c>
      <c r="I343" s="18" t="n">
        <v>42</v>
      </c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 t="n">
        <v>7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 t="n">
        <v>7</v>
      </c>
      <c r="AI343" s="19"/>
      <c r="AJ343" s="19"/>
      <c r="AK343" s="19"/>
      <c r="AL343" s="19"/>
      <c r="AM343" s="19" t="n">
        <v>7</v>
      </c>
      <c r="AN343" s="19"/>
      <c r="AO343" s="19"/>
      <c r="AP343" s="19"/>
      <c r="AQ343" s="19"/>
      <c r="AR343" s="19"/>
      <c r="AS343" s="20" t="str">
        <f aca="false">HYPERLINK("http://www.openstreetmap.org/?mlat=32.3276&amp;mlon=44.9194&amp;zoom=12#map=12/32.3276/44.9194","Maplink1")</f>
        <v>Maplink1</v>
      </c>
      <c r="AT343" s="20" t="str">
        <f aca="false">HYPERLINK("https://www.google.iq/maps/search/+32.3276,44.9194/@32.3276,44.9194,14z?hl=en","Maplink2")</f>
        <v>Maplink2</v>
      </c>
      <c r="AU343" s="20" t="str">
        <f aca="false">HYPERLINK("http://www.bing.com/maps/?lvl=14&amp;sty=h&amp;cp=32.3276~44.9194&amp;sp=point.32.3276_44.9194","Maplink3")</f>
        <v>Maplink3</v>
      </c>
    </row>
    <row r="344" customFormat="false" ht="15" hidden="false" customHeight="true" outlineLevel="0" collapsed="false">
      <c r="A344" s="15" t="n">
        <v>25880</v>
      </c>
      <c r="B344" s="16" t="s">
        <v>16</v>
      </c>
      <c r="C344" s="16" t="s">
        <v>608</v>
      </c>
      <c r="D344" s="16" t="s">
        <v>704</v>
      </c>
      <c r="E344" s="17" t="s">
        <v>705</v>
      </c>
      <c r="F344" s="16" t="n">
        <v>32.29661935</v>
      </c>
      <c r="G344" s="16" t="n">
        <v>44.6991621</v>
      </c>
      <c r="H344" s="18" t="n">
        <v>31</v>
      </c>
      <c r="I344" s="18" t="n">
        <v>186</v>
      </c>
      <c r="J344" s="19" t="n">
        <v>4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 t="n">
        <v>27</v>
      </c>
      <c r="W344" s="19"/>
      <c r="X344" s="19"/>
      <c r="Y344" s="19"/>
      <c r="Z344" s="19"/>
      <c r="AA344" s="19"/>
      <c r="AB344" s="19"/>
      <c r="AC344" s="19" t="n">
        <v>4</v>
      </c>
      <c r="AD344" s="19"/>
      <c r="AE344" s="19"/>
      <c r="AF344" s="19"/>
      <c r="AG344" s="19"/>
      <c r="AH344" s="19" t="n">
        <v>27</v>
      </c>
      <c r="AI344" s="19"/>
      <c r="AJ344" s="19"/>
      <c r="AK344" s="19"/>
      <c r="AL344" s="19"/>
      <c r="AM344" s="19" t="n">
        <v>19</v>
      </c>
      <c r="AN344" s="19" t="n">
        <v>8</v>
      </c>
      <c r="AO344" s="19" t="n">
        <v>4</v>
      </c>
      <c r="AP344" s="19"/>
      <c r="AQ344" s="19"/>
      <c r="AR344" s="19"/>
      <c r="AS344" s="20" t="str">
        <f aca="false">HYPERLINK("http://www.openstreetmap.org/?mlat=32.2966&amp;mlon=44.6992&amp;zoom=12#map=12/32.2966/44.6992","Maplink1")</f>
        <v>Maplink1</v>
      </c>
      <c r="AT344" s="20" t="str">
        <f aca="false">HYPERLINK("https://www.google.iq/maps/search/+32.2966,44.6992/@32.2966,44.6992,14z?hl=en","Maplink2")</f>
        <v>Maplink2</v>
      </c>
      <c r="AU344" s="20" t="str">
        <f aca="false">HYPERLINK("http://www.bing.com/maps/?lvl=14&amp;sty=h&amp;cp=32.2966~44.6992&amp;sp=point.32.2966_44.6992","Maplink3")</f>
        <v>Maplink3</v>
      </c>
    </row>
    <row r="345" customFormat="false" ht="15" hidden="false" customHeight="true" outlineLevel="0" collapsed="false">
      <c r="A345" s="15" t="n">
        <v>6690</v>
      </c>
      <c r="B345" s="16" t="s">
        <v>16</v>
      </c>
      <c r="C345" s="16" t="s">
        <v>608</v>
      </c>
      <c r="D345" s="16" t="s">
        <v>706</v>
      </c>
      <c r="E345" s="17" t="s">
        <v>707</v>
      </c>
      <c r="F345" s="16" t="n">
        <v>32.30528243</v>
      </c>
      <c r="G345" s="16" t="n">
        <v>44.68087806</v>
      </c>
      <c r="H345" s="18" t="n">
        <v>13</v>
      </c>
      <c r="I345" s="18" t="n">
        <v>78</v>
      </c>
      <c r="J345" s="19" t="n">
        <v>1</v>
      </c>
      <c r="K345" s="19"/>
      <c r="L345" s="19"/>
      <c r="M345" s="19"/>
      <c r="N345" s="19"/>
      <c r="O345" s="19"/>
      <c r="P345" s="19"/>
      <c r="Q345" s="19"/>
      <c r="R345" s="19" t="n">
        <v>1</v>
      </c>
      <c r="S345" s="19"/>
      <c r="T345" s="19"/>
      <c r="U345" s="19"/>
      <c r="V345" s="19" t="n">
        <v>11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 t="n">
        <v>2</v>
      </c>
      <c r="AH345" s="19" t="n">
        <v>11</v>
      </c>
      <c r="AI345" s="19"/>
      <c r="AJ345" s="19"/>
      <c r="AK345" s="19"/>
      <c r="AL345" s="19"/>
      <c r="AM345" s="19" t="n">
        <v>8</v>
      </c>
      <c r="AN345" s="19" t="n">
        <v>4</v>
      </c>
      <c r="AO345" s="19"/>
      <c r="AP345" s="19" t="n">
        <v>1</v>
      </c>
      <c r="AQ345" s="19"/>
      <c r="AR345" s="19"/>
      <c r="AS345" s="20" t="str">
        <f aca="false">HYPERLINK("http://www.openstreetmap.org/?mlat=32.3053&amp;mlon=44.6809&amp;zoom=12#map=12/32.3053/44.6809","Maplink1")</f>
        <v>Maplink1</v>
      </c>
      <c r="AT345" s="20" t="str">
        <f aca="false">HYPERLINK("https://www.google.iq/maps/search/+32.3053,44.6809/@32.3053,44.6809,14z?hl=en","Maplink2")</f>
        <v>Maplink2</v>
      </c>
      <c r="AU345" s="20" t="str">
        <f aca="false">HYPERLINK("http://www.bing.com/maps/?lvl=14&amp;sty=h&amp;cp=32.3053~44.6809&amp;sp=point.32.3053_44.6809","Maplink3")</f>
        <v>Maplink3</v>
      </c>
    </row>
    <row r="346" customFormat="false" ht="15" hidden="false" customHeight="true" outlineLevel="0" collapsed="false">
      <c r="A346" s="15" t="n">
        <v>27406</v>
      </c>
      <c r="B346" s="16" t="s">
        <v>16</v>
      </c>
      <c r="C346" s="16" t="s">
        <v>608</v>
      </c>
      <c r="D346" s="16" t="s">
        <v>708</v>
      </c>
      <c r="E346" s="17" t="s">
        <v>709</v>
      </c>
      <c r="F346" s="16" t="n">
        <v>32.40009206</v>
      </c>
      <c r="G346" s="16" t="n">
        <v>44.68209671</v>
      </c>
      <c r="H346" s="18" t="n">
        <v>11</v>
      </c>
      <c r="I346" s="18" t="n">
        <v>66</v>
      </c>
      <c r="J346" s="19" t="n">
        <v>7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 t="n">
        <v>4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 t="n">
        <v>11</v>
      </c>
      <c r="AI346" s="19"/>
      <c r="AJ346" s="19"/>
      <c r="AK346" s="19"/>
      <c r="AL346" s="19"/>
      <c r="AM346" s="19" t="n">
        <v>4</v>
      </c>
      <c r="AN346" s="19"/>
      <c r="AO346" s="19" t="n">
        <v>4</v>
      </c>
      <c r="AP346" s="19" t="n">
        <v>3</v>
      </c>
      <c r="AQ346" s="19"/>
      <c r="AR346" s="19"/>
      <c r="AS346" s="20" t="str">
        <f aca="false">HYPERLINK("http://www.openstreetmap.org/?mlat=32.4001&amp;mlon=44.6821&amp;zoom=12#map=12/32.4001/44.6821","Maplink1")</f>
        <v>Maplink1</v>
      </c>
      <c r="AT346" s="20" t="str">
        <f aca="false">HYPERLINK("https://www.google.iq/maps/search/+32.4001,44.6821/@32.4001,44.6821,14z?hl=en","Maplink2")</f>
        <v>Maplink2</v>
      </c>
      <c r="AU346" s="20" t="str">
        <f aca="false">HYPERLINK("http://www.bing.com/maps/?lvl=14&amp;sty=h&amp;cp=32.4001~44.6821&amp;sp=point.32.4001_44.6821","Maplink3")</f>
        <v>Maplink3</v>
      </c>
    </row>
    <row r="347" customFormat="false" ht="15" hidden="false" customHeight="true" outlineLevel="0" collapsed="false">
      <c r="A347" s="15" t="n">
        <v>25964</v>
      </c>
      <c r="B347" s="16" t="s">
        <v>16</v>
      </c>
      <c r="C347" s="16" t="s">
        <v>608</v>
      </c>
      <c r="D347" s="16" t="s">
        <v>710</v>
      </c>
      <c r="E347" s="17" t="s">
        <v>711</v>
      </c>
      <c r="F347" s="16" t="n">
        <v>32.39175467</v>
      </c>
      <c r="G347" s="16" t="n">
        <v>44.67768087</v>
      </c>
      <c r="H347" s="18" t="n">
        <v>12</v>
      </c>
      <c r="I347" s="18" t="n">
        <v>72</v>
      </c>
      <c r="J347" s="19" t="n">
        <v>6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 t="n">
        <v>6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 t="n">
        <v>12</v>
      </c>
      <c r="AI347" s="19"/>
      <c r="AJ347" s="19"/>
      <c r="AK347" s="19"/>
      <c r="AL347" s="19"/>
      <c r="AM347" s="19" t="n">
        <v>6</v>
      </c>
      <c r="AN347" s="19"/>
      <c r="AO347" s="19" t="n">
        <v>4</v>
      </c>
      <c r="AP347" s="19" t="n">
        <v>2</v>
      </c>
      <c r="AQ347" s="19"/>
      <c r="AR347" s="19"/>
      <c r="AS347" s="20" t="str">
        <f aca="false">HYPERLINK("http://www.openstreetmap.org/?mlat=32.3918&amp;mlon=44.6777&amp;zoom=12#map=12/32.3918/44.6777","Maplink1")</f>
        <v>Maplink1</v>
      </c>
      <c r="AT347" s="20" t="str">
        <f aca="false">HYPERLINK("https://www.google.iq/maps/search/+32.3918,44.6777/@32.3918,44.6777,14z?hl=en","Maplink2")</f>
        <v>Maplink2</v>
      </c>
      <c r="AU347" s="20" t="str">
        <f aca="false">HYPERLINK("http://www.bing.com/maps/?lvl=14&amp;sty=h&amp;cp=32.3918~44.6777&amp;sp=point.32.3918_44.6777","Maplink3")</f>
        <v>Maplink3</v>
      </c>
    </row>
    <row r="348" customFormat="false" ht="15" hidden="false" customHeight="true" outlineLevel="0" collapsed="false">
      <c r="A348" s="15" t="n">
        <v>25965</v>
      </c>
      <c r="B348" s="16" t="s">
        <v>16</v>
      </c>
      <c r="C348" s="16" t="s">
        <v>608</v>
      </c>
      <c r="D348" s="16" t="s">
        <v>712</v>
      </c>
      <c r="E348" s="17" t="s">
        <v>713</v>
      </c>
      <c r="F348" s="16" t="n">
        <v>32.39101438</v>
      </c>
      <c r="G348" s="16" t="n">
        <v>44.67934242</v>
      </c>
      <c r="H348" s="18" t="n">
        <v>13</v>
      </c>
      <c r="I348" s="18" t="n">
        <v>78</v>
      </c>
      <c r="J348" s="19" t="n">
        <v>6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 t="n">
        <v>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 t="n">
        <v>13</v>
      </c>
      <c r="AI348" s="19"/>
      <c r="AJ348" s="19"/>
      <c r="AK348" s="19"/>
      <c r="AL348" s="19"/>
      <c r="AM348" s="19" t="n">
        <v>5</v>
      </c>
      <c r="AN348" s="19" t="n">
        <v>2</v>
      </c>
      <c r="AO348" s="19" t="n">
        <v>6</v>
      </c>
      <c r="AP348" s="19"/>
      <c r="AQ348" s="19"/>
      <c r="AR348" s="19"/>
      <c r="AS348" s="20" t="str">
        <f aca="false">HYPERLINK("http://www.openstreetmap.org/?mlat=32.391&amp;mlon=44.6793&amp;zoom=12#map=12/32.391/44.6793","Maplink1")</f>
        <v>Maplink1</v>
      </c>
      <c r="AT348" s="20" t="str">
        <f aca="false">HYPERLINK("https://www.google.iq/maps/search/+32.391,44.6793/@32.391,44.6793,14z?hl=en","Maplink2")</f>
        <v>Maplink2</v>
      </c>
      <c r="AU348" s="20" t="str">
        <f aca="false">HYPERLINK("http://www.bing.com/maps/?lvl=14&amp;sty=h&amp;cp=32.391~44.6793&amp;sp=point.32.391_44.6793","Maplink3")</f>
        <v>Maplink3</v>
      </c>
    </row>
    <row r="349" customFormat="false" ht="15" hidden="false" customHeight="true" outlineLevel="0" collapsed="false">
      <c r="A349" s="15" t="n">
        <v>25966</v>
      </c>
      <c r="B349" s="16" t="s">
        <v>16</v>
      </c>
      <c r="C349" s="16" t="s">
        <v>608</v>
      </c>
      <c r="D349" s="16" t="s">
        <v>714</v>
      </c>
      <c r="E349" s="17" t="s">
        <v>715</v>
      </c>
      <c r="F349" s="16" t="n">
        <v>32.38986245</v>
      </c>
      <c r="G349" s="16" t="n">
        <v>44.67780819</v>
      </c>
      <c r="H349" s="18" t="n">
        <v>10</v>
      </c>
      <c r="I349" s="18" t="n">
        <v>60</v>
      </c>
      <c r="J349" s="19" t="n">
        <v>10</v>
      </c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 t="n">
        <v>10</v>
      </c>
      <c r="AI349" s="19"/>
      <c r="AJ349" s="19"/>
      <c r="AK349" s="19"/>
      <c r="AL349" s="19"/>
      <c r="AM349" s="19"/>
      <c r="AN349" s="19"/>
      <c r="AO349" s="19" t="n">
        <v>10</v>
      </c>
      <c r="AP349" s="19"/>
      <c r="AQ349" s="19"/>
      <c r="AR349" s="19"/>
      <c r="AS349" s="20" t="str">
        <f aca="false">HYPERLINK("http://www.openstreetmap.org/?mlat=32.3899&amp;mlon=44.6778&amp;zoom=12#map=12/32.3899/44.6778","Maplink1")</f>
        <v>Maplink1</v>
      </c>
      <c r="AT349" s="20" t="str">
        <f aca="false">HYPERLINK("https://www.google.iq/maps/search/+32.3899,44.6778/@32.3899,44.6778,14z?hl=en","Maplink2")</f>
        <v>Maplink2</v>
      </c>
      <c r="AU349" s="20" t="str">
        <f aca="false">HYPERLINK("http://www.bing.com/maps/?lvl=14&amp;sty=h&amp;cp=32.3899~44.6778&amp;sp=point.32.3899_44.6778","Maplink3")</f>
        <v>Maplink3</v>
      </c>
    </row>
    <row r="350" customFormat="false" ht="15" hidden="false" customHeight="true" outlineLevel="0" collapsed="false">
      <c r="A350" s="15" t="n">
        <v>25967</v>
      </c>
      <c r="B350" s="16" t="s">
        <v>16</v>
      </c>
      <c r="C350" s="16" t="s">
        <v>608</v>
      </c>
      <c r="D350" s="16" t="s">
        <v>716</v>
      </c>
      <c r="E350" s="17" t="s">
        <v>717</v>
      </c>
      <c r="F350" s="16" t="n">
        <v>32.38845865</v>
      </c>
      <c r="G350" s="16" t="n">
        <v>44.67827674</v>
      </c>
      <c r="H350" s="18" t="n">
        <v>15</v>
      </c>
      <c r="I350" s="18" t="n">
        <v>90</v>
      </c>
      <c r="J350" s="19"/>
      <c r="K350" s="19"/>
      <c r="L350" s="19" t="n">
        <v>1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 t="n">
        <v>14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 t="n">
        <v>1</v>
      </c>
      <c r="AI350" s="19"/>
      <c r="AJ350" s="19" t="n">
        <v>14</v>
      </c>
      <c r="AK350" s="19"/>
      <c r="AL350" s="19"/>
      <c r="AM350" s="19" t="n">
        <v>15</v>
      </c>
      <c r="AN350" s="19"/>
      <c r="AO350" s="19"/>
      <c r="AP350" s="19"/>
      <c r="AQ350" s="19"/>
      <c r="AR350" s="19"/>
      <c r="AS350" s="20" t="str">
        <f aca="false">HYPERLINK("http://www.openstreetmap.org/?mlat=32.3885&amp;mlon=44.6783&amp;zoom=12#map=12/32.3885/44.6783","Maplink1")</f>
        <v>Maplink1</v>
      </c>
      <c r="AT350" s="20" t="str">
        <f aca="false">HYPERLINK("https://www.google.iq/maps/search/+32.3885,44.6783/@32.3885,44.6783,14z?hl=en","Maplink2")</f>
        <v>Maplink2</v>
      </c>
      <c r="AU350" s="20" t="str">
        <f aca="false">HYPERLINK("http://www.bing.com/maps/?lvl=14&amp;sty=h&amp;cp=32.3885~44.6783&amp;sp=point.32.3885_44.6783","Maplink3")</f>
        <v>Maplink3</v>
      </c>
    </row>
    <row r="351" customFormat="false" ht="15" hidden="false" customHeight="true" outlineLevel="0" collapsed="false">
      <c r="A351" s="15" t="n">
        <v>7140</v>
      </c>
      <c r="B351" s="16" t="s">
        <v>16</v>
      </c>
      <c r="C351" s="16" t="s">
        <v>608</v>
      </c>
      <c r="D351" s="16" t="s">
        <v>718</v>
      </c>
      <c r="E351" s="17" t="s">
        <v>719</v>
      </c>
      <c r="F351" s="16" t="n">
        <v>32.29842058</v>
      </c>
      <c r="G351" s="16" t="n">
        <v>44.68890491</v>
      </c>
      <c r="H351" s="18" t="n">
        <v>11</v>
      </c>
      <c r="I351" s="18" t="n">
        <v>66</v>
      </c>
      <c r="J351" s="19" t="n">
        <v>7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 t="n">
        <v>4</v>
      </c>
      <c r="W351" s="19"/>
      <c r="X351" s="19"/>
      <c r="Y351" s="19"/>
      <c r="Z351" s="19"/>
      <c r="AA351" s="19"/>
      <c r="AB351" s="19"/>
      <c r="AC351" s="19" t="n">
        <v>8</v>
      </c>
      <c r="AD351" s="19"/>
      <c r="AE351" s="19"/>
      <c r="AF351" s="19"/>
      <c r="AG351" s="19"/>
      <c r="AH351" s="19" t="n">
        <v>3</v>
      </c>
      <c r="AI351" s="19"/>
      <c r="AJ351" s="19"/>
      <c r="AK351" s="19"/>
      <c r="AL351" s="19" t="n">
        <v>3</v>
      </c>
      <c r="AM351" s="19" t="n">
        <v>5</v>
      </c>
      <c r="AN351" s="19"/>
      <c r="AO351" s="19"/>
      <c r="AP351" s="19" t="n">
        <v>3</v>
      </c>
      <c r="AQ351" s="19"/>
      <c r="AR351" s="19"/>
      <c r="AS351" s="20" t="str">
        <f aca="false">HYPERLINK("http://www.openstreetmap.org/?mlat=32.2984&amp;mlon=44.6889&amp;zoom=12#map=12/32.2984/44.6889","Maplink1")</f>
        <v>Maplink1</v>
      </c>
      <c r="AT351" s="20" t="str">
        <f aca="false">HYPERLINK("https://www.google.iq/maps/search/+32.2984,44.6889/@32.2984,44.6889,14z?hl=en","Maplink2")</f>
        <v>Maplink2</v>
      </c>
      <c r="AU351" s="20" t="str">
        <f aca="false">HYPERLINK("http://www.bing.com/maps/?lvl=14&amp;sty=h&amp;cp=32.2984~44.6889&amp;sp=point.32.2984_44.6889","Maplink3")</f>
        <v>Maplink3</v>
      </c>
    </row>
    <row r="352" customFormat="false" ht="15" hidden="false" customHeight="true" outlineLevel="0" collapsed="false">
      <c r="A352" s="15" t="n">
        <v>6661</v>
      </c>
      <c r="B352" s="16" t="s">
        <v>16</v>
      </c>
      <c r="C352" s="16" t="s">
        <v>608</v>
      </c>
      <c r="D352" s="16" t="s">
        <v>720</v>
      </c>
      <c r="E352" s="17" t="s">
        <v>721</v>
      </c>
      <c r="F352" s="16" t="n">
        <v>32.28709324</v>
      </c>
      <c r="G352" s="16" t="n">
        <v>44.6816554</v>
      </c>
      <c r="H352" s="18" t="n">
        <v>17</v>
      </c>
      <c r="I352" s="18" t="n">
        <v>102</v>
      </c>
      <c r="J352" s="19" t="n">
        <v>9</v>
      </c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 t="n">
        <v>8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 t="n">
        <v>17</v>
      </c>
      <c r="AI352" s="19"/>
      <c r="AJ352" s="19"/>
      <c r="AK352" s="19"/>
      <c r="AL352" s="19"/>
      <c r="AM352" s="19" t="n">
        <v>8</v>
      </c>
      <c r="AN352" s="19"/>
      <c r="AO352" s="19" t="n">
        <v>9</v>
      </c>
      <c r="AP352" s="19"/>
      <c r="AQ352" s="19"/>
      <c r="AR352" s="19"/>
      <c r="AS352" s="20" t="str">
        <f aca="false">HYPERLINK("http://www.openstreetmap.org/?mlat=32.2871&amp;mlon=44.6817&amp;zoom=12#map=12/32.2871/44.6817","Maplink1")</f>
        <v>Maplink1</v>
      </c>
      <c r="AT352" s="20" t="str">
        <f aca="false">HYPERLINK("https://www.google.iq/maps/search/+32.2871,44.6817/@32.2871,44.6817,14z?hl=en","Maplink2")</f>
        <v>Maplink2</v>
      </c>
      <c r="AU352" s="20" t="str">
        <f aca="false">HYPERLINK("http://www.bing.com/maps/?lvl=14&amp;sty=h&amp;cp=32.2871~44.6817&amp;sp=point.32.2871_44.6817","Maplink3")</f>
        <v>Maplink3</v>
      </c>
    </row>
    <row r="353" customFormat="false" ht="15" hidden="false" customHeight="true" outlineLevel="0" collapsed="false">
      <c r="A353" s="15" t="n">
        <v>6660</v>
      </c>
      <c r="B353" s="16" t="s">
        <v>16</v>
      </c>
      <c r="C353" s="16" t="s">
        <v>608</v>
      </c>
      <c r="D353" s="16" t="s">
        <v>722</v>
      </c>
      <c r="E353" s="17" t="s">
        <v>723</v>
      </c>
      <c r="F353" s="16" t="n">
        <v>32.29782241</v>
      </c>
      <c r="G353" s="16" t="n">
        <v>44.6868293</v>
      </c>
      <c r="H353" s="18" t="n">
        <v>16</v>
      </c>
      <c r="I353" s="18" t="n">
        <v>96</v>
      </c>
      <c r="J353" s="19" t="n">
        <v>4</v>
      </c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 t="n">
        <v>12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 t="n">
        <v>16</v>
      </c>
      <c r="AI353" s="19"/>
      <c r="AJ353" s="19"/>
      <c r="AK353" s="19"/>
      <c r="AL353" s="19"/>
      <c r="AM353" s="19"/>
      <c r="AN353" s="19" t="n">
        <v>12</v>
      </c>
      <c r="AO353" s="19" t="n">
        <v>2</v>
      </c>
      <c r="AP353" s="19" t="n">
        <v>2</v>
      </c>
      <c r="AQ353" s="19"/>
      <c r="AR353" s="19"/>
      <c r="AS353" s="20" t="str">
        <f aca="false">HYPERLINK("http://www.openstreetmap.org/?mlat=32.2978&amp;mlon=44.6868&amp;zoom=12#map=12/32.2978/44.6868","Maplink1")</f>
        <v>Maplink1</v>
      </c>
      <c r="AT353" s="20" t="str">
        <f aca="false">HYPERLINK("https://www.google.iq/maps/search/+32.2978,44.6868/@32.2978,44.6868,14z?hl=en","Maplink2")</f>
        <v>Maplink2</v>
      </c>
      <c r="AU353" s="20" t="str">
        <f aca="false">HYPERLINK("http://www.bing.com/maps/?lvl=14&amp;sty=h&amp;cp=32.2978~44.6868&amp;sp=point.32.2978_44.6868","Maplink3")</f>
        <v>Maplink3</v>
      </c>
    </row>
    <row r="354" customFormat="false" ht="15" hidden="false" customHeight="true" outlineLevel="0" collapsed="false">
      <c r="A354" s="15" t="n">
        <v>7234</v>
      </c>
      <c r="B354" s="16" t="s">
        <v>16</v>
      </c>
      <c r="C354" s="16" t="s">
        <v>608</v>
      </c>
      <c r="D354" s="16" t="s">
        <v>574</v>
      </c>
      <c r="E354" s="17" t="s">
        <v>575</v>
      </c>
      <c r="F354" s="16" t="n">
        <v>32.36234777</v>
      </c>
      <c r="G354" s="16" t="n">
        <v>44.65712417</v>
      </c>
      <c r="H354" s="18" t="n">
        <v>4</v>
      </c>
      <c r="I354" s="18" t="n">
        <v>24</v>
      </c>
      <c r="J354" s="19"/>
      <c r="K354" s="19"/>
      <c r="L354" s="19" t="n">
        <v>1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 t="n">
        <v>3</v>
      </c>
      <c r="W354" s="19"/>
      <c r="X354" s="19"/>
      <c r="Y354" s="19"/>
      <c r="Z354" s="19"/>
      <c r="AA354" s="19"/>
      <c r="AB354" s="19"/>
      <c r="AC354" s="19"/>
      <c r="AD354" s="19"/>
      <c r="AE354" s="19" t="n">
        <v>3</v>
      </c>
      <c r="AF354" s="19"/>
      <c r="AG354" s="19"/>
      <c r="AH354" s="19" t="n">
        <v>1</v>
      </c>
      <c r="AI354" s="19"/>
      <c r="AJ354" s="19"/>
      <c r="AK354" s="19"/>
      <c r="AL354" s="19"/>
      <c r="AM354" s="19" t="n">
        <v>3</v>
      </c>
      <c r="AN354" s="19" t="n">
        <v>1</v>
      </c>
      <c r="AO354" s="19"/>
      <c r="AP354" s="19"/>
      <c r="AQ354" s="19"/>
      <c r="AR354" s="19"/>
      <c r="AS354" s="20" t="str">
        <f aca="false">HYPERLINK("http://www.openstreetmap.org/?mlat=32.3623&amp;mlon=44.6571&amp;zoom=12#map=12/32.3623/44.6571","Maplink1")</f>
        <v>Maplink1</v>
      </c>
      <c r="AT354" s="20" t="str">
        <f aca="false">HYPERLINK("https://www.google.iq/maps/search/+32.3623,44.6571/@32.3623,44.6571,14z?hl=en","Maplink2")</f>
        <v>Maplink2</v>
      </c>
      <c r="AU354" s="20" t="str">
        <f aca="false">HYPERLINK("http://www.bing.com/maps/?lvl=14&amp;sty=h&amp;cp=32.3623~44.6571&amp;sp=point.32.3623_44.6571","Maplink3")</f>
        <v>Maplink3</v>
      </c>
    </row>
    <row r="355" customFormat="false" ht="15" hidden="false" customHeight="true" outlineLevel="0" collapsed="false">
      <c r="A355" s="15" t="n">
        <v>7235</v>
      </c>
      <c r="B355" s="16" t="s">
        <v>16</v>
      </c>
      <c r="C355" s="16" t="s">
        <v>608</v>
      </c>
      <c r="D355" s="16" t="s">
        <v>311</v>
      </c>
      <c r="E355" s="17" t="s">
        <v>724</v>
      </c>
      <c r="F355" s="16" t="n">
        <v>32.36373573</v>
      </c>
      <c r="G355" s="16" t="n">
        <v>44.6571525</v>
      </c>
      <c r="H355" s="18" t="n">
        <v>10</v>
      </c>
      <c r="I355" s="18" t="n">
        <v>60</v>
      </c>
      <c r="J355" s="19" t="n">
        <v>4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 t="n">
        <v>5</v>
      </c>
      <c r="W355" s="19"/>
      <c r="X355" s="19" t="n">
        <v>1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 t="n">
        <v>10</v>
      </c>
      <c r="AI355" s="19"/>
      <c r="AJ355" s="19"/>
      <c r="AK355" s="19"/>
      <c r="AL355" s="19"/>
      <c r="AM355" s="19" t="n">
        <v>5</v>
      </c>
      <c r="AN355" s="19" t="n">
        <v>1</v>
      </c>
      <c r="AO355" s="19"/>
      <c r="AP355" s="19" t="n">
        <v>4</v>
      </c>
      <c r="AQ355" s="19"/>
      <c r="AR355" s="19"/>
      <c r="AS355" s="20" t="str">
        <f aca="false">HYPERLINK("http://www.openstreetmap.org/?mlat=32.3637&amp;mlon=44.6572&amp;zoom=12#map=12/32.3637/44.6572","Maplink1")</f>
        <v>Maplink1</v>
      </c>
      <c r="AT355" s="20" t="str">
        <f aca="false">HYPERLINK("https://www.google.iq/maps/search/+32.3637,44.6572/@32.3637,44.6572,14z?hl=en","Maplink2")</f>
        <v>Maplink2</v>
      </c>
      <c r="AU355" s="20" t="str">
        <f aca="false">HYPERLINK("http://www.bing.com/maps/?lvl=14&amp;sty=h&amp;cp=32.3637~44.6572&amp;sp=point.32.3637_44.6572","Maplink3")</f>
        <v>Maplink3</v>
      </c>
    </row>
    <row r="356" customFormat="false" ht="15" hidden="false" customHeight="true" outlineLevel="0" collapsed="false">
      <c r="A356" s="15" t="n">
        <v>6664</v>
      </c>
      <c r="B356" s="16" t="s">
        <v>16</v>
      </c>
      <c r="C356" s="16" t="s">
        <v>608</v>
      </c>
      <c r="D356" s="16" t="s">
        <v>582</v>
      </c>
      <c r="E356" s="17" t="s">
        <v>85</v>
      </c>
      <c r="F356" s="16" t="n">
        <v>32.32785582</v>
      </c>
      <c r="G356" s="16" t="n">
        <v>44.9171733</v>
      </c>
      <c r="H356" s="18" t="n">
        <v>1</v>
      </c>
      <c r="I356" s="18" t="n">
        <v>6</v>
      </c>
      <c r="J356" s="19" t="n">
        <v>1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 t="n">
        <v>1</v>
      </c>
      <c r="AI356" s="19"/>
      <c r="AJ356" s="19"/>
      <c r="AK356" s="19"/>
      <c r="AL356" s="19"/>
      <c r="AM356" s="19"/>
      <c r="AN356" s="19"/>
      <c r="AO356" s="19"/>
      <c r="AP356" s="19" t="n">
        <v>1</v>
      </c>
      <c r="AQ356" s="19"/>
      <c r="AR356" s="19"/>
      <c r="AS356" s="20" t="str">
        <f aca="false">HYPERLINK("http://www.openstreetmap.org/?mlat=32.3279&amp;mlon=44.9172&amp;zoom=12#map=12/32.3279/44.9172","Maplink1")</f>
        <v>Maplink1</v>
      </c>
      <c r="AT356" s="20" t="str">
        <f aca="false">HYPERLINK("https://www.google.iq/maps/search/+32.3279,44.9172/@32.3279,44.9172,14z?hl=en","Maplink2")</f>
        <v>Maplink2</v>
      </c>
      <c r="AU356" s="20" t="str">
        <f aca="false">HYPERLINK("http://www.bing.com/maps/?lvl=14&amp;sty=h&amp;cp=32.3279~44.9172&amp;sp=point.32.3279_44.9172","Maplink3")</f>
        <v>Maplink3</v>
      </c>
    </row>
    <row r="357" customFormat="false" ht="15" hidden="false" customHeight="true" outlineLevel="0" collapsed="false">
      <c r="A357" s="15" t="n">
        <v>6711</v>
      </c>
      <c r="B357" s="16" t="s">
        <v>16</v>
      </c>
      <c r="C357" s="16" t="s">
        <v>608</v>
      </c>
      <c r="D357" s="16" t="s">
        <v>725</v>
      </c>
      <c r="E357" s="17" t="s">
        <v>726</v>
      </c>
      <c r="F357" s="16" t="n">
        <v>32.32197109</v>
      </c>
      <c r="G357" s="16" t="n">
        <v>44.91991284</v>
      </c>
      <c r="H357" s="18" t="n">
        <v>4</v>
      </c>
      <c r="I357" s="18" t="n">
        <v>24</v>
      </c>
      <c r="J357" s="19" t="n">
        <v>1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 t="n">
        <v>3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 t="n">
        <v>4</v>
      </c>
      <c r="AI357" s="19"/>
      <c r="AJ357" s="19"/>
      <c r="AK357" s="19"/>
      <c r="AL357" s="19"/>
      <c r="AM357" s="19" t="n">
        <v>3</v>
      </c>
      <c r="AN357" s="19"/>
      <c r="AO357" s="19" t="n">
        <v>1</v>
      </c>
      <c r="AP357" s="19"/>
      <c r="AQ357" s="19"/>
      <c r="AR357" s="19"/>
      <c r="AS357" s="20" t="str">
        <f aca="false">HYPERLINK("http://www.openstreetmap.org/?mlat=32.322&amp;mlon=44.9199&amp;zoom=12#map=12/32.322/44.9199","Maplink1")</f>
        <v>Maplink1</v>
      </c>
      <c r="AT357" s="20" t="str">
        <f aca="false">HYPERLINK("https://www.google.iq/maps/search/+32.322,44.9199/@32.322,44.9199,14z?hl=en","Maplink2")</f>
        <v>Maplink2</v>
      </c>
      <c r="AU357" s="20" t="str">
        <f aca="false">HYPERLINK("http://www.bing.com/maps/?lvl=14&amp;sty=h&amp;cp=32.322~44.9199&amp;sp=point.32.322_44.9199","Maplink3")</f>
        <v>Maplink3</v>
      </c>
    </row>
    <row r="358" customFormat="false" ht="15" hidden="false" customHeight="true" outlineLevel="0" collapsed="false">
      <c r="A358" s="15" t="n">
        <v>6694</v>
      </c>
      <c r="B358" s="16" t="s">
        <v>16</v>
      </c>
      <c r="C358" s="16" t="s">
        <v>608</v>
      </c>
      <c r="D358" s="16" t="s">
        <v>727</v>
      </c>
      <c r="E358" s="17" t="s">
        <v>728</v>
      </c>
      <c r="F358" s="16" t="n">
        <v>32.311357</v>
      </c>
      <c r="G358" s="16" t="n">
        <v>44.67858863</v>
      </c>
      <c r="H358" s="18" t="n">
        <v>11</v>
      </c>
      <c r="I358" s="18" t="n">
        <v>66</v>
      </c>
      <c r="J358" s="19" t="n">
        <v>3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 t="n">
        <v>8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 t="n">
        <v>11</v>
      </c>
      <c r="AI358" s="19"/>
      <c r="AJ358" s="19"/>
      <c r="AK358" s="19"/>
      <c r="AL358" s="19"/>
      <c r="AM358" s="19" t="n">
        <v>8</v>
      </c>
      <c r="AN358" s="19"/>
      <c r="AO358" s="19"/>
      <c r="AP358" s="19" t="n">
        <v>3</v>
      </c>
      <c r="AQ358" s="19"/>
      <c r="AR358" s="19"/>
      <c r="AS358" s="20" t="str">
        <f aca="false">HYPERLINK("http://www.openstreetmap.org/?mlat=32.3114&amp;mlon=44.6786&amp;zoom=12#map=12/32.3114/44.6786","Maplink1")</f>
        <v>Maplink1</v>
      </c>
      <c r="AT358" s="20" t="str">
        <f aca="false">HYPERLINK("https://www.google.iq/maps/search/+32.3114,44.6786/@32.3114,44.6786,14z?hl=en","Maplink2")</f>
        <v>Maplink2</v>
      </c>
      <c r="AU358" s="20" t="str">
        <f aca="false">HYPERLINK("http://www.bing.com/maps/?lvl=14&amp;sty=h&amp;cp=32.3114~44.6786&amp;sp=point.32.3114_44.6786","Maplink3")</f>
        <v>Maplink3</v>
      </c>
    </row>
    <row r="359" customFormat="false" ht="15" hidden="false" customHeight="true" outlineLevel="0" collapsed="false">
      <c r="A359" s="15" t="n">
        <v>7160</v>
      </c>
      <c r="B359" s="16" t="s">
        <v>16</v>
      </c>
      <c r="C359" s="16" t="s">
        <v>608</v>
      </c>
      <c r="D359" s="16" t="s">
        <v>729</v>
      </c>
      <c r="E359" s="17" t="s">
        <v>730</v>
      </c>
      <c r="F359" s="16" t="n">
        <v>32.36510726</v>
      </c>
      <c r="G359" s="16" t="n">
        <v>44.65828246</v>
      </c>
      <c r="H359" s="18" t="n">
        <v>13</v>
      </c>
      <c r="I359" s="18" t="n">
        <v>78</v>
      </c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 t="n">
        <v>13</v>
      </c>
      <c r="W359" s="19"/>
      <c r="X359" s="19"/>
      <c r="Y359" s="19"/>
      <c r="Z359" s="19"/>
      <c r="AA359" s="19"/>
      <c r="AB359" s="19"/>
      <c r="AC359" s="19" t="n">
        <v>6</v>
      </c>
      <c r="AD359" s="19"/>
      <c r="AE359" s="19"/>
      <c r="AF359" s="19"/>
      <c r="AG359" s="19"/>
      <c r="AH359" s="19" t="n">
        <v>7</v>
      </c>
      <c r="AI359" s="19"/>
      <c r="AJ359" s="19"/>
      <c r="AK359" s="19"/>
      <c r="AL359" s="19"/>
      <c r="AM359" s="19" t="n">
        <v>10</v>
      </c>
      <c r="AN359" s="19" t="n">
        <v>3</v>
      </c>
      <c r="AO359" s="19"/>
      <c r="AP359" s="19"/>
      <c r="AQ359" s="19"/>
      <c r="AR359" s="19"/>
      <c r="AS359" s="20" t="str">
        <f aca="false">HYPERLINK("http://www.openstreetmap.org/?mlat=32.3651&amp;mlon=44.6583&amp;zoom=12#map=12/32.3651/44.6583","Maplink1")</f>
        <v>Maplink1</v>
      </c>
      <c r="AT359" s="20" t="str">
        <f aca="false">HYPERLINK("https://www.google.iq/maps/search/+32.3651,44.6583/@32.3651,44.6583,14z?hl=en","Maplink2")</f>
        <v>Maplink2</v>
      </c>
      <c r="AU359" s="20" t="str">
        <f aca="false">HYPERLINK("http://www.bing.com/maps/?lvl=14&amp;sty=h&amp;cp=32.3651~44.6583&amp;sp=point.32.3651_44.6583","Maplink3")</f>
        <v>Maplink3</v>
      </c>
    </row>
    <row r="360" customFormat="false" ht="15" hidden="false" customHeight="true" outlineLevel="0" collapsed="false">
      <c r="A360" s="15" t="n">
        <v>6669</v>
      </c>
      <c r="B360" s="16" t="s">
        <v>16</v>
      </c>
      <c r="C360" s="16" t="s">
        <v>608</v>
      </c>
      <c r="D360" s="16" t="s">
        <v>731</v>
      </c>
      <c r="E360" s="17" t="s">
        <v>732</v>
      </c>
      <c r="F360" s="16" t="n">
        <v>32.29606204</v>
      </c>
      <c r="G360" s="16" t="n">
        <v>44.68868773</v>
      </c>
      <c r="H360" s="18" t="n">
        <v>25</v>
      </c>
      <c r="I360" s="18" t="n">
        <v>150</v>
      </c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 t="n">
        <v>25</v>
      </c>
      <c r="W360" s="19"/>
      <c r="X360" s="19"/>
      <c r="Y360" s="19"/>
      <c r="Z360" s="19"/>
      <c r="AA360" s="19"/>
      <c r="AB360" s="19"/>
      <c r="AC360" s="19" t="n">
        <v>3</v>
      </c>
      <c r="AD360" s="19"/>
      <c r="AE360" s="19"/>
      <c r="AF360" s="19"/>
      <c r="AG360" s="19"/>
      <c r="AH360" s="19" t="n">
        <v>22</v>
      </c>
      <c r="AI360" s="19"/>
      <c r="AJ360" s="19"/>
      <c r="AK360" s="19"/>
      <c r="AL360" s="19"/>
      <c r="AM360" s="19" t="n">
        <v>9</v>
      </c>
      <c r="AN360" s="19" t="n">
        <v>16</v>
      </c>
      <c r="AO360" s="19"/>
      <c r="AP360" s="19"/>
      <c r="AQ360" s="19"/>
      <c r="AR360" s="19"/>
      <c r="AS360" s="20" t="str">
        <f aca="false">HYPERLINK("http://www.openstreetmap.org/?mlat=32.2961&amp;mlon=44.6887&amp;zoom=12#map=12/32.2961/44.6887","Maplink1")</f>
        <v>Maplink1</v>
      </c>
      <c r="AT360" s="20" t="str">
        <f aca="false">HYPERLINK("https://www.google.iq/maps/search/+32.2961,44.6887/@32.2961,44.6887,14z?hl=en","Maplink2")</f>
        <v>Maplink2</v>
      </c>
      <c r="AU360" s="20" t="str">
        <f aca="false">HYPERLINK("http://www.bing.com/maps/?lvl=14&amp;sty=h&amp;cp=32.2961~44.6887&amp;sp=point.32.2961_44.6887","Maplink3")</f>
        <v>Maplink3</v>
      </c>
    </row>
    <row r="361" customFormat="false" ht="15" hidden="false" customHeight="true" outlineLevel="0" collapsed="false">
      <c r="A361" s="15" t="n">
        <v>6663</v>
      </c>
      <c r="B361" s="16" t="s">
        <v>16</v>
      </c>
      <c r="C361" s="16" t="s">
        <v>608</v>
      </c>
      <c r="D361" s="16" t="s">
        <v>733</v>
      </c>
      <c r="E361" s="17" t="s">
        <v>734</v>
      </c>
      <c r="F361" s="16" t="n">
        <v>32.295</v>
      </c>
      <c r="G361" s="16" t="n">
        <v>44.681389</v>
      </c>
      <c r="H361" s="18" t="n">
        <v>17</v>
      </c>
      <c r="I361" s="18" t="n">
        <v>102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 t="n">
        <v>17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 t="n">
        <v>17</v>
      </c>
      <c r="AI361" s="19"/>
      <c r="AJ361" s="19"/>
      <c r="AK361" s="19"/>
      <c r="AL361" s="19"/>
      <c r="AM361" s="19" t="n">
        <v>13</v>
      </c>
      <c r="AN361" s="19" t="n">
        <v>4</v>
      </c>
      <c r="AO361" s="19"/>
      <c r="AP361" s="19"/>
      <c r="AQ361" s="19"/>
      <c r="AR361" s="19"/>
      <c r="AS361" s="20" t="str">
        <f aca="false">HYPERLINK("http://www.openstreetmap.org/?mlat=32.295&amp;mlon=44.6814&amp;zoom=12#map=12/32.295/44.6814","Maplink1")</f>
        <v>Maplink1</v>
      </c>
      <c r="AT361" s="20" t="str">
        <f aca="false">HYPERLINK("https://www.google.iq/maps/search/+32.295,44.6814/@32.295,44.6814,14z?hl=en","Maplink2")</f>
        <v>Maplink2</v>
      </c>
      <c r="AU361" s="20" t="str">
        <f aca="false">HYPERLINK("http://www.bing.com/maps/?lvl=14&amp;sty=h&amp;cp=32.295~44.6814&amp;sp=point.32.295_44.6814","Maplink3")</f>
        <v>Maplink3</v>
      </c>
    </row>
    <row r="362" customFormat="false" ht="15" hidden="false" customHeight="true" outlineLevel="0" collapsed="false">
      <c r="A362" s="15" t="n">
        <v>7213</v>
      </c>
      <c r="B362" s="16" t="s">
        <v>16</v>
      </c>
      <c r="C362" s="16" t="s">
        <v>608</v>
      </c>
      <c r="D362" s="16" t="s">
        <v>735</v>
      </c>
      <c r="E362" s="17" t="s">
        <v>736</v>
      </c>
      <c r="F362" s="16" t="n">
        <v>32.30008787</v>
      </c>
      <c r="G362" s="16" t="n">
        <v>44.67949715</v>
      </c>
      <c r="H362" s="18" t="n">
        <v>16</v>
      </c>
      <c r="I362" s="18" t="n">
        <v>96</v>
      </c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 t="n">
        <v>16</v>
      </c>
      <c r="W362" s="19"/>
      <c r="X362" s="19"/>
      <c r="Y362" s="19"/>
      <c r="Z362" s="19"/>
      <c r="AA362" s="19"/>
      <c r="AB362" s="19"/>
      <c r="AC362" s="19" t="n">
        <v>12</v>
      </c>
      <c r="AD362" s="19"/>
      <c r="AE362" s="19"/>
      <c r="AF362" s="19"/>
      <c r="AG362" s="19"/>
      <c r="AH362" s="19" t="n">
        <v>4</v>
      </c>
      <c r="AI362" s="19"/>
      <c r="AJ362" s="19"/>
      <c r="AK362" s="19"/>
      <c r="AL362" s="19"/>
      <c r="AM362" s="19" t="n">
        <v>16</v>
      </c>
      <c r="AN362" s="19"/>
      <c r="AO362" s="19"/>
      <c r="AP362" s="19"/>
      <c r="AQ362" s="19"/>
      <c r="AR362" s="19"/>
      <c r="AS362" s="20" t="str">
        <f aca="false">HYPERLINK("http://www.openstreetmap.org/?mlat=32.3001&amp;mlon=44.6795&amp;zoom=12#map=12/32.3001/44.6795","Maplink1")</f>
        <v>Maplink1</v>
      </c>
      <c r="AT362" s="20" t="str">
        <f aca="false">HYPERLINK("https://www.google.iq/maps/search/+32.3001,44.6795/@32.3001,44.6795,14z?hl=en","Maplink2")</f>
        <v>Maplink2</v>
      </c>
      <c r="AU362" s="20" t="str">
        <f aca="false">HYPERLINK("http://www.bing.com/maps/?lvl=14&amp;sty=h&amp;cp=32.3001~44.6795&amp;sp=point.32.3001_44.6795","Maplink3")</f>
        <v>Maplink3</v>
      </c>
    </row>
    <row r="363" customFormat="false" ht="15" hidden="false" customHeight="true" outlineLevel="0" collapsed="false">
      <c r="A363" s="15" t="n">
        <v>6673</v>
      </c>
      <c r="B363" s="16" t="s">
        <v>16</v>
      </c>
      <c r="C363" s="16" t="s">
        <v>608</v>
      </c>
      <c r="D363" s="16" t="s">
        <v>737</v>
      </c>
      <c r="E363" s="17" t="s">
        <v>738</v>
      </c>
      <c r="F363" s="16" t="n">
        <v>32.2949628</v>
      </c>
      <c r="G363" s="16" t="n">
        <v>44.68188104</v>
      </c>
      <c r="H363" s="18" t="n">
        <v>51</v>
      </c>
      <c r="I363" s="18" t="n">
        <v>306</v>
      </c>
      <c r="J363" s="19" t="n">
        <v>1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 t="n">
        <v>50</v>
      </c>
      <c r="W363" s="19"/>
      <c r="X363" s="19"/>
      <c r="Y363" s="19"/>
      <c r="Z363" s="19"/>
      <c r="AA363" s="19"/>
      <c r="AB363" s="19"/>
      <c r="AC363" s="19" t="n">
        <v>45</v>
      </c>
      <c r="AD363" s="19"/>
      <c r="AE363" s="19"/>
      <c r="AF363" s="19"/>
      <c r="AG363" s="19"/>
      <c r="AH363" s="19" t="n">
        <v>6</v>
      </c>
      <c r="AI363" s="19"/>
      <c r="AJ363" s="19"/>
      <c r="AK363" s="19"/>
      <c r="AL363" s="19"/>
      <c r="AM363" s="19" t="n">
        <v>36</v>
      </c>
      <c r="AN363" s="19" t="n">
        <v>14</v>
      </c>
      <c r="AO363" s="19" t="n">
        <v>1</v>
      </c>
      <c r="AP363" s="19"/>
      <c r="AQ363" s="19"/>
      <c r="AR363" s="19"/>
      <c r="AS363" s="20" t="str">
        <f aca="false">HYPERLINK("http://www.openstreetmap.org/?mlat=32.295&amp;mlon=44.6819&amp;zoom=12#map=12/32.295/44.6819","Maplink1")</f>
        <v>Maplink1</v>
      </c>
      <c r="AT363" s="20" t="str">
        <f aca="false">HYPERLINK("https://www.google.iq/maps/search/+32.295,44.6819/@32.295,44.6819,14z?hl=en","Maplink2")</f>
        <v>Maplink2</v>
      </c>
      <c r="AU363" s="20" t="str">
        <f aca="false">HYPERLINK("http://www.bing.com/maps/?lvl=14&amp;sty=h&amp;cp=32.295~44.6819&amp;sp=point.32.295_44.6819","Maplink3")</f>
        <v>Maplink3</v>
      </c>
    </row>
    <row r="364" customFormat="false" ht="15" hidden="false" customHeight="true" outlineLevel="0" collapsed="false">
      <c r="A364" s="15" t="n">
        <v>25878</v>
      </c>
      <c r="B364" s="16" t="s">
        <v>16</v>
      </c>
      <c r="C364" s="16" t="s">
        <v>608</v>
      </c>
      <c r="D364" s="16" t="s">
        <v>739</v>
      </c>
      <c r="E364" s="17" t="s">
        <v>740</v>
      </c>
      <c r="F364" s="16" t="n">
        <v>32.29493007</v>
      </c>
      <c r="G364" s="16" t="n">
        <v>44.69419146</v>
      </c>
      <c r="H364" s="18" t="n">
        <v>9</v>
      </c>
      <c r="I364" s="18" t="n">
        <v>54</v>
      </c>
      <c r="J364" s="19" t="n">
        <v>4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 t="n">
        <v>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 t="n">
        <v>9</v>
      </c>
      <c r="AI364" s="19"/>
      <c r="AJ364" s="19"/>
      <c r="AK364" s="19"/>
      <c r="AL364" s="19"/>
      <c r="AM364" s="19" t="n">
        <v>5</v>
      </c>
      <c r="AN364" s="19"/>
      <c r="AO364" s="19"/>
      <c r="AP364" s="19" t="n">
        <v>4</v>
      </c>
      <c r="AQ364" s="19"/>
      <c r="AR364" s="19"/>
      <c r="AS364" s="20" t="str">
        <f aca="false">HYPERLINK("http://www.openstreetmap.org/?mlat=32.2949&amp;mlon=44.6942&amp;zoom=12#map=12/32.2949/44.6942","Maplink1")</f>
        <v>Maplink1</v>
      </c>
      <c r="AT364" s="20" t="str">
        <f aca="false">HYPERLINK("https://www.google.iq/maps/search/+32.2949,44.6942/@32.2949,44.6942,14z?hl=en","Maplink2")</f>
        <v>Maplink2</v>
      </c>
      <c r="AU364" s="20" t="str">
        <f aca="false">HYPERLINK("http://www.bing.com/maps/?lvl=14&amp;sty=h&amp;cp=32.2949~44.6942&amp;sp=point.32.2949_44.6942","Maplink3")</f>
        <v>Maplink3</v>
      </c>
    </row>
    <row r="365" customFormat="false" ht="15" hidden="false" customHeight="true" outlineLevel="0" collapsed="false">
      <c r="A365" s="15" t="n">
        <v>22274</v>
      </c>
      <c r="B365" s="16" t="s">
        <v>16</v>
      </c>
      <c r="C365" s="16" t="s">
        <v>608</v>
      </c>
      <c r="D365" s="16" t="s">
        <v>741</v>
      </c>
      <c r="E365" s="17" t="s">
        <v>742</v>
      </c>
      <c r="F365" s="16" t="n">
        <v>32.38202081</v>
      </c>
      <c r="G365" s="16" t="n">
        <v>44.68347101</v>
      </c>
      <c r="H365" s="18" t="n">
        <v>12</v>
      </c>
      <c r="I365" s="18" t="n">
        <v>72</v>
      </c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 t="n">
        <v>12</v>
      </c>
      <c r="W365" s="19"/>
      <c r="X365" s="19"/>
      <c r="Y365" s="19"/>
      <c r="Z365" s="19"/>
      <c r="AA365" s="19"/>
      <c r="AB365" s="19"/>
      <c r="AC365" s="19" t="n">
        <v>2</v>
      </c>
      <c r="AD365" s="19"/>
      <c r="AE365" s="19"/>
      <c r="AF365" s="19"/>
      <c r="AG365" s="19" t="n">
        <v>10</v>
      </c>
      <c r="AH365" s="19"/>
      <c r="AI365" s="19"/>
      <c r="AJ365" s="19"/>
      <c r="AK365" s="19"/>
      <c r="AL365" s="19"/>
      <c r="AM365" s="19" t="n">
        <v>10</v>
      </c>
      <c r="AN365" s="19" t="n">
        <v>2</v>
      </c>
      <c r="AO365" s="19"/>
      <c r="AP365" s="19"/>
      <c r="AQ365" s="19"/>
      <c r="AR365" s="19"/>
      <c r="AS365" s="20" t="str">
        <f aca="false">HYPERLINK("http://www.openstreetmap.org/?mlat=32.382&amp;mlon=44.6835&amp;zoom=12#map=12/32.382/44.6835","Maplink1")</f>
        <v>Maplink1</v>
      </c>
      <c r="AT365" s="20" t="str">
        <f aca="false">HYPERLINK("https://www.google.iq/maps/search/+32.382,44.6835/@32.382,44.6835,14z?hl=en","Maplink2")</f>
        <v>Maplink2</v>
      </c>
      <c r="AU365" s="20" t="str">
        <f aca="false">HYPERLINK("http://www.bing.com/maps/?lvl=14&amp;sty=h&amp;cp=32.382~44.6835&amp;sp=point.32.382_44.6835","Maplink3")</f>
        <v>Maplink3</v>
      </c>
    </row>
    <row r="366" customFormat="false" ht="15" hidden="false" customHeight="true" outlineLevel="0" collapsed="false">
      <c r="A366" s="15" t="n">
        <v>7011</v>
      </c>
      <c r="B366" s="16" t="s">
        <v>16</v>
      </c>
      <c r="C366" s="16" t="s">
        <v>743</v>
      </c>
      <c r="D366" s="16" t="s">
        <v>744</v>
      </c>
      <c r="E366" s="17" t="s">
        <v>745</v>
      </c>
      <c r="F366" s="16" t="n">
        <v>32.47554327</v>
      </c>
      <c r="G366" s="16" t="n">
        <v>44.34573295</v>
      </c>
      <c r="H366" s="18" t="n">
        <v>17</v>
      </c>
      <c r="I366" s="18" t="n">
        <v>102</v>
      </c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 t="n">
        <v>17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 t="n">
        <v>7</v>
      </c>
      <c r="AH366" s="19" t="n">
        <v>10</v>
      </c>
      <c r="AI366" s="19"/>
      <c r="AJ366" s="19"/>
      <c r="AK366" s="19"/>
      <c r="AL366" s="19"/>
      <c r="AM366" s="19" t="n">
        <v>17</v>
      </c>
      <c r="AN366" s="19"/>
      <c r="AO366" s="19"/>
      <c r="AP366" s="19"/>
      <c r="AQ366" s="19"/>
      <c r="AR366" s="19"/>
      <c r="AS366" s="20" t="str">
        <f aca="false">HYPERLINK("http://www.openstreetmap.org/?mlat=32.4755&amp;mlon=44.3457&amp;zoom=12#map=12/32.4755/44.3457","Maplink1")</f>
        <v>Maplink1</v>
      </c>
      <c r="AT366" s="20" t="str">
        <f aca="false">HYPERLINK("https://www.google.iq/maps/search/+32.4755,44.3457/@32.4755,44.3457,14z?hl=en","Maplink2")</f>
        <v>Maplink2</v>
      </c>
      <c r="AU366" s="20" t="str">
        <f aca="false">HYPERLINK("http://www.bing.com/maps/?lvl=14&amp;sty=h&amp;cp=32.4755~44.3457&amp;sp=point.32.4755_44.3457","Maplink3")</f>
        <v>Maplink3</v>
      </c>
    </row>
    <row r="367" customFormat="false" ht="15" hidden="false" customHeight="true" outlineLevel="0" collapsed="false">
      <c r="A367" s="15" t="n">
        <v>25600</v>
      </c>
      <c r="B367" s="16" t="s">
        <v>16</v>
      </c>
      <c r="C367" s="16" t="s">
        <v>743</v>
      </c>
      <c r="D367" s="16" t="s">
        <v>746</v>
      </c>
      <c r="E367" s="17" t="s">
        <v>747</v>
      </c>
      <c r="F367" s="16" t="n">
        <v>32.53076313</v>
      </c>
      <c r="G367" s="16" t="n">
        <v>44.323481</v>
      </c>
      <c r="H367" s="18" t="n">
        <v>8</v>
      </c>
      <c r="I367" s="18" t="n">
        <v>48</v>
      </c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 t="n">
        <v>8</v>
      </c>
      <c r="W367" s="19"/>
      <c r="X367" s="19"/>
      <c r="Y367" s="19"/>
      <c r="Z367" s="19"/>
      <c r="AA367" s="19"/>
      <c r="AB367" s="19"/>
      <c r="AC367" s="19" t="n">
        <v>6</v>
      </c>
      <c r="AD367" s="19"/>
      <c r="AE367" s="19"/>
      <c r="AF367" s="19"/>
      <c r="AG367" s="19"/>
      <c r="AH367" s="19" t="n">
        <v>2</v>
      </c>
      <c r="AI367" s="19"/>
      <c r="AJ367" s="19"/>
      <c r="AK367" s="19"/>
      <c r="AL367" s="19"/>
      <c r="AM367" s="19" t="n">
        <v>8</v>
      </c>
      <c r="AN367" s="19"/>
      <c r="AO367" s="19"/>
      <c r="AP367" s="19"/>
      <c r="AQ367" s="19"/>
      <c r="AR367" s="19"/>
      <c r="AS367" s="20" t="str">
        <f aca="false">HYPERLINK("http://www.openstreetmap.org/?mlat=32.5308&amp;mlon=44.3235&amp;zoom=12#map=12/32.5308/44.3235","Maplink1")</f>
        <v>Maplink1</v>
      </c>
      <c r="AT367" s="20" t="str">
        <f aca="false">HYPERLINK("https://www.google.iq/maps/search/+32.5308,44.3235/@32.5308,44.3235,14z?hl=en","Maplink2")</f>
        <v>Maplink2</v>
      </c>
      <c r="AU367" s="20" t="str">
        <f aca="false">HYPERLINK("http://www.bing.com/maps/?lvl=14&amp;sty=h&amp;cp=32.5308~44.3235&amp;sp=point.32.5308_44.3235","Maplink3")</f>
        <v>Maplink3</v>
      </c>
    </row>
    <row r="368" customFormat="false" ht="15" hidden="false" customHeight="true" outlineLevel="0" collapsed="false">
      <c r="A368" s="15" t="n">
        <v>25601</v>
      </c>
      <c r="B368" s="16" t="s">
        <v>16</v>
      </c>
      <c r="C368" s="16" t="s">
        <v>743</v>
      </c>
      <c r="D368" s="16" t="s">
        <v>748</v>
      </c>
      <c r="E368" s="17" t="s">
        <v>749</v>
      </c>
      <c r="F368" s="16" t="n">
        <v>32.52969364</v>
      </c>
      <c r="G368" s="16" t="n">
        <v>44.35041625</v>
      </c>
      <c r="H368" s="18" t="n">
        <v>10</v>
      </c>
      <c r="I368" s="18" t="n">
        <v>60</v>
      </c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 t="n">
        <v>10</v>
      </c>
      <c r="W368" s="19"/>
      <c r="X368" s="19"/>
      <c r="Y368" s="19"/>
      <c r="Z368" s="19"/>
      <c r="AA368" s="19"/>
      <c r="AB368" s="19"/>
      <c r="AC368" s="19" t="n">
        <v>2</v>
      </c>
      <c r="AD368" s="19"/>
      <c r="AE368" s="19"/>
      <c r="AF368" s="19"/>
      <c r="AG368" s="19" t="n">
        <v>1</v>
      </c>
      <c r="AH368" s="19" t="n">
        <v>7</v>
      </c>
      <c r="AI368" s="19"/>
      <c r="AJ368" s="19"/>
      <c r="AK368" s="19"/>
      <c r="AL368" s="19"/>
      <c r="AM368" s="19" t="n">
        <v>10</v>
      </c>
      <c r="AN368" s="19"/>
      <c r="AO368" s="19"/>
      <c r="AP368" s="19"/>
      <c r="AQ368" s="19"/>
      <c r="AR368" s="19"/>
      <c r="AS368" s="20" t="str">
        <f aca="false">HYPERLINK("http://www.openstreetmap.org/?mlat=32.5297&amp;mlon=44.3504&amp;zoom=12#map=12/32.5297/44.3504","Maplink1")</f>
        <v>Maplink1</v>
      </c>
      <c r="AT368" s="20" t="str">
        <f aca="false">HYPERLINK("https://www.google.iq/maps/search/+32.5297,44.3504/@32.5297,44.3504,14z?hl=en","Maplink2")</f>
        <v>Maplink2</v>
      </c>
      <c r="AU368" s="20" t="str">
        <f aca="false">HYPERLINK("http://www.bing.com/maps/?lvl=14&amp;sty=h&amp;cp=32.5297~44.3504&amp;sp=point.32.5297_44.3504","Maplink3")</f>
        <v>Maplink3</v>
      </c>
    </row>
    <row r="369" customFormat="false" ht="15" hidden="false" customHeight="true" outlineLevel="0" collapsed="false">
      <c r="A369" s="15" t="n">
        <v>6824</v>
      </c>
      <c r="B369" s="16" t="s">
        <v>16</v>
      </c>
      <c r="C369" s="16" t="s">
        <v>743</v>
      </c>
      <c r="D369" s="16" t="s">
        <v>750</v>
      </c>
      <c r="E369" s="17" t="s">
        <v>751</v>
      </c>
      <c r="F369" s="16" t="n">
        <v>32.50885849</v>
      </c>
      <c r="G369" s="16" t="n">
        <v>44.29494297</v>
      </c>
      <c r="H369" s="18" t="n">
        <v>8</v>
      </c>
      <c r="I369" s="18" t="n">
        <v>48</v>
      </c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 t="n">
        <v>6</v>
      </c>
      <c r="W369" s="19"/>
      <c r="X369" s="19" t="n">
        <v>2</v>
      </c>
      <c r="Y369" s="19"/>
      <c r="Z369" s="19"/>
      <c r="AA369" s="19"/>
      <c r="AB369" s="19"/>
      <c r="AC369" s="19" t="n">
        <v>2</v>
      </c>
      <c r="AD369" s="19"/>
      <c r="AE369" s="19"/>
      <c r="AF369" s="19"/>
      <c r="AG369" s="19" t="n">
        <v>4</v>
      </c>
      <c r="AH369" s="19" t="n">
        <v>2</v>
      </c>
      <c r="AI369" s="19"/>
      <c r="AJ369" s="19"/>
      <c r="AK369" s="19"/>
      <c r="AL369" s="19"/>
      <c r="AM369" s="19" t="n">
        <v>8</v>
      </c>
      <c r="AN369" s="19"/>
      <c r="AO369" s="19"/>
      <c r="AP369" s="19"/>
      <c r="AQ369" s="19"/>
      <c r="AR369" s="19"/>
      <c r="AS369" s="20" t="str">
        <f aca="false">HYPERLINK("http://www.openstreetmap.org/?mlat=32.5089&amp;mlon=44.2949&amp;zoom=12#map=12/32.5089/44.2949","Maplink1")</f>
        <v>Maplink1</v>
      </c>
      <c r="AT369" s="20" t="str">
        <f aca="false">HYPERLINK("https://www.google.iq/maps/search/+32.5089,44.2949/@32.5089,44.2949,14z?hl=en","Maplink2")</f>
        <v>Maplink2</v>
      </c>
      <c r="AU369" s="20" t="str">
        <f aca="false">HYPERLINK("http://www.bing.com/maps/?lvl=14&amp;sty=h&amp;cp=32.5089~44.2949&amp;sp=point.32.5089_44.2949","Maplink3")</f>
        <v>Maplink3</v>
      </c>
    </row>
    <row r="370" customFormat="false" ht="15" hidden="false" customHeight="true" outlineLevel="0" collapsed="false">
      <c r="A370" s="15" t="n">
        <v>25599</v>
      </c>
      <c r="B370" s="16" t="s">
        <v>16</v>
      </c>
      <c r="C370" s="16" t="s">
        <v>743</v>
      </c>
      <c r="D370" s="16" t="s">
        <v>752</v>
      </c>
      <c r="E370" s="17" t="s">
        <v>753</v>
      </c>
      <c r="F370" s="16" t="n">
        <v>32.5273936</v>
      </c>
      <c r="G370" s="16" t="n">
        <v>44.35348134</v>
      </c>
      <c r="H370" s="18" t="n">
        <v>21</v>
      </c>
      <c r="I370" s="18" t="n">
        <v>126</v>
      </c>
      <c r="J370" s="19" t="n">
        <v>1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 t="n">
        <v>20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 t="n">
        <v>20</v>
      </c>
      <c r="AI370" s="19"/>
      <c r="AJ370" s="19" t="n">
        <v>1</v>
      </c>
      <c r="AK370" s="19"/>
      <c r="AL370" s="19"/>
      <c r="AM370" s="19" t="n">
        <v>20</v>
      </c>
      <c r="AN370" s="19"/>
      <c r="AO370" s="19" t="n">
        <v>1</v>
      </c>
      <c r="AP370" s="19"/>
      <c r="AQ370" s="19"/>
      <c r="AR370" s="19"/>
      <c r="AS370" s="20" t="str">
        <f aca="false">HYPERLINK("http://www.openstreetmap.org/?mlat=32.5274&amp;mlon=44.3535&amp;zoom=12#map=12/32.5274/44.3535","Maplink1")</f>
        <v>Maplink1</v>
      </c>
      <c r="AT370" s="20" t="str">
        <f aca="false">HYPERLINK("https://www.google.iq/maps/search/+32.5274,44.3535/@32.5274,44.3535,14z?hl=en","Maplink2")</f>
        <v>Maplink2</v>
      </c>
      <c r="AU370" s="20" t="str">
        <f aca="false">HYPERLINK("http://www.bing.com/maps/?lvl=14&amp;sty=h&amp;cp=32.5274~44.3535&amp;sp=point.32.5274_44.3535","Maplink3")</f>
        <v>Maplink3</v>
      </c>
    </row>
    <row r="371" customFormat="false" ht="15" hidden="false" customHeight="true" outlineLevel="0" collapsed="false">
      <c r="A371" s="15" t="n">
        <v>25602</v>
      </c>
      <c r="B371" s="16" t="s">
        <v>16</v>
      </c>
      <c r="C371" s="16" t="s">
        <v>743</v>
      </c>
      <c r="D371" s="16" t="s">
        <v>754</v>
      </c>
      <c r="E371" s="17" t="s">
        <v>755</v>
      </c>
      <c r="F371" s="16" t="n">
        <v>32.45171897</v>
      </c>
      <c r="G371" s="16" t="n">
        <v>44.36374012</v>
      </c>
      <c r="H371" s="18" t="n">
        <v>5</v>
      </c>
      <c r="I371" s="18" t="n">
        <v>30</v>
      </c>
      <c r="J371" s="19" t="n">
        <v>2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 t="n">
        <v>3</v>
      </c>
      <c r="W371" s="19"/>
      <c r="X371" s="19"/>
      <c r="Y371" s="19"/>
      <c r="Z371" s="19"/>
      <c r="AA371" s="19"/>
      <c r="AB371" s="19"/>
      <c r="AC371" s="19" t="n">
        <v>5</v>
      </c>
      <c r="AD371" s="19"/>
      <c r="AE371" s="19"/>
      <c r="AF371" s="19"/>
      <c r="AG371" s="19"/>
      <c r="AH371" s="19"/>
      <c r="AI371" s="19"/>
      <c r="AJ371" s="19"/>
      <c r="AK371" s="19"/>
      <c r="AL371" s="19"/>
      <c r="AM371" s="19" t="n">
        <v>3</v>
      </c>
      <c r="AN371" s="19"/>
      <c r="AO371" s="19"/>
      <c r="AP371" s="19" t="n">
        <v>2</v>
      </c>
      <c r="AQ371" s="19"/>
      <c r="AR371" s="19"/>
      <c r="AS371" s="20" t="str">
        <f aca="false">HYPERLINK("http://www.openstreetmap.org/?mlat=32.4517&amp;mlon=44.3637&amp;zoom=12#map=12/32.4517/44.3637","Maplink1")</f>
        <v>Maplink1</v>
      </c>
      <c r="AT371" s="20" t="str">
        <f aca="false">HYPERLINK("https://www.google.iq/maps/search/+32.4517,44.3637/@32.4517,44.3637,14z?hl=en","Maplink2")</f>
        <v>Maplink2</v>
      </c>
      <c r="AU371" s="20" t="str">
        <f aca="false">HYPERLINK("http://www.bing.com/maps/?lvl=14&amp;sty=h&amp;cp=32.4517~44.3637&amp;sp=point.32.4517_44.3637","Maplink3")</f>
        <v>Maplink3</v>
      </c>
    </row>
    <row r="372" customFormat="false" ht="15" hidden="false" customHeight="true" outlineLevel="0" collapsed="false">
      <c r="A372" s="15" t="n">
        <v>25607</v>
      </c>
      <c r="B372" s="16" t="s">
        <v>16</v>
      </c>
      <c r="C372" s="16" t="s">
        <v>743</v>
      </c>
      <c r="D372" s="16" t="s">
        <v>756</v>
      </c>
      <c r="E372" s="17" t="s">
        <v>757</v>
      </c>
      <c r="F372" s="16" t="n">
        <v>32.45847101</v>
      </c>
      <c r="G372" s="16" t="n">
        <v>44.35647058</v>
      </c>
      <c r="H372" s="18" t="n">
        <v>5</v>
      </c>
      <c r="I372" s="18" t="n">
        <v>30</v>
      </c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 t="n">
        <v>5</v>
      </c>
      <c r="W372" s="19"/>
      <c r="X372" s="19"/>
      <c r="Y372" s="19"/>
      <c r="Z372" s="19"/>
      <c r="AA372" s="19"/>
      <c r="AB372" s="19"/>
      <c r="AC372" s="19" t="n">
        <v>5</v>
      </c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 t="n">
        <v>5</v>
      </c>
      <c r="AO372" s="19"/>
      <c r="AP372" s="19"/>
      <c r="AQ372" s="19"/>
      <c r="AR372" s="19"/>
      <c r="AS372" s="20" t="str">
        <f aca="false">HYPERLINK("http://www.openstreetmap.org/?mlat=32.4585&amp;mlon=44.3565&amp;zoom=12#map=12/32.4585/44.3565","Maplink1")</f>
        <v>Maplink1</v>
      </c>
      <c r="AT372" s="20" t="str">
        <f aca="false">HYPERLINK("https://www.google.iq/maps/search/+32.4585,44.3565/@32.4585,44.3565,14z?hl=en","Maplink2")</f>
        <v>Maplink2</v>
      </c>
      <c r="AU372" s="20" t="str">
        <f aca="false">HYPERLINK("http://www.bing.com/maps/?lvl=14&amp;sty=h&amp;cp=32.4585~44.3565&amp;sp=point.32.4585_44.3565","Maplink3")</f>
        <v>Maplink3</v>
      </c>
    </row>
    <row r="373" customFormat="false" ht="15" hidden="false" customHeight="true" outlineLevel="0" collapsed="false">
      <c r="A373" s="15" t="n">
        <v>24459</v>
      </c>
      <c r="B373" s="16" t="s">
        <v>16</v>
      </c>
      <c r="C373" s="16" t="s">
        <v>743</v>
      </c>
      <c r="D373" s="16" t="s">
        <v>758</v>
      </c>
      <c r="E373" s="17" t="s">
        <v>759</v>
      </c>
      <c r="F373" s="16" t="n">
        <v>32.5178982</v>
      </c>
      <c r="G373" s="16" t="n">
        <v>44.48329406</v>
      </c>
      <c r="H373" s="18" t="n">
        <v>17</v>
      </c>
      <c r="I373" s="18" t="n">
        <v>102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 t="n">
        <v>17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 t="n">
        <v>17</v>
      </c>
      <c r="AH373" s="19"/>
      <c r="AI373" s="19"/>
      <c r="AJ373" s="19"/>
      <c r="AK373" s="19"/>
      <c r="AL373" s="19"/>
      <c r="AM373" s="19"/>
      <c r="AN373" s="19" t="n">
        <v>17</v>
      </c>
      <c r="AO373" s="19"/>
      <c r="AP373" s="19"/>
      <c r="AQ373" s="19"/>
      <c r="AR373" s="19"/>
      <c r="AS373" s="20" t="str">
        <f aca="false">HYPERLINK("http://www.openstreetmap.org/?mlat=32.5179&amp;mlon=44.4833&amp;zoom=12#map=12/32.5179/44.4833","Maplink1")</f>
        <v>Maplink1</v>
      </c>
      <c r="AT373" s="20" t="str">
        <f aca="false">HYPERLINK("https://www.google.iq/maps/search/+32.5179,44.4833/@32.5179,44.4833,14z?hl=en","Maplink2")</f>
        <v>Maplink2</v>
      </c>
      <c r="AU373" s="20" t="str">
        <f aca="false">HYPERLINK("http://www.bing.com/maps/?lvl=14&amp;sty=h&amp;cp=32.5179~44.4833&amp;sp=point.32.5179_44.4833","Maplink3")</f>
        <v>Maplink3</v>
      </c>
    </row>
    <row r="374" customFormat="false" ht="15" hidden="false" customHeight="true" outlineLevel="0" collapsed="false">
      <c r="A374" s="15" t="n">
        <v>25121</v>
      </c>
      <c r="B374" s="16" t="s">
        <v>16</v>
      </c>
      <c r="C374" s="16" t="s">
        <v>743</v>
      </c>
      <c r="D374" s="16" t="s">
        <v>760</v>
      </c>
      <c r="E374" s="17" t="s">
        <v>761</v>
      </c>
      <c r="F374" s="16" t="n">
        <v>32.25142547</v>
      </c>
      <c r="G374" s="16" t="n">
        <v>44.43103851</v>
      </c>
      <c r="H374" s="18" t="n">
        <v>17</v>
      </c>
      <c r="I374" s="18" t="n">
        <v>102</v>
      </c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 t="n">
        <v>17</v>
      </c>
      <c r="W374" s="19"/>
      <c r="X374" s="19"/>
      <c r="Y374" s="19"/>
      <c r="Z374" s="19"/>
      <c r="AA374" s="19"/>
      <c r="AB374" s="19"/>
      <c r="AC374" s="19" t="n">
        <v>7</v>
      </c>
      <c r="AD374" s="19"/>
      <c r="AE374" s="19"/>
      <c r="AF374" s="19"/>
      <c r="AG374" s="19" t="n">
        <v>10</v>
      </c>
      <c r="AH374" s="19"/>
      <c r="AI374" s="19"/>
      <c r="AJ374" s="19"/>
      <c r="AK374" s="19"/>
      <c r="AL374" s="19"/>
      <c r="AM374" s="19" t="n">
        <v>17</v>
      </c>
      <c r="AN374" s="19"/>
      <c r="AO374" s="19"/>
      <c r="AP374" s="19"/>
      <c r="AQ374" s="19"/>
      <c r="AR374" s="19"/>
      <c r="AS374" s="20" t="str">
        <f aca="false">HYPERLINK("http://www.openstreetmap.org/?mlat=32.2514&amp;mlon=44.431&amp;zoom=12#map=12/32.2514/44.431","Maplink1")</f>
        <v>Maplink1</v>
      </c>
      <c r="AT374" s="20" t="str">
        <f aca="false">HYPERLINK("https://www.google.iq/maps/search/+32.2514,44.431/@32.2514,44.431,14z?hl=en","Maplink2")</f>
        <v>Maplink2</v>
      </c>
      <c r="AU374" s="20" t="str">
        <f aca="false">HYPERLINK("http://www.bing.com/maps/?lvl=14&amp;sty=h&amp;cp=32.2514~44.431&amp;sp=point.32.2514_44.431","Maplink3")</f>
        <v>Maplink3</v>
      </c>
    </row>
    <row r="375" customFormat="false" ht="15" hidden="false" customHeight="true" outlineLevel="0" collapsed="false">
      <c r="A375" s="15" t="n">
        <v>24274</v>
      </c>
      <c r="B375" s="16" t="s">
        <v>16</v>
      </c>
      <c r="C375" s="16" t="s">
        <v>743</v>
      </c>
      <c r="D375" s="16" t="s">
        <v>762</v>
      </c>
      <c r="E375" s="17" t="s">
        <v>763</v>
      </c>
      <c r="F375" s="16" t="n">
        <v>32.51157318</v>
      </c>
      <c r="G375" s="16" t="n">
        <v>44.4045936</v>
      </c>
      <c r="H375" s="18" t="n">
        <v>42</v>
      </c>
      <c r="I375" s="18" t="n">
        <v>252</v>
      </c>
      <c r="J375" s="19" t="n">
        <v>3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 t="n">
        <v>39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 t="n">
        <v>5</v>
      </c>
      <c r="AH375" s="19" t="n">
        <v>37</v>
      </c>
      <c r="AI375" s="19"/>
      <c r="AJ375" s="19"/>
      <c r="AK375" s="19"/>
      <c r="AL375" s="19"/>
      <c r="AM375" s="19" t="n">
        <v>39</v>
      </c>
      <c r="AN375" s="19"/>
      <c r="AO375" s="19" t="n">
        <v>3</v>
      </c>
      <c r="AP375" s="19"/>
      <c r="AQ375" s="19"/>
      <c r="AR375" s="19"/>
      <c r="AS375" s="20" t="str">
        <f aca="false">HYPERLINK("http://www.openstreetmap.org/?mlat=32.5116&amp;mlon=44.4046&amp;zoom=12#map=12/32.5116/44.4046","Maplink1")</f>
        <v>Maplink1</v>
      </c>
      <c r="AT375" s="20" t="str">
        <f aca="false">HYPERLINK("https://www.google.iq/maps/search/+32.5116,44.4046/@32.5116,44.4046,14z?hl=en","Maplink2")</f>
        <v>Maplink2</v>
      </c>
      <c r="AU375" s="20" t="str">
        <f aca="false">HYPERLINK("http://www.bing.com/maps/?lvl=14&amp;sty=h&amp;cp=32.5116~44.4046&amp;sp=point.32.5116_44.4046","Maplink3")</f>
        <v>Maplink3</v>
      </c>
    </row>
    <row r="376" customFormat="false" ht="15" hidden="false" customHeight="true" outlineLevel="0" collapsed="false">
      <c r="A376" s="15" t="n">
        <v>25877</v>
      </c>
      <c r="B376" s="16" t="s">
        <v>16</v>
      </c>
      <c r="C376" s="16" t="s">
        <v>743</v>
      </c>
      <c r="D376" s="16" t="s">
        <v>764</v>
      </c>
      <c r="E376" s="17" t="s">
        <v>765</v>
      </c>
      <c r="F376" s="16" t="n">
        <v>32.48955283</v>
      </c>
      <c r="G376" s="16" t="n">
        <v>44.45332062</v>
      </c>
      <c r="H376" s="18" t="n">
        <v>23</v>
      </c>
      <c r="I376" s="18" t="n">
        <v>138</v>
      </c>
      <c r="J376" s="19" t="n">
        <v>4</v>
      </c>
      <c r="K376" s="19"/>
      <c r="L376" s="19" t="n">
        <v>1</v>
      </c>
      <c r="M376" s="19"/>
      <c r="N376" s="19"/>
      <c r="O376" s="19" t="n">
        <v>1</v>
      </c>
      <c r="P376" s="19"/>
      <c r="Q376" s="19"/>
      <c r="R376" s="19"/>
      <c r="S376" s="19"/>
      <c r="T376" s="19"/>
      <c r="U376" s="19"/>
      <c r="V376" s="19" t="n">
        <v>17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 t="n">
        <v>23</v>
      </c>
      <c r="AI376" s="19"/>
      <c r="AJ376" s="19"/>
      <c r="AK376" s="19"/>
      <c r="AL376" s="19"/>
      <c r="AM376" s="19" t="n">
        <v>20</v>
      </c>
      <c r="AN376" s="19" t="n">
        <v>2</v>
      </c>
      <c r="AO376" s="19"/>
      <c r="AP376" s="19"/>
      <c r="AQ376" s="19"/>
      <c r="AR376" s="19" t="n">
        <v>1</v>
      </c>
      <c r="AS376" s="20" t="str">
        <f aca="false">HYPERLINK("http://www.openstreetmap.org/?mlat=32.4896&amp;mlon=44.4533&amp;zoom=12#map=12/32.4896/44.4533","Maplink1")</f>
        <v>Maplink1</v>
      </c>
      <c r="AT376" s="20" t="str">
        <f aca="false">HYPERLINK("https://www.google.iq/maps/search/+32.4896,44.4533/@32.4896,44.4533,14z?hl=en","Maplink2")</f>
        <v>Maplink2</v>
      </c>
      <c r="AU376" s="20" t="str">
        <f aca="false">HYPERLINK("http://www.bing.com/maps/?lvl=14&amp;sty=h&amp;cp=32.4896~44.4533&amp;sp=point.32.4896_44.4533","Maplink3")</f>
        <v>Maplink3</v>
      </c>
    </row>
    <row r="377" customFormat="false" ht="15" hidden="false" customHeight="true" outlineLevel="0" collapsed="false">
      <c r="A377" s="15" t="n">
        <v>24788</v>
      </c>
      <c r="B377" s="16" t="s">
        <v>16</v>
      </c>
      <c r="C377" s="16" t="s">
        <v>743</v>
      </c>
      <c r="D377" s="16" t="s">
        <v>766</v>
      </c>
      <c r="E377" s="17" t="s">
        <v>767</v>
      </c>
      <c r="F377" s="16" t="n">
        <v>32.45286448</v>
      </c>
      <c r="G377" s="16" t="n">
        <v>44.39602864</v>
      </c>
      <c r="H377" s="18" t="n">
        <v>19</v>
      </c>
      <c r="I377" s="18" t="n">
        <v>114</v>
      </c>
      <c r="J377" s="19" t="n">
        <v>3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 t="n">
        <v>11</v>
      </c>
      <c r="W377" s="19"/>
      <c r="X377" s="19" t="n">
        <v>5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 t="n">
        <v>19</v>
      </c>
      <c r="AI377" s="19"/>
      <c r="AJ377" s="19"/>
      <c r="AK377" s="19"/>
      <c r="AL377" s="19"/>
      <c r="AM377" s="19" t="n">
        <v>11</v>
      </c>
      <c r="AN377" s="19" t="n">
        <v>5</v>
      </c>
      <c r="AO377" s="19"/>
      <c r="AP377" s="19" t="n">
        <v>3</v>
      </c>
      <c r="AQ377" s="19"/>
      <c r="AR377" s="19"/>
      <c r="AS377" s="20" t="str">
        <f aca="false">HYPERLINK("http://www.openstreetmap.org/?mlat=32.4529&amp;mlon=44.396&amp;zoom=12#map=12/32.4529/44.396","Maplink1")</f>
        <v>Maplink1</v>
      </c>
      <c r="AT377" s="20" t="str">
        <f aca="false">HYPERLINK("https://www.google.iq/maps/search/+32.4529,44.396/@32.4529,44.396,14z?hl=en","Maplink2")</f>
        <v>Maplink2</v>
      </c>
      <c r="AU377" s="20" t="str">
        <f aca="false">HYPERLINK("http://www.bing.com/maps/?lvl=14&amp;sty=h&amp;cp=32.4529~44.396&amp;sp=point.32.4529_44.396","Maplink3")</f>
        <v>Maplink3</v>
      </c>
    </row>
    <row r="378" customFormat="false" ht="15" hidden="false" customHeight="true" outlineLevel="0" collapsed="false">
      <c r="A378" s="15" t="n">
        <v>24161</v>
      </c>
      <c r="B378" s="16" t="s">
        <v>16</v>
      </c>
      <c r="C378" s="16" t="s">
        <v>743</v>
      </c>
      <c r="D378" s="16" t="s">
        <v>768</v>
      </c>
      <c r="E378" s="17" t="s">
        <v>769</v>
      </c>
      <c r="F378" s="16" t="n">
        <v>32.4629032</v>
      </c>
      <c r="G378" s="16" t="n">
        <v>44.39882107</v>
      </c>
      <c r="H378" s="18" t="n">
        <v>32</v>
      </c>
      <c r="I378" s="18" t="n">
        <v>192</v>
      </c>
      <c r="J378" s="19" t="n">
        <v>2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 t="n">
        <v>22</v>
      </c>
      <c r="W378" s="19"/>
      <c r="X378" s="19" t="n">
        <v>8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 t="n">
        <v>32</v>
      </c>
      <c r="AI378" s="19"/>
      <c r="AJ378" s="19"/>
      <c r="AK378" s="19"/>
      <c r="AL378" s="19"/>
      <c r="AM378" s="19" t="n">
        <v>22</v>
      </c>
      <c r="AN378" s="19" t="n">
        <v>8</v>
      </c>
      <c r="AO378" s="19" t="n">
        <v>2</v>
      </c>
      <c r="AP378" s="19"/>
      <c r="AQ378" s="19"/>
      <c r="AR378" s="19"/>
      <c r="AS378" s="20" t="str">
        <f aca="false">HYPERLINK("http://www.openstreetmap.org/?mlat=32.4629&amp;mlon=44.3988&amp;zoom=12#map=12/32.4629/44.3988","Maplink1")</f>
        <v>Maplink1</v>
      </c>
      <c r="AT378" s="20" t="str">
        <f aca="false">HYPERLINK("https://www.google.iq/maps/search/+32.4629,44.3988/@32.4629,44.3988,14z?hl=en","Maplink2")</f>
        <v>Maplink2</v>
      </c>
      <c r="AU378" s="20" t="str">
        <f aca="false">HYPERLINK("http://www.bing.com/maps/?lvl=14&amp;sty=h&amp;cp=32.4629~44.3988&amp;sp=point.32.4629_44.3988","Maplink3")</f>
        <v>Maplink3</v>
      </c>
    </row>
    <row r="379" customFormat="false" ht="15" hidden="false" customHeight="true" outlineLevel="0" collapsed="false">
      <c r="A379" s="15" t="n">
        <v>25876</v>
      </c>
      <c r="B379" s="16" t="s">
        <v>16</v>
      </c>
      <c r="C379" s="16" t="s">
        <v>743</v>
      </c>
      <c r="D379" s="16" t="s">
        <v>770</v>
      </c>
      <c r="E379" s="17" t="s">
        <v>771</v>
      </c>
      <c r="F379" s="16" t="n">
        <v>32.49665096</v>
      </c>
      <c r="G379" s="16" t="n">
        <v>44.4462955</v>
      </c>
      <c r="H379" s="18" t="n">
        <v>43</v>
      </c>
      <c r="I379" s="18" t="n">
        <v>258</v>
      </c>
      <c r="J379" s="19" t="n">
        <v>14</v>
      </c>
      <c r="K379" s="19"/>
      <c r="L379" s="19"/>
      <c r="M379" s="19"/>
      <c r="N379" s="19"/>
      <c r="O379" s="19" t="n">
        <v>1</v>
      </c>
      <c r="P379" s="19"/>
      <c r="Q379" s="19"/>
      <c r="R379" s="19"/>
      <c r="S379" s="19"/>
      <c r="T379" s="19"/>
      <c r="U379" s="19"/>
      <c r="V379" s="19" t="n">
        <v>28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 t="n">
        <v>43</v>
      </c>
      <c r="AI379" s="19"/>
      <c r="AJ379" s="19"/>
      <c r="AK379" s="19"/>
      <c r="AL379" s="19"/>
      <c r="AM379" s="19" t="n">
        <v>29</v>
      </c>
      <c r="AN379" s="19"/>
      <c r="AO379" s="19" t="n">
        <v>13</v>
      </c>
      <c r="AP379" s="19" t="n">
        <v>1</v>
      </c>
      <c r="AQ379" s="19"/>
      <c r="AR379" s="19"/>
      <c r="AS379" s="20" t="str">
        <f aca="false">HYPERLINK("http://www.openstreetmap.org/?mlat=32.4967&amp;mlon=44.4463&amp;zoom=12#map=12/32.4967/44.4463","Maplink1")</f>
        <v>Maplink1</v>
      </c>
      <c r="AT379" s="20" t="str">
        <f aca="false">HYPERLINK("https://www.google.iq/maps/search/+32.4967,44.4463/@32.4967,44.4463,14z?hl=en","Maplink2")</f>
        <v>Maplink2</v>
      </c>
      <c r="AU379" s="20" t="str">
        <f aca="false">HYPERLINK("http://www.bing.com/maps/?lvl=14&amp;sty=h&amp;cp=32.4967~44.4463&amp;sp=point.32.4967_44.4463","Maplink3")</f>
        <v>Maplink3</v>
      </c>
    </row>
    <row r="380" customFormat="false" ht="15" hidden="false" customHeight="true" outlineLevel="0" collapsed="false">
      <c r="A380" s="15" t="n">
        <v>25875</v>
      </c>
      <c r="B380" s="16" t="s">
        <v>16</v>
      </c>
      <c r="C380" s="16" t="s">
        <v>743</v>
      </c>
      <c r="D380" s="16" t="s">
        <v>772</v>
      </c>
      <c r="E380" s="17" t="s">
        <v>773</v>
      </c>
      <c r="F380" s="16" t="n">
        <v>32.49414888</v>
      </c>
      <c r="G380" s="16" t="n">
        <v>44.45301334</v>
      </c>
      <c r="H380" s="18" t="n">
        <v>96</v>
      </c>
      <c r="I380" s="18" t="n">
        <v>576</v>
      </c>
      <c r="J380" s="19" t="n">
        <v>38</v>
      </c>
      <c r="K380" s="19"/>
      <c r="L380" s="19"/>
      <c r="M380" s="19"/>
      <c r="N380" s="19"/>
      <c r="O380" s="19" t="n">
        <v>2</v>
      </c>
      <c r="P380" s="19"/>
      <c r="Q380" s="19"/>
      <c r="R380" s="19" t="n">
        <v>1</v>
      </c>
      <c r="S380" s="19"/>
      <c r="T380" s="19"/>
      <c r="U380" s="19"/>
      <c r="V380" s="19" t="n">
        <v>51</v>
      </c>
      <c r="W380" s="19"/>
      <c r="X380" s="19" t="n">
        <v>4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 t="n">
        <v>96</v>
      </c>
      <c r="AI380" s="19"/>
      <c r="AJ380" s="19"/>
      <c r="AK380" s="19"/>
      <c r="AL380" s="19"/>
      <c r="AM380" s="19" t="n">
        <v>36</v>
      </c>
      <c r="AN380" s="19" t="n">
        <v>22</v>
      </c>
      <c r="AO380" s="19" t="n">
        <v>32</v>
      </c>
      <c r="AP380" s="19" t="n">
        <v>6</v>
      </c>
      <c r="AQ380" s="19"/>
      <c r="AR380" s="19"/>
      <c r="AS380" s="20" t="str">
        <f aca="false">HYPERLINK("http://www.openstreetmap.org/?mlat=32.4941&amp;mlon=44.453&amp;zoom=12#map=12/32.4941/44.453","Maplink1")</f>
        <v>Maplink1</v>
      </c>
      <c r="AT380" s="20" t="str">
        <f aca="false">HYPERLINK("https://www.google.iq/maps/search/+32.4941,44.453/@32.4941,44.453,14z?hl=en","Maplink2")</f>
        <v>Maplink2</v>
      </c>
      <c r="AU380" s="20" t="str">
        <f aca="false">HYPERLINK("http://www.bing.com/maps/?lvl=14&amp;sty=h&amp;cp=32.4941~44.453&amp;sp=point.32.4941_44.453","Maplink3")</f>
        <v>Maplink3</v>
      </c>
    </row>
    <row r="381" customFormat="false" ht="15" hidden="false" customHeight="true" outlineLevel="0" collapsed="false">
      <c r="A381" s="15" t="n">
        <v>22607</v>
      </c>
      <c r="B381" s="16" t="s">
        <v>16</v>
      </c>
      <c r="C381" s="16" t="s">
        <v>743</v>
      </c>
      <c r="D381" s="16" t="s">
        <v>774</v>
      </c>
      <c r="E381" s="17" t="s">
        <v>775</v>
      </c>
      <c r="F381" s="16" t="n">
        <v>32.52401762</v>
      </c>
      <c r="G381" s="16" t="n">
        <v>44.36590869</v>
      </c>
      <c r="H381" s="18" t="n">
        <v>52</v>
      </c>
      <c r="I381" s="18" t="n">
        <v>312</v>
      </c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 t="n">
        <v>52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 t="n">
        <v>11</v>
      </c>
      <c r="AH381" s="19"/>
      <c r="AI381" s="19"/>
      <c r="AJ381" s="19" t="n">
        <v>41</v>
      </c>
      <c r="AK381" s="19"/>
      <c r="AL381" s="19"/>
      <c r="AM381" s="19" t="n">
        <v>52</v>
      </c>
      <c r="AN381" s="19"/>
      <c r="AO381" s="19"/>
      <c r="AP381" s="19"/>
      <c r="AQ381" s="19"/>
      <c r="AR381" s="19"/>
      <c r="AS381" s="20" t="str">
        <f aca="false">HYPERLINK("http://www.openstreetmap.org/?mlat=32.524&amp;mlon=44.3659&amp;zoom=12#map=12/32.524/44.3659","Maplink1")</f>
        <v>Maplink1</v>
      </c>
      <c r="AT381" s="20" t="str">
        <f aca="false">HYPERLINK("https://www.google.iq/maps/search/+32.524,44.3659/@32.524,44.3659,14z?hl=en","Maplink2")</f>
        <v>Maplink2</v>
      </c>
      <c r="AU381" s="20" t="str">
        <f aca="false">HYPERLINK("http://www.bing.com/maps/?lvl=14&amp;sty=h&amp;cp=32.524~44.3659&amp;sp=point.32.524_44.3659","Maplink3")</f>
        <v>Maplink3</v>
      </c>
    </row>
    <row r="382" customFormat="false" ht="15" hidden="false" customHeight="true" outlineLevel="0" collapsed="false">
      <c r="A382" s="15" t="n">
        <v>24458</v>
      </c>
      <c r="B382" s="16" t="s">
        <v>16</v>
      </c>
      <c r="C382" s="16" t="s">
        <v>743</v>
      </c>
      <c r="D382" s="16" t="s">
        <v>776</v>
      </c>
      <c r="E382" s="17" t="s">
        <v>777</v>
      </c>
      <c r="F382" s="16" t="n">
        <v>32.49156402</v>
      </c>
      <c r="G382" s="16" t="n">
        <v>44.32031097</v>
      </c>
      <c r="H382" s="18" t="n">
        <v>3</v>
      </c>
      <c r="I382" s="18" t="n">
        <v>18</v>
      </c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 t="n">
        <v>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 t="n">
        <v>3</v>
      </c>
      <c r="AI382" s="19"/>
      <c r="AJ382" s="19"/>
      <c r="AK382" s="19"/>
      <c r="AL382" s="19"/>
      <c r="AM382" s="19"/>
      <c r="AN382" s="19" t="n">
        <v>3</v>
      </c>
      <c r="AO382" s="19"/>
      <c r="AP382" s="19"/>
      <c r="AQ382" s="19"/>
      <c r="AR382" s="19"/>
      <c r="AS382" s="20" t="str">
        <f aca="false">HYPERLINK("http://www.openstreetmap.org/?mlat=32.4916&amp;mlon=44.3203&amp;zoom=12#map=12/32.4916/44.3203","Maplink1")</f>
        <v>Maplink1</v>
      </c>
      <c r="AT382" s="20" t="str">
        <f aca="false">HYPERLINK("https://www.google.iq/maps/search/+32.4916,44.3203/@32.4916,44.3203,14z?hl=en","Maplink2")</f>
        <v>Maplink2</v>
      </c>
      <c r="AU382" s="20" t="str">
        <f aca="false">HYPERLINK("http://www.bing.com/maps/?lvl=14&amp;sty=h&amp;cp=32.4916~44.3203&amp;sp=point.32.4916_44.3203","Maplink3")</f>
        <v>Maplink3</v>
      </c>
    </row>
    <row r="383" customFormat="false" ht="15" hidden="false" customHeight="true" outlineLevel="0" collapsed="false">
      <c r="A383" s="15" t="n">
        <v>24973</v>
      </c>
      <c r="B383" s="16" t="s">
        <v>16</v>
      </c>
      <c r="C383" s="16" t="s">
        <v>743</v>
      </c>
      <c r="D383" s="16" t="s">
        <v>778</v>
      </c>
      <c r="E383" s="17" t="s">
        <v>779</v>
      </c>
      <c r="F383" s="16" t="n">
        <v>32.21120043</v>
      </c>
      <c r="G383" s="16" t="n">
        <v>44.39480186</v>
      </c>
      <c r="H383" s="18" t="n">
        <v>15</v>
      </c>
      <c r="I383" s="18" t="n">
        <v>90</v>
      </c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 t="n">
        <v>15</v>
      </c>
      <c r="W383" s="19"/>
      <c r="X383" s="19"/>
      <c r="Y383" s="19"/>
      <c r="Z383" s="19"/>
      <c r="AA383" s="19"/>
      <c r="AB383" s="19"/>
      <c r="AC383" s="19" t="n">
        <v>3</v>
      </c>
      <c r="AD383" s="19"/>
      <c r="AE383" s="19"/>
      <c r="AF383" s="19"/>
      <c r="AG383" s="19" t="n">
        <v>12</v>
      </c>
      <c r="AH383" s="19"/>
      <c r="AI383" s="19"/>
      <c r="AJ383" s="19"/>
      <c r="AK383" s="19"/>
      <c r="AL383" s="19"/>
      <c r="AM383" s="19" t="n">
        <v>3</v>
      </c>
      <c r="AN383" s="19" t="n">
        <v>12</v>
      </c>
      <c r="AO383" s="19"/>
      <c r="AP383" s="19"/>
      <c r="AQ383" s="19"/>
      <c r="AR383" s="19"/>
      <c r="AS383" s="20" t="str">
        <f aca="false">HYPERLINK("http://www.openstreetmap.org/?mlat=32.2112&amp;mlon=44.3948&amp;zoom=12#map=12/32.2112/44.3948","Maplink1")</f>
        <v>Maplink1</v>
      </c>
      <c r="AT383" s="20" t="str">
        <f aca="false">HYPERLINK("https://www.google.iq/maps/search/+32.2112,44.3948/@32.2112,44.3948,14z?hl=en","Maplink2")</f>
        <v>Maplink2</v>
      </c>
      <c r="AU383" s="20" t="str">
        <f aca="false">HYPERLINK("http://www.bing.com/maps/?lvl=14&amp;sty=h&amp;cp=32.2112~44.3948&amp;sp=point.32.2112_44.3948","Maplink3")</f>
        <v>Maplink3</v>
      </c>
    </row>
    <row r="384" customFormat="false" ht="15" hidden="false" customHeight="true" outlineLevel="0" collapsed="false">
      <c r="A384" s="15" t="n">
        <v>24647</v>
      </c>
      <c r="B384" s="16" t="s">
        <v>16</v>
      </c>
      <c r="C384" s="16" t="s">
        <v>743</v>
      </c>
      <c r="D384" s="16" t="s">
        <v>780</v>
      </c>
      <c r="E384" s="17" t="s">
        <v>781</v>
      </c>
      <c r="F384" s="16" t="n">
        <v>32.44220484</v>
      </c>
      <c r="G384" s="16" t="n">
        <v>44.47264552</v>
      </c>
      <c r="H384" s="18" t="n">
        <v>32</v>
      </c>
      <c r="I384" s="18" t="n">
        <v>192</v>
      </c>
      <c r="J384" s="19" t="n">
        <v>2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 t="n">
        <v>30</v>
      </c>
      <c r="W384" s="19"/>
      <c r="X384" s="19"/>
      <c r="Y384" s="19"/>
      <c r="Z384" s="19"/>
      <c r="AA384" s="19"/>
      <c r="AB384" s="19"/>
      <c r="AC384" s="19" t="n">
        <v>18</v>
      </c>
      <c r="AD384" s="19"/>
      <c r="AE384" s="19"/>
      <c r="AF384" s="19"/>
      <c r="AG384" s="19"/>
      <c r="AH384" s="19" t="n">
        <v>14</v>
      </c>
      <c r="AI384" s="19"/>
      <c r="AJ384" s="19"/>
      <c r="AK384" s="19"/>
      <c r="AL384" s="19"/>
      <c r="AM384" s="19" t="n">
        <v>30</v>
      </c>
      <c r="AN384" s="19"/>
      <c r="AO384" s="19" t="n">
        <v>2</v>
      </c>
      <c r="AP384" s="19"/>
      <c r="AQ384" s="19"/>
      <c r="AR384" s="19"/>
      <c r="AS384" s="20" t="str">
        <f aca="false">HYPERLINK("http://www.openstreetmap.org/?mlat=32.4422&amp;mlon=44.4726&amp;zoom=12#map=12/32.4422/44.4726","Maplink1")</f>
        <v>Maplink1</v>
      </c>
      <c r="AT384" s="20" t="str">
        <f aca="false">HYPERLINK("https://www.google.iq/maps/search/+32.4422,44.4726/@32.4422,44.4726,14z?hl=en","Maplink2")</f>
        <v>Maplink2</v>
      </c>
      <c r="AU384" s="20" t="str">
        <f aca="false">HYPERLINK("http://www.bing.com/maps/?lvl=14&amp;sty=h&amp;cp=32.4422~44.4726&amp;sp=point.32.4422_44.4726","Maplink3")</f>
        <v>Maplink3</v>
      </c>
    </row>
    <row r="385" customFormat="false" ht="15" hidden="false" customHeight="true" outlineLevel="0" collapsed="false">
      <c r="A385" s="15" t="n">
        <v>24689</v>
      </c>
      <c r="B385" s="16" t="s">
        <v>16</v>
      </c>
      <c r="C385" s="16" t="s">
        <v>743</v>
      </c>
      <c r="D385" s="16" t="s">
        <v>782</v>
      </c>
      <c r="E385" s="17" t="s">
        <v>783</v>
      </c>
      <c r="F385" s="16" t="n">
        <v>32.43760519</v>
      </c>
      <c r="G385" s="16" t="n">
        <v>44.43904356</v>
      </c>
      <c r="H385" s="18" t="n">
        <v>12</v>
      </c>
      <c r="I385" s="18" t="n">
        <v>72</v>
      </c>
      <c r="J385" s="19" t="n">
        <v>5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 t="n">
        <v>7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 t="n">
        <v>12</v>
      </c>
      <c r="AI385" s="19"/>
      <c r="AJ385" s="19"/>
      <c r="AK385" s="19"/>
      <c r="AL385" s="19"/>
      <c r="AM385" s="19" t="n">
        <v>3</v>
      </c>
      <c r="AN385" s="19" t="n">
        <v>3</v>
      </c>
      <c r="AO385" s="19" t="n">
        <v>5</v>
      </c>
      <c r="AP385" s="19"/>
      <c r="AQ385" s="19"/>
      <c r="AR385" s="19" t="n">
        <v>1</v>
      </c>
      <c r="AS385" s="20" t="str">
        <f aca="false">HYPERLINK("http://www.openstreetmap.org/?mlat=32.4376&amp;mlon=44.439&amp;zoom=12#map=12/32.4376/44.439","Maplink1")</f>
        <v>Maplink1</v>
      </c>
      <c r="AT385" s="20" t="str">
        <f aca="false">HYPERLINK("https://www.google.iq/maps/search/+32.4376,44.439/@32.4376,44.439,14z?hl=en","Maplink2")</f>
        <v>Maplink2</v>
      </c>
      <c r="AU385" s="20" t="str">
        <f aca="false">HYPERLINK("http://www.bing.com/maps/?lvl=14&amp;sty=h&amp;cp=32.4376~44.439&amp;sp=point.32.4376_44.439","Maplink3")</f>
        <v>Maplink3</v>
      </c>
    </row>
    <row r="386" customFormat="false" ht="15" hidden="false" customHeight="true" outlineLevel="0" collapsed="false">
      <c r="A386" s="15" t="n">
        <v>21616</v>
      </c>
      <c r="B386" s="16" t="s">
        <v>16</v>
      </c>
      <c r="C386" s="16" t="s">
        <v>743</v>
      </c>
      <c r="D386" s="16" t="s">
        <v>784</v>
      </c>
      <c r="E386" s="17" t="s">
        <v>785</v>
      </c>
      <c r="F386" s="16" t="n">
        <v>32.54022709</v>
      </c>
      <c r="G386" s="16" t="n">
        <v>44.32812022</v>
      </c>
      <c r="H386" s="18" t="n">
        <v>20</v>
      </c>
      <c r="I386" s="18" t="n">
        <v>120</v>
      </c>
      <c r="J386" s="19" t="n">
        <v>4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 t="n">
        <v>3</v>
      </c>
      <c r="W386" s="19"/>
      <c r="X386" s="19" t="n">
        <v>13</v>
      </c>
      <c r="Y386" s="19"/>
      <c r="Z386" s="19"/>
      <c r="AA386" s="19"/>
      <c r="AB386" s="19"/>
      <c r="AC386" s="19" t="n">
        <v>13</v>
      </c>
      <c r="AD386" s="19"/>
      <c r="AE386" s="19"/>
      <c r="AF386" s="19"/>
      <c r="AG386" s="19"/>
      <c r="AH386" s="19" t="n">
        <v>7</v>
      </c>
      <c r="AI386" s="19"/>
      <c r="AJ386" s="19"/>
      <c r="AK386" s="19"/>
      <c r="AL386" s="19"/>
      <c r="AM386" s="19" t="n">
        <v>3</v>
      </c>
      <c r="AN386" s="19" t="n">
        <v>13</v>
      </c>
      <c r="AO386" s="19" t="n">
        <v>2</v>
      </c>
      <c r="AP386" s="19" t="n">
        <v>2</v>
      </c>
      <c r="AQ386" s="19"/>
      <c r="AR386" s="19"/>
      <c r="AS386" s="20" t="str">
        <f aca="false">HYPERLINK("http://www.openstreetmap.org/?mlat=32.5402&amp;mlon=44.3281&amp;zoom=12#map=12/32.5402/44.3281","Maplink1")</f>
        <v>Maplink1</v>
      </c>
      <c r="AT386" s="20" t="str">
        <f aca="false">HYPERLINK("https://www.google.iq/maps/search/+32.5402,44.3281/@32.5402,44.3281,14z?hl=en","Maplink2")</f>
        <v>Maplink2</v>
      </c>
      <c r="AU386" s="20" t="str">
        <f aca="false">HYPERLINK("http://www.bing.com/maps/?lvl=14&amp;sty=h&amp;cp=32.5402~44.3281&amp;sp=point.32.5402_44.3281","Maplink3")</f>
        <v>Maplink3</v>
      </c>
    </row>
    <row r="387" customFormat="false" ht="15" hidden="false" customHeight="true" outlineLevel="0" collapsed="false">
      <c r="A387" s="15" t="n">
        <v>22136</v>
      </c>
      <c r="B387" s="16" t="s">
        <v>16</v>
      </c>
      <c r="C387" s="16" t="s">
        <v>743</v>
      </c>
      <c r="D387" s="16" t="s">
        <v>786</v>
      </c>
      <c r="E387" s="17" t="s">
        <v>787</v>
      </c>
      <c r="F387" s="16" t="n">
        <v>32.44409911</v>
      </c>
      <c r="G387" s="16" t="n">
        <v>44.392683</v>
      </c>
      <c r="H387" s="18" t="n">
        <v>77</v>
      </c>
      <c r="I387" s="18" t="n">
        <v>462</v>
      </c>
      <c r="J387" s="19" t="n">
        <v>25</v>
      </c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 t="n">
        <v>50</v>
      </c>
      <c r="W387" s="19"/>
      <c r="X387" s="19" t="n">
        <v>2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 t="n">
        <v>77</v>
      </c>
      <c r="AI387" s="19"/>
      <c r="AJ387" s="19"/>
      <c r="AK387" s="19"/>
      <c r="AL387" s="19"/>
      <c r="AM387" s="19" t="n">
        <v>34</v>
      </c>
      <c r="AN387" s="19" t="n">
        <v>18</v>
      </c>
      <c r="AO387" s="19" t="n">
        <v>23</v>
      </c>
      <c r="AP387" s="19" t="n">
        <v>2</v>
      </c>
      <c r="AQ387" s="19"/>
      <c r="AR387" s="19"/>
      <c r="AS387" s="20" t="str">
        <f aca="false">HYPERLINK("http://www.openstreetmap.org/?mlat=32.4441&amp;mlon=44.3927&amp;zoom=12#map=12/32.4441/44.3927","Maplink1")</f>
        <v>Maplink1</v>
      </c>
      <c r="AT387" s="20" t="str">
        <f aca="false">HYPERLINK("https://www.google.iq/maps/search/+32.4441,44.3927/@32.4441,44.3927,14z?hl=en","Maplink2")</f>
        <v>Maplink2</v>
      </c>
      <c r="AU387" s="20" t="str">
        <f aca="false">HYPERLINK("http://www.bing.com/maps/?lvl=14&amp;sty=h&amp;cp=32.4441~44.3927&amp;sp=point.32.4441_44.3927","Maplink3")</f>
        <v>Maplink3</v>
      </c>
    </row>
    <row r="388" customFormat="false" ht="15" hidden="false" customHeight="true" outlineLevel="0" collapsed="false">
      <c r="A388" s="15" t="n">
        <v>23948</v>
      </c>
      <c r="B388" s="16" t="s">
        <v>16</v>
      </c>
      <c r="C388" s="16" t="s">
        <v>743</v>
      </c>
      <c r="D388" s="16" t="s">
        <v>788</v>
      </c>
      <c r="E388" s="17" t="s">
        <v>789</v>
      </c>
      <c r="F388" s="16" t="n">
        <v>32.49381855</v>
      </c>
      <c r="G388" s="16" t="n">
        <v>44.42912241</v>
      </c>
      <c r="H388" s="18" t="n">
        <v>21</v>
      </c>
      <c r="I388" s="18" t="n">
        <v>126</v>
      </c>
      <c r="J388" s="19" t="n">
        <v>11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 t="n">
        <v>10</v>
      </c>
      <c r="W388" s="19"/>
      <c r="X388" s="19"/>
      <c r="Y388" s="19"/>
      <c r="Z388" s="19"/>
      <c r="AA388" s="19"/>
      <c r="AB388" s="19"/>
      <c r="AC388" s="19" t="n">
        <v>3</v>
      </c>
      <c r="AD388" s="19"/>
      <c r="AE388" s="19"/>
      <c r="AF388" s="19"/>
      <c r="AG388" s="19"/>
      <c r="AH388" s="19" t="n">
        <v>18</v>
      </c>
      <c r="AI388" s="19"/>
      <c r="AJ388" s="19"/>
      <c r="AK388" s="19"/>
      <c r="AL388" s="19" t="n">
        <v>4</v>
      </c>
      <c r="AM388" s="19" t="n">
        <v>9</v>
      </c>
      <c r="AN388" s="19" t="n">
        <v>5</v>
      </c>
      <c r="AO388" s="19" t="n">
        <v>3</v>
      </c>
      <c r="AP388" s="19"/>
      <c r="AQ388" s="19"/>
      <c r="AR388" s="19"/>
      <c r="AS388" s="20" t="str">
        <f aca="false">HYPERLINK("http://www.openstreetmap.org/?mlat=32.4938&amp;mlon=44.4291&amp;zoom=12#map=12/32.4938/44.4291","Maplink1")</f>
        <v>Maplink1</v>
      </c>
      <c r="AT388" s="20" t="str">
        <f aca="false">HYPERLINK("https://www.google.iq/maps/search/+32.4938,44.4291/@32.4938,44.4291,14z?hl=en","Maplink2")</f>
        <v>Maplink2</v>
      </c>
      <c r="AU388" s="20" t="str">
        <f aca="false">HYPERLINK("http://www.bing.com/maps/?lvl=14&amp;sty=h&amp;cp=32.4938~44.4291&amp;sp=point.32.4938_44.4291","Maplink3")</f>
        <v>Maplink3</v>
      </c>
    </row>
    <row r="389" customFormat="false" ht="15" hidden="false" customHeight="true" outlineLevel="0" collapsed="false">
      <c r="A389" s="15" t="n">
        <v>21666</v>
      </c>
      <c r="B389" s="16" t="s">
        <v>16</v>
      </c>
      <c r="C389" s="16" t="s">
        <v>743</v>
      </c>
      <c r="D389" s="16" t="s">
        <v>790</v>
      </c>
      <c r="E389" s="17" t="s">
        <v>791</v>
      </c>
      <c r="F389" s="16" t="n">
        <v>32.47192623</v>
      </c>
      <c r="G389" s="16" t="n">
        <v>44.42896105</v>
      </c>
      <c r="H389" s="18" t="n">
        <v>15</v>
      </c>
      <c r="I389" s="18" t="n">
        <v>90</v>
      </c>
      <c r="J389" s="19" t="n">
        <v>6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 t="n">
        <v>9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 t="n">
        <v>15</v>
      </c>
      <c r="AI389" s="19"/>
      <c r="AJ389" s="19"/>
      <c r="AK389" s="19"/>
      <c r="AL389" s="19"/>
      <c r="AM389" s="19" t="n">
        <v>9</v>
      </c>
      <c r="AN389" s="19"/>
      <c r="AO389" s="19" t="n">
        <v>6</v>
      </c>
      <c r="AP389" s="19"/>
      <c r="AQ389" s="19"/>
      <c r="AR389" s="19"/>
      <c r="AS389" s="20" t="str">
        <f aca="false">HYPERLINK("http://www.openstreetmap.org/?mlat=32.4719&amp;mlon=44.429&amp;zoom=12#map=12/32.4719/44.429","Maplink1")</f>
        <v>Maplink1</v>
      </c>
      <c r="AT389" s="20" t="str">
        <f aca="false">HYPERLINK("https://www.google.iq/maps/search/+32.4719,44.429/@32.4719,44.429,14z?hl=en","Maplink2")</f>
        <v>Maplink2</v>
      </c>
      <c r="AU389" s="20" t="str">
        <f aca="false">HYPERLINK("http://www.bing.com/maps/?lvl=14&amp;sty=h&amp;cp=32.4719~44.429&amp;sp=point.32.4719_44.429","Maplink3")</f>
        <v>Maplink3</v>
      </c>
    </row>
    <row r="390" customFormat="false" ht="15" hidden="false" customHeight="true" outlineLevel="0" collapsed="false">
      <c r="A390" s="15" t="n">
        <v>25122</v>
      </c>
      <c r="B390" s="16" t="s">
        <v>16</v>
      </c>
      <c r="C390" s="16" t="s">
        <v>743</v>
      </c>
      <c r="D390" s="16" t="s">
        <v>792</v>
      </c>
      <c r="E390" s="17" t="s">
        <v>793</v>
      </c>
      <c r="F390" s="16" t="n">
        <v>32.21551178</v>
      </c>
      <c r="G390" s="16" t="n">
        <v>44.44305288</v>
      </c>
      <c r="H390" s="18" t="n">
        <v>13</v>
      </c>
      <c r="I390" s="18" t="n">
        <v>78</v>
      </c>
      <c r="J390" s="19" t="n">
        <v>1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 t="n">
        <v>12</v>
      </c>
      <c r="W390" s="19"/>
      <c r="X390" s="19"/>
      <c r="Y390" s="19"/>
      <c r="Z390" s="19"/>
      <c r="AA390" s="19"/>
      <c r="AB390" s="19"/>
      <c r="AC390" s="19" t="n">
        <v>1</v>
      </c>
      <c r="AD390" s="19"/>
      <c r="AE390" s="19"/>
      <c r="AF390" s="19"/>
      <c r="AG390" s="19" t="n">
        <v>12</v>
      </c>
      <c r="AH390" s="19"/>
      <c r="AI390" s="19"/>
      <c r="AJ390" s="19"/>
      <c r="AK390" s="19"/>
      <c r="AL390" s="19"/>
      <c r="AM390" s="19"/>
      <c r="AN390" s="19" t="n">
        <v>12</v>
      </c>
      <c r="AO390" s="19"/>
      <c r="AP390" s="19" t="n">
        <v>1</v>
      </c>
      <c r="AQ390" s="19"/>
      <c r="AR390" s="19"/>
      <c r="AS390" s="20" t="str">
        <f aca="false">HYPERLINK("http://www.openstreetmap.org/?mlat=32.2155&amp;mlon=44.4431&amp;zoom=12#map=12/32.2155/44.4431","Maplink1")</f>
        <v>Maplink1</v>
      </c>
      <c r="AT390" s="20" t="str">
        <f aca="false">HYPERLINK("https://www.google.iq/maps/search/+32.2155,44.4431/@32.2155,44.4431,14z?hl=en","Maplink2")</f>
        <v>Maplink2</v>
      </c>
      <c r="AU390" s="20" t="str">
        <f aca="false">HYPERLINK("http://www.bing.com/maps/?lvl=14&amp;sty=h&amp;cp=32.2155~44.4431&amp;sp=point.32.2155_44.4431","Maplink3")</f>
        <v>Maplink3</v>
      </c>
    </row>
    <row r="391" customFormat="false" ht="15" hidden="false" customHeight="true" outlineLevel="0" collapsed="false">
      <c r="A391" s="15" t="n">
        <v>23954</v>
      </c>
      <c r="B391" s="16" t="s">
        <v>16</v>
      </c>
      <c r="C391" s="16" t="s">
        <v>743</v>
      </c>
      <c r="D391" s="16" t="s">
        <v>794</v>
      </c>
      <c r="E391" s="17" t="s">
        <v>795</v>
      </c>
      <c r="F391" s="16" t="n">
        <v>32.46381754</v>
      </c>
      <c r="G391" s="16" t="n">
        <v>44.41749293</v>
      </c>
      <c r="H391" s="18" t="n">
        <v>11</v>
      </c>
      <c r="I391" s="18" t="n">
        <v>66</v>
      </c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 t="n">
        <v>11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 t="n">
        <v>11</v>
      </c>
      <c r="AI391" s="19"/>
      <c r="AJ391" s="19"/>
      <c r="AK391" s="19"/>
      <c r="AL391" s="19"/>
      <c r="AM391" s="19" t="n">
        <v>11</v>
      </c>
      <c r="AN391" s="19"/>
      <c r="AO391" s="19"/>
      <c r="AP391" s="19"/>
      <c r="AQ391" s="19"/>
      <c r="AR391" s="19"/>
      <c r="AS391" s="20" t="str">
        <f aca="false">HYPERLINK("http://www.openstreetmap.org/?mlat=32.4638&amp;mlon=44.4175&amp;zoom=12#map=12/32.4638/44.4175","Maplink1")</f>
        <v>Maplink1</v>
      </c>
      <c r="AT391" s="20" t="str">
        <f aca="false">HYPERLINK("https://www.google.iq/maps/search/+32.4638,44.4175/@32.4638,44.4175,14z?hl=en","Maplink2")</f>
        <v>Maplink2</v>
      </c>
      <c r="AU391" s="20" t="str">
        <f aca="false">HYPERLINK("http://www.bing.com/maps/?lvl=14&amp;sty=h&amp;cp=32.4638~44.4175&amp;sp=point.32.4638_44.4175","Maplink3")</f>
        <v>Maplink3</v>
      </c>
    </row>
    <row r="392" customFormat="false" ht="15" hidden="false" customHeight="true" outlineLevel="0" collapsed="false">
      <c r="A392" s="15" t="n">
        <v>21678</v>
      </c>
      <c r="B392" s="16" t="s">
        <v>16</v>
      </c>
      <c r="C392" s="16" t="s">
        <v>743</v>
      </c>
      <c r="D392" s="16" t="s">
        <v>796</v>
      </c>
      <c r="E392" s="17" t="s">
        <v>797</v>
      </c>
      <c r="F392" s="16" t="n">
        <v>32.47390851</v>
      </c>
      <c r="G392" s="16" t="n">
        <v>44.43787051</v>
      </c>
      <c r="H392" s="18" t="n">
        <v>30</v>
      </c>
      <c r="I392" s="18" t="n">
        <v>180</v>
      </c>
      <c r="J392" s="19" t="n">
        <v>1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 t="n">
        <v>29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 t="n">
        <v>16</v>
      </c>
      <c r="AI392" s="19"/>
      <c r="AJ392" s="19" t="n">
        <v>14</v>
      </c>
      <c r="AK392" s="19"/>
      <c r="AL392" s="19"/>
      <c r="AM392" s="19" t="n">
        <v>29</v>
      </c>
      <c r="AN392" s="19"/>
      <c r="AO392" s="19" t="n">
        <v>1</v>
      </c>
      <c r="AP392" s="19"/>
      <c r="AQ392" s="19"/>
      <c r="AR392" s="19"/>
      <c r="AS392" s="20" t="str">
        <f aca="false">HYPERLINK("http://www.openstreetmap.org/?mlat=32.4739&amp;mlon=44.4379&amp;zoom=12#map=12/32.4739/44.4379","Maplink1")</f>
        <v>Maplink1</v>
      </c>
      <c r="AT392" s="20" t="str">
        <f aca="false">HYPERLINK("https://www.google.iq/maps/search/+32.4739,44.4379/@32.4739,44.4379,14z?hl=en","Maplink2")</f>
        <v>Maplink2</v>
      </c>
      <c r="AU392" s="20" t="str">
        <f aca="false">HYPERLINK("http://www.bing.com/maps/?lvl=14&amp;sty=h&amp;cp=32.4739~44.4379&amp;sp=point.32.4739_44.4379","Maplink3")</f>
        <v>Maplink3</v>
      </c>
    </row>
    <row r="393" customFormat="false" ht="15" hidden="false" customHeight="true" outlineLevel="0" collapsed="false">
      <c r="A393" s="15" t="n">
        <v>24273</v>
      </c>
      <c r="B393" s="16" t="s">
        <v>16</v>
      </c>
      <c r="C393" s="16" t="s">
        <v>743</v>
      </c>
      <c r="D393" s="16" t="s">
        <v>798</v>
      </c>
      <c r="E393" s="17" t="s">
        <v>799</v>
      </c>
      <c r="F393" s="16" t="n">
        <v>32.52619151</v>
      </c>
      <c r="G393" s="16" t="n">
        <v>44.42294117</v>
      </c>
      <c r="H393" s="18" t="n">
        <v>24</v>
      </c>
      <c r="I393" s="18" t="n">
        <v>144</v>
      </c>
      <c r="J393" s="19" t="n">
        <v>3</v>
      </c>
      <c r="K393" s="19"/>
      <c r="L393" s="19"/>
      <c r="M393" s="19"/>
      <c r="N393" s="19"/>
      <c r="O393" s="19" t="n">
        <v>1</v>
      </c>
      <c r="P393" s="19"/>
      <c r="Q393" s="19"/>
      <c r="R393" s="19"/>
      <c r="S393" s="19"/>
      <c r="T393" s="19"/>
      <c r="U393" s="19"/>
      <c r="V393" s="19" t="n">
        <v>19</v>
      </c>
      <c r="W393" s="19"/>
      <c r="X393" s="19" t="n">
        <v>1</v>
      </c>
      <c r="Y393" s="19"/>
      <c r="Z393" s="19"/>
      <c r="AA393" s="19"/>
      <c r="AB393" s="19"/>
      <c r="AC393" s="19" t="n">
        <v>5</v>
      </c>
      <c r="AD393" s="19"/>
      <c r="AE393" s="19"/>
      <c r="AF393" s="19"/>
      <c r="AG393" s="19"/>
      <c r="AH393" s="19" t="n">
        <v>19</v>
      </c>
      <c r="AI393" s="19"/>
      <c r="AJ393" s="19"/>
      <c r="AK393" s="19"/>
      <c r="AL393" s="19"/>
      <c r="AM393" s="19" t="n">
        <v>19</v>
      </c>
      <c r="AN393" s="19" t="n">
        <v>1</v>
      </c>
      <c r="AO393" s="19" t="n">
        <v>2</v>
      </c>
      <c r="AP393" s="19" t="n">
        <v>2</v>
      </c>
      <c r="AQ393" s="19"/>
      <c r="AR393" s="19"/>
      <c r="AS393" s="20" t="str">
        <f aca="false">HYPERLINK("http://www.openstreetmap.org/?mlat=32.5262&amp;mlon=44.4229&amp;zoom=12#map=12/32.5262/44.4229","Maplink1")</f>
        <v>Maplink1</v>
      </c>
      <c r="AT393" s="20" t="str">
        <f aca="false">HYPERLINK("https://www.google.iq/maps/search/+32.5262,44.4229/@32.5262,44.4229,14z?hl=en","Maplink2")</f>
        <v>Maplink2</v>
      </c>
      <c r="AU393" s="20" t="str">
        <f aca="false">HYPERLINK("http://www.bing.com/maps/?lvl=14&amp;sty=h&amp;cp=32.5262~44.4229&amp;sp=point.32.5262_44.4229","Maplink3")</f>
        <v>Maplink3</v>
      </c>
    </row>
    <row r="394" customFormat="false" ht="15" hidden="false" customHeight="true" outlineLevel="0" collapsed="false">
      <c r="A394" s="15" t="n">
        <v>24162</v>
      </c>
      <c r="B394" s="16" t="s">
        <v>16</v>
      </c>
      <c r="C394" s="16" t="s">
        <v>743</v>
      </c>
      <c r="D394" s="16" t="s">
        <v>800</v>
      </c>
      <c r="E394" s="17" t="s">
        <v>801</v>
      </c>
      <c r="F394" s="16" t="n">
        <v>32.51517924</v>
      </c>
      <c r="G394" s="16" t="n">
        <v>44.44281718</v>
      </c>
      <c r="H394" s="18" t="n">
        <v>10</v>
      </c>
      <c r="I394" s="18" t="n">
        <v>60</v>
      </c>
      <c r="J394" s="19" t="n">
        <v>7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 t="n">
        <v>3</v>
      </c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 t="n">
        <v>10</v>
      </c>
      <c r="AI394" s="19"/>
      <c r="AJ394" s="19"/>
      <c r="AK394" s="19"/>
      <c r="AL394" s="19"/>
      <c r="AM394" s="19" t="n">
        <v>3</v>
      </c>
      <c r="AN394" s="19"/>
      <c r="AO394" s="19" t="n">
        <v>7</v>
      </c>
      <c r="AP394" s="19"/>
      <c r="AQ394" s="19"/>
      <c r="AR394" s="19"/>
      <c r="AS394" s="20" t="str">
        <f aca="false">HYPERLINK("http://www.openstreetmap.org/?mlat=32.5152&amp;mlon=44.4428&amp;zoom=12#map=12/32.5152/44.4428","Maplink1")</f>
        <v>Maplink1</v>
      </c>
      <c r="AT394" s="20" t="str">
        <f aca="false">HYPERLINK("https://www.google.iq/maps/search/+32.5152,44.4428/@32.5152,44.4428,14z?hl=en","Maplink2")</f>
        <v>Maplink2</v>
      </c>
      <c r="AU394" s="20" t="str">
        <f aca="false">HYPERLINK("http://www.bing.com/maps/?lvl=14&amp;sty=h&amp;cp=32.5152~44.4428&amp;sp=point.32.5152_44.4428","Maplink3")</f>
        <v>Maplink3</v>
      </c>
    </row>
    <row r="395" customFormat="false" ht="15" hidden="false" customHeight="true" outlineLevel="0" collapsed="false">
      <c r="A395" s="15" t="n">
        <v>23956</v>
      </c>
      <c r="B395" s="16" t="s">
        <v>16</v>
      </c>
      <c r="C395" s="16" t="s">
        <v>743</v>
      </c>
      <c r="D395" s="16" t="s">
        <v>802</v>
      </c>
      <c r="E395" s="17" t="s">
        <v>803</v>
      </c>
      <c r="F395" s="16" t="n">
        <v>32.51576065</v>
      </c>
      <c r="G395" s="16" t="n">
        <v>44.43427275</v>
      </c>
      <c r="H395" s="18" t="n">
        <v>109</v>
      </c>
      <c r="I395" s="18" t="n">
        <v>654</v>
      </c>
      <c r="J395" s="19" t="n">
        <v>3</v>
      </c>
      <c r="K395" s="19"/>
      <c r="L395" s="19"/>
      <c r="M395" s="19"/>
      <c r="N395" s="19"/>
      <c r="O395" s="19" t="n">
        <v>2</v>
      </c>
      <c r="P395" s="19"/>
      <c r="Q395" s="19"/>
      <c r="R395" s="19"/>
      <c r="S395" s="19"/>
      <c r="T395" s="19"/>
      <c r="U395" s="19"/>
      <c r="V395" s="19" t="n">
        <v>104</v>
      </c>
      <c r="W395" s="19"/>
      <c r="X395" s="19"/>
      <c r="Y395" s="19"/>
      <c r="Z395" s="19"/>
      <c r="AA395" s="19"/>
      <c r="AB395" s="19"/>
      <c r="AC395" s="19"/>
      <c r="AD395" s="19" t="n">
        <v>86</v>
      </c>
      <c r="AE395" s="19"/>
      <c r="AF395" s="19"/>
      <c r="AG395" s="19"/>
      <c r="AH395" s="19" t="n">
        <v>23</v>
      </c>
      <c r="AI395" s="19"/>
      <c r="AJ395" s="19"/>
      <c r="AK395" s="19"/>
      <c r="AL395" s="19"/>
      <c r="AM395" s="19" t="n">
        <v>103</v>
      </c>
      <c r="AN395" s="19" t="n">
        <v>4</v>
      </c>
      <c r="AO395" s="19"/>
      <c r="AP395" s="19" t="n">
        <v>2</v>
      </c>
      <c r="AQ395" s="19"/>
      <c r="AR395" s="19"/>
      <c r="AS395" s="20" t="str">
        <f aca="false">HYPERLINK("http://www.openstreetmap.org/?mlat=32.5158&amp;mlon=44.4343&amp;zoom=12#map=12/32.5158/44.4343","Maplink1")</f>
        <v>Maplink1</v>
      </c>
      <c r="AT395" s="20" t="str">
        <f aca="false">HYPERLINK("https://www.google.iq/maps/search/+32.5158,44.4343/@32.5158,44.4343,14z?hl=en","Maplink2")</f>
        <v>Maplink2</v>
      </c>
      <c r="AU395" s="20" t="str">
        <f aca="false">HYPERLINK("http://www.bing.com/maps/?lvl=14&amp;sty=h&amp;cp=32.5158~44.4343&amp;sp=point.32.5158_44.4343","Maplink3")</f>
        <v>Maplink3</v>
      </c>
    </row>
    <row r="396" customFormat="false" ht="15" hidden="false" customHeight="true" outlineLevel="0" collapsed="false">
      <c r="A396" s="15" t="n">
        <v>24295</v>
      </c>
      <c r="B396" s="16" t="s">
        <v>16</v>
      </c>
      <c r="C396" s="16" t="s">
        <v>743</v>
      </c>
      <c r="D396" s="16" t="s">
        <v>804</v>
      </c>
      <c r="E396" s="17" t="s">
        <v>805</v>
      </c>
      <c r="F396" s="16" t="n">
        <v>32.21096318</v>
      </c>
      <c r="G396" s="16" t="n">
        <v>44.36785078</v>
      </c>
      <c r="H396" s="18" t="n">
        <v>35</v>
      </c>
      <c r="I396" s="18" t="n">
        <v>210</v>
      </c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 t="n">
        <v>35</v>
      </c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 t="n">
        <v>25</v>
      </c>
      <c r="AH396" s="19" t="n">
        <v>10</v>
      </c>
      <c r="AI396" s="19"/>
      <c r="AJ396" s="19"/>
      <c r="AK396" s="19"/>
      <c r="AL396" s="19"/>
      <c r="AM396" s="19" t="n">
        <v>35</v>
      </c>
      <c r="AN396" s="19"/>
      <c r="AO396" s="19"/>
      <c r="AP396" s="19"/>
      <c r="AQ396" s="19"/>
      <c r="AR396" s="19"/>
      <c r="AS396" s="20" t="str">
        <f aca="false">HYPERLINK("http://www.openstreetmap.org/?mlat=32.211&amp;mlon=44.3679&amp;zoom=12#map=12/32.211/44.3679","Maplink1")</f>
        <v>Maplink1</v>
      </c>
      <c r="AT396" s="20" t="str">
        <f aca="false">HYPERLINK("https://www.google.iq/maps/search/+32.211,44.3679/@32.211,44.3679,14z?hl=en","Maplink2")</f>
        <v>Maplink2</v>
      </c>
      <c r="AU396" s="20" t="str">
        <f aca="false">HYPERLINK("http://www.bing.com/maps/?lvl=14&amp;sty=h&amp;cp=32.211~44.3679&amp;sp=point.32.211_44.3679","Maplink3")</f>
        <v>Maplink3</v>
      </c>
    </row>
    <row r="397" customFormat="false" ht="15" hidden="false" customHeight="true" outlineLevel="0" collapsed="false">
      <c r="A397" s="15" t="n">
        <v>24563</v>
      </c>
      <c r="B397" s="16" t="s">
        <v>16</v>
      </c>
      <c r="C397" s="16" t="s">
        <v>743</v>
      </c>
      <c r="D397" s="16" t="s">
        <v>806</v>
      </c>
      <c r="E397" s="17" t="s">
        <v>807</v>
      </c>
      <c r="F397" s="16" t="n">
        <v>32.22883658</v>
      </c>
      <c r="G397" s="16" t="n">
        <v>44.35667426</v>
      </c>
      <c r="H397" s="18" t="n">
        <v>23</v>
      </c>
      <c r="I397" s="18" t="n">
        <v>138</v>
      </c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 t="n">
        <v>23</v>
      </c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 t="n">
        <v>20</v>
      </c>
      <c r="AH397" s="19" t="n">
        <v>3</v>
      </c>
      <c r="AI397" s="19"/>
      <c r="AJ397" s="19"/>
      <c r="AK397" s="19"/>
      <c r="AL397" s="19"/>
      <c r="AM397" s="19" t="n">
        <v>18</v>
      </c>
      <c r="AN397" s="19" t="n">
        <v>5</v>
      </c>
      <c r="AO397" s="19"/>
      <c r="AP397" s="19"/>
      <c r="AQ397" s="19"/>
      <c r="AR397" s="19"/>
      <c r="AS397" s="20" t="str">
        <f aca="false">HYPERLINK("http://www.openstreetmap.org/?mlat=32.2288&amp;mlon=44.3567&amp;zoom=12#map=12/32.2288/44.3567","Maplink1")</f>
        <v>Maplink1</v>
      </c>
      <c r="AT397" s="20" t="str">
        <f aca="false">HYPERLINK("https://www.google.iq/maps/search/+32.2288,44.3567/@32.2288,44.3567,14z?hl=en","Maplink2")</f>
        <v>Maplink2</v>
      </c>
      <c r="AU397" s="20" t="str">
        <f aca="false">HYPERLINK("http://www.bing.com/maps/?lvl=14&amp;sty=h&amp;cp=32.2288~44.3567&amp;sp=point.32.2288_44.3567","Maplink3")</f>
        <v>Maplink3</v>
      </c>
    </row>
    <row r="398" customFormat="false" ht="15" hidden="false" customHeight="true" outlineLevel="0" collapsed="false">
      <c r="A398" s="15" t="n">
        <v>24562</v>
      </c>
      <c r="B398" s="16" t="s">
        <v>16</v>
      </c>
      <c r="C398" s="16" t="s">
        <v>743</v>
      </c>
      <c r="D398" s="16" t="s">
        <v>808</v>
      </c>
      <c r="E398" s="17" t="s">
        <v>809</v>
      </c>
      <c r="F398" s="16" t="n">
        <v>32.2194991</v>
      </c>
      <c r="G398" s="16" t="n">
        <v>44.36579587</v>
      </c>
      <c r="H398" s="18" t="n">
        <v>12</v>
      </c>
      <c r="I398" s="18" t="n">
        <v>72</v>
      </c>
      <c r="J398" s="19" t="n">
        <v>4</v>
      </c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 t="n">
        <v>8</v>
      </c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 t="n">
        <v>7</v>
      </c>
      <c r="AI398" s="19"/>
      <c r="AJ398" s="19" t="n">
        <v>5</v>
      </c>
      <c r="AK398" s="19"/>
      <c r="AL398" s="19"/>
      <c r="AM398" s="19" t="n">
        <v>8</v>
      </c>
      <c r="AN398" s="19"/>
      <c r="AO398" s="19" t="n">
        <v>4</v>
      </c>
      <c r="AP398" s="19"/>
      <c r="AQ398" s="19"/>
      <c r="AR398" s="19"/>
      <c r="AS398" s="20" t="str">
        <f aca="false">HYPERLINK("http://www.openstreetmap.org/?mlat=32.2195&amp;mlon=44.3658&amp;zoom=12#map=12/32.2195/44.3658","Maplink1")</f>
        <v>Maplink1</v>
      </c>
      <c r="AT398" s="20" t="str">
        <f aca="false">HYPERLINK("https://www.google.iq/maps/search/+32.2195,44.3658/@32.2195,44.3658,14z?hl=en","Maplink2")</f>
        <v>Maplink2</v>
      </c>
      <c r="AU398" s="20" t="str">
        <f aca="false">HYPERLINK("http://www.bing.com/maps/?lvl=14&amp;sty=h&amp;cp=32.2195~44.3658&amp;sp=point.32.2195_44.3658","Maplink3")</f>
        <v>Maplink3</v>
      </c>
    </row>
    <row r="399" customFormat="false" ht="15" hidden="false" customHeight="true" outlineLevel="0" collapsed="false">
      <c r="A399" s="15" t="n">
        <v>24561</v>
      </c>
      <c r="B399" s="16" t="s">
        <v>16</v>
      </c>
      <c r="C399" s="16" t="s">
        <v>743</v>
      </c>
      <c r="D399" s="16" t="s">
        <v>810</v>
      </c>
      <c r="E399" s="17" t="s">
        <v>811</v>
      </c>
      <c r="F399" s="16" t="n">
        <v>32.22519163</v>
      </c>
      <c r="G399" s="16" t="n">
        <v>44.36791238</v>
      </c>
      <c r="H399" s="18" t="n">
        <v>51</v>
      </c>
      <c r="I399" s="18" t="n">
        <v>306</v>
      </c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 t="n">
        <v>51</v>
      </c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 t="n">
        <v>35</v>
      </c>
      <c r="AI399" s="19"/>
      <c r="AJ399" s="19" t="n">
        <v>16</v>
      </c>
      <c r="AK399" s="19"/>
      <c r="AL399" s="19"/>
      <c r="AM399" s="19" t="n">
        <v>21</v>
      </c>
      <c r="AN399" s="19" t="n">
        <v>30</v>
      </c>
      <c r="AO399" s="19"/>
      <c r="AP399" s="19"/>
      <c r="AQ399" s="19"/>
      <c r="AR399" s="19"/>
      <c r="AS399" s="20" t="str">
        <f aca="false">HYPERLINK("http://www.openstreetmap.org/?mlat=32.2252&amp;mlon=44.3679&amp;zoom=12#map=12/32.2252/44.3679","Maplink1")</f>
        <v>Maplink1</v>
      </c>
      <c r="AT399" s="20" t="str">
        <f aca="false">HYPERLINK("https://www.google.iq/maps/search/+32.2252,44.3679/@32.2252,44.3679,14z?hl=en","Maplink2")</f>
        <v>Maplink2</v>
      </c>
      <c r="AU399" s="20" t="str">
        <f aca="false">HYPERLINK("http://www.bing.com/maps/?lvl=14&amp;sty=h&amp;cp=32.2252~44.3679&amp;sp=point.32.2252_44.3679","Maplink3")</f>
        <v>Maplink3</v>
      </c>
    </row>
    <row r="400" customFormat="false" ht="15" hidden="false" customHeight="true" outlineLevel="0" collapsed="false">
      <c r="A400" s="15" t="n">
        <v>25605</v>
      </c>
      <c r="B400" s="16" t="s">
        <v>16</v>
      </c>
      <c r="C400" s="16" t="s">
        <v>743</v>
      </c>
      <c r="D400" s="16" t="s">
        <v>812</v>
      </c>
      <c r="E400" s="17" t="s">
        <v>813</v>
      </c>
      <c r="F400" s="16" t="n">
        <v>32.30499673</v>
      </c>
      <c r="G400" s="16" t="n">
        <v>44.45540043</v>
      </c>
      <c r="H400" s="18" t="n">
        <v>6</v>
      </c>
      <c r="I400" s="18" t="n">
        <v>36</v>
      </c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 t="n">
        <v>6</v>
      </c>
      <c r="W400" s="19"/>
      <c r="X400" s="19"/>
      <c r="Y400" s="19"/>
      <c r="Z400" s="19"/>
      <c r="AA400" s="19"/>
      <c r="AB400" s="19"/>
      <c r="AC400" s="19" t="n">
        <v>6</v>
      </c>
      <c r="AD400" s="19"/>
      <c r="AE400" s="19"/>
      <c r="AF400" s="19"/>
      <c r="AG400" s="19"/>
      <c r="AH400" s="19"/>
      <c r="AI400" s="19"/>
      <c r="AJ400" s="19"/>
      <c r="AK400" s="19"/>
      <c r="AL400" s="19"/>
      <c r="AM400" s="19" t="n">
        <v>6</v>
      </c>
      <c r="AN400" s="19"/>
      <c r="AO400" s="19"/>
      <c r="AP400" s="19"/>
      <c r="AQ400" s="19"/>
      <c r="AR400" s="19"/>
      <c r="AS400" s="20" t="str">
        <f aca="false">HYPERLINK("http://www.openstreetmap.org/?mlat=32.305&amp;mlon=44.4554&amp;zoom=12#map=12/32.305/44.4554","Maplink1")</f>
        <v>Maplink1</v>
      </c>
      <c r="AT400" s="20" t="str">
        <f aca="false">HYPERLINK("https://www.google.iq/maps/search/+32.305,44.4554/@32.305,44.4554,14z?hl=en","Maplink2")</f>
        <v>Maplink2</v>
      </c>
      <c r="AU400" s="20" t="str">
        <f aca="false">HYPERLINK("http://www.bing.com/maps/?lvl=14&amp;sty=h&amp;cp=32.305~44.4554&amp;sp=point.32.305_44.4554","Maplink3")</f>
        <v>Maplink3</v>
      </c>
    </row>
    <row r="401" customFormat="false" ht="15" hidden="false" customHeight="true" outlineLevel="0" collapsed="false">
      <c r="A401" s="15" t="n">
        <v>25603</v>
      </c>
      <c r="B401" s="16" t="s">
        <v>16</v>
      </c>
      <c r="C401" s="16" t="s">
        <v>743</v>
      </c>
      <c r="D401" s="16" t="s">
        <v>814</v>
      </c>
      <c r="E401" s="17" t="s">
        <v>815</v>
      </c>
      <c r="F401" s="16" t="n">
        <v>32.2646887</v>
      </c>
      <c r="G401" s="16" t="n">
        <v>44.39346571</v>
      </c>
      <c r="H401" s="18" t="n">
        <v>11</v>
      </c>
      <c r="I401" s="18" t="n">
        <v>66</v>
      </c>
      <c r="J401" s="19" t="n">
        <v>1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 t="n">
        <v>10</v>
      </c>
      <c r="W401" s="19"/>
      <c r="X401" s="19"/>
      <c r="Y401" s="19"/>
      <c r="Z401" s="19"/>
      <c r="AA401" s="19"/>
      <c r="AB401" s="19"/>
      <c r="AC401" s="19" t="n">
        <v>11</v>
      </c>
      <c r="AD401" s="19"/>
      <c r="AE401" s="19"/>
      <c r="AF401" s="19"/>
      <c r="AG401" s="19"/>
      <c r="AH401" s="19"/>
      <c r="AI401" s="19"/>
      <c r="AJ401" s="19"/>
      <c r="AK401" s="19"/>
      <c r="AL401" s="19"/>
      <c r="AM401" s="19" t="n">
        <v>10</v>
      </c>
      <c r="AN401" s="19"/>
      <c r="AO401" s="19" t="n">
        <v>1</v>
      </c>
      <c r="AP401" s="19"/>
      <c r="AQ401" s="19"/>
      <c r="AR401" s="19"/>
      <c r="AS401" s="20" t="str">
        <f aca="false">HYPERLINK("http://www.openstreetmap.org/?mlat=32.2647&amp;mlon=44.3935&amp;zoom=12#map=12/32.2647/44.3935","Maplink1")</f>
        <v>Maplink1</v>
      </c>
      <c r="AT401" s="20" t="str">
        <f aca="false">HYPERLINK("https://www.google.iq/maps/search/+32.2647,44.3935/@32.2647,44.3935,14z?hl=en","Maplink2")</f>
        <v>Maplink2</v>
      </c>
      <c r="AU401" s="20" t="str">
        <f aca="false">HYPERLINK("http://www.bing.com/maps/?lvl=14&amp;sty=h&amp;cp=32.2647~44.3935&amp;sp=point.32.2647_44.3935","Maplink3")</f>
        <v>Maplink3</v>
      </c>
    </row>
    <row r="402" customFormat="false" ht="15" hidden="false" customHeight="true" outlineLevel="0" collapsed="false">
      <c r="A402" s="15" t="n">
        <v>24564</v>
      </c>
      <c r="B402" s="16" t="s">
        <v>16</v>
      </c>
      <c r="C402" s="16" t="s">
        <v>743</v>
      </c>
      <c r="D402" s="16" t="s">
        <v>816</v>
      </c>
      <c r="E402" s="17" t="s">
        <v>817</v>
      </c>
      <c r="F402" s="16" t="n">
        <v>32.22379763</v>
      </c>
      <c r="G402" s="16" t="n">
        <v>44.34492619</v>
      </c>
      <c r="H402" s="18" t="n">
        <v>26</v>
      </c>
      <c r="I402" s="18" t="n">
        <v>156</v>
      </c>
      <c r="J402" s="19" t="n">
        <v>1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 t="n">
        <v>25</v>
      </c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 t="n">
        <v>21</v>
      </c>
      <c r="AH402" s="19" t="n">
        <v>5</v>
      </c>
      <c r="AI402" s="19"/>
      <c r="AJ402" s="19"/>
      <c r="AK402" s="19"/>
      <c r="AL402" s="19"/>
      <c r="AM402" s="19" t="n">
        <v>25</v>
      </c>
      <c r="AN402" s="19"/>
      <c r="AO402" s="19"/>
      <c r="AP402" s="19" t="n">
        <v>1</v>
      </c>
      <c r="AQ402" s="19"/>
      <c r="AR402" s="19"/>
      <c r="AS402" s="20" t="str">
        <f aca="false">HYPERLINK("http://www.openstreetmap.org/?mlat=32.2238&amp;mlon=44.3449&amp;zoom=12#map=12/32.2238/44.3449","Maplink1")</f>
        <v>Maplink1</v>
      </c>
      <c r="AT402" s="20" t="str">
        <f aca="false">HYPERLINK("https://www.google.iq/maps/search/+32.2238,44.3449/@32.2238,44.3449,14z?hl=en","Maplink2")</f>
        <v>Maplink2</v>
      </c>
      <c r="AU402" s="20" t="str">
        <f aca="false">HYPERLINK("http://www.bing.com/maps/?lvl=14&amp;sty=h&amp;cp=32.2238~44.3449&amp;sp=point.32.2238_44.3449","Maplink3")</f>
        <v>Maplink3</v>
      </c>
    </row>
    <row r="403" customFormat="false" ht="15" hidden="false" customHeight="true" outlineLevel="0" collapsed="false">
      <c r="A403" s="15" t="n">
        <v>24978</v>
      </c>
      <c r="B403" s="16" t="s">
        <v>16</v>
      </c>
      <c r="C403" s="16" t="s">
        <v>743</v>
      </c>
      <c r="D403" s="16" t="s">
        <v>818</v>
      </c>
      <c r="E403" s="17" t="s">
        <v>819</v>
      </c>
      <c r="F403" s="16" t="n">
        <v>32.22598602</v>
      </c>
      <c r="G403" s="16" t="n">
        <v>44.37078738</v>
      </c>
      <c r="H403" s="18" t="n">
        <v>33</v>
      </c>
      <c r="I403" s="18" t="n">
        <v>198</v>
      </c>
      <c r="J403" s="19" t="n">
        <v>1</v>
      </c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 t="n">
        <v>32</v>
      </c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 t="n">
        <v>33</v>
      </c>
      <c r="AI403" s="19"/>
      <c r="AJ403" s="19"/>
      <c r="AK403" s="19"/>
      <c r="AL403" s="19"/>
      <c r="AM403" s="19" t="n">
        <v>29</v>
      </c>
      <c r="AN403" s="19" t="n">
        <v>3</v>
      </c>
      <c r="AO403" s="19" t="n">
        <v>1</v>
      </c>
      <c r="AP403" s="19"/>
      <c r="AQ403" s="19"/>
      <c r="AR403" s="19"/>
      <c r="AS403" s="20" t="str">
        <f aca="false">HYPERLINK("http://www.openstreetmap.org/?mlat=32.226&amp;mlon=44.3708&amp;zoom=12#map=12/32.226/44.3708","Maplink1")</f>
        <v>Maplink1</v>
      </c>
      <c r="AT403" s="20" t="str">
        <f aca="false">HYPERLINK("https://www.google.iq/maps/search/+32.226,44.3708/@32.226,44.3708,14z?hl=en","Maplink2")</f>
        <v>Maplink2</v>
      </c>
      <c r="AU403" s="20" t="str">
        <f aca="false">HYPERLINK("http://www.bing.com/maps/?lvl=14&amp;sty=h&amp;cp=32.226~44.3708&amp;sp=point.32.226_44.3708","Maplink3")</f>
        <v>Maplink3</v>
      </c>
    </row>
    <row r="404" customFormat="false" ht="15" hidden="false" customHeight="true" outlineLevel="0" collapsed="false">
      <c r="A404" s="15" t="n">
        <v>25123</v>
      </c>
      <c r="B404" s="16" t="s">
        <v>16</v>
      </c>
      <c r="C404" s="16" t="s">
        <v>743</v>
      </c>
      <c r="D404" s="16" t="s">
        <v>820</v>
      </c>
      <c r="E404" s="17" t="s">
        <v>821</v>
      </c>
      <c r="F404" s="16" t="n">
        <v>32.24013769</v>
      </c>
      <c r="G404" s="16" t="n">
        <v>44.36547652</v>
      </c>
      <c r="H404" s="18" t="n">
        <v>6</v>
      </c>
      <c r="I404" s="18" t="n">
        <v>36</v>
      </c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 t="n">
        <v>6</v>
      </c>
      <c r="W404" s="19"/>
      <c r="X404" s="19"/>
      <c r="Y404" s="19"/>
      <c r="Z404" s="19"/>
      <c r="AA404" s="19"/>
      <c r="AB404" s="19"/>
      <c r="AC404" s="19" t="n">
        <v>4</v>
      </c>
      <c r="AD404" s="19"/>
      <c r="AE404" s="19"/>
      <c r="AF404" s="19"/>
      <c r="AG404" s="19" t="n">
        <v>2</v>
      </c>
      <c r="AH404" s="19"/>
      <c r="AI404" s="19"/>
      <c r="AJ404" s="19"/>
      <c r="AK404" s="19"/>
      <c r="AL404" s="19"/>
      <c r="AM404" s="19" t="n">
        <v>4</v>
      </c>
      <c r="AN404" s="19" t="n">
        <v>2</v>
      </c>
      <c r="AO404" s="19"/>
      <c r="AP404" s="19"/>
      <c r="AQ404" s="19"/>
      <c r="AR404" s="19"/>
      <c r="AS404" s="20" t="str">
        <f aca="false">HYPERLINK("http://www.openstreetmap.org/?mlat=32.2401&amp;mlon=44.3655&amp;zoom=12#map=12/32.2401/44.3655","Maplink1")</f>
        <v>Maplink1</v>
      </c>
      <c r="AT404" s="20" t="str">
        <f aca="false">HYPERLINK("https://www.google.iq/maps/search/+32.2401,44.3655/@32.2401,44.3655,14z?hl=en","Maplink2")</f>
        <v>Maplink2</v>
      </c>
      <c r="AU404" s="20" t="str">
        <f aca="false">HYPERLINK("http://www.bing.com/maps/?lvl=14&amp;sty=h&amp;cp=32.2401~44.3655&amp;sp=point.32.2401_44.3655","Maplink3")</f>
        <v>Maplink3</v>
      </c>
    </row>
    <row r="405" customFormat="false" ht="15" hidden="false" customHeight="true" outlineLevel="0" collapsed="false">
      <c r="A405" s="15" t="n">
        <v>24971</v>
      </c>
      <c r="B405" s="16" t="s">
        <v>16</v>
      </c>
      <c r="C405" s="16" t="s">
        <v>743</v>
      </c>
      <c r="D405" s="16" t="s">
        <v>822</v>
      </c>
      <c r="E405" s="17" t="s">
        <v>823</v>
      </c>
      <c r="F405" s="16" t="n">
        <v>32.51157071</v>
      </c>
      <c r="G405" s="16" t="n">
        <v>44.4290121</v>
      </c>
      <c r="H405" s="18" t="n">
        <v>5</v>
      </c>
      <c r="I405" s="18" t="n">
        <v>30</v>
      </c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 t="n">
        <v>5</v>
      </c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 t="n">
        <v>5</v>
      </c>
      <c r="AI405" s="19"/>
      <c r="AJ405" s="19"/>
      <c r="AK405" s="19"/>
      <c r="AL405" s="19"/>
      <c r="AM405" s="19" t="n">
        <v>5</v>
      </c>
      <c r="AN405" s="19"/>
      <c r="AO405" s="19"/>
      <c r="AP405" s="19"/>
      <c r="AQ405" s="19"/>
      <c r="AR405" s="19"/>
      <c r="AS405" s="20" t="str">
        <f aca="false">HYPERLINK("http://www.openstreetmap.org/?mlat=32.5116&amp;mlon=44.429&amp;zoom=12#map=12/32.5116/44.429","Maplink1")</f>
        <v>Maplink1</v>
      </c>
      <c r="AT405" s="20" t="str">
        <f aca="false">HYPERLINK("https://www.google.iq/maps/search/+32.5116,44.429/@32.5116,44.429,14z?hl=en","Maplink2")</f>
        <v>Maplink2</v>
      </c>
      <c r="AU405" s="20" t="str">
        <f aca="false">HYPERLINK("http://www.bing.com/maps/?lvl=14&amp;sty=h&amp;cp=32.5116~44.429&amp;sp=point.32.5116_44.429","Maplink3")</f>
        <v>Maplink3</v>
      </c>
    </row>
    <row r="406" customFormat="false" ht="15" hidden="false" customHeight="true" outlineLevel="0" collapsed="false">
      <c r="A406" s="15" t="n">
        <v>24972</v>
      </c>
      <c r="B406" s="16" t="s">
        <v>16</v>
      </c>
      <c r="C406" s="16" t="s">
        <v>743</v>
      </c>
      <c r="D406" s="16" t="s">
        <v>824</v>
      </c>
      <c r="E406" s="17" t="s">
        <v>825</v>
      </c>
      <c r="F406" s="16" t="n">
        <v>32.24801907</v>
      </c>
      <c r="G406" s="16" t="n">
        <v>44.35021928</v>
      </c>
      <c r="H406" s="18" t="n">
        <v>32</v>
      </c>
      <c r="I406" s="18" t="n">
        <v>192</v>
      </c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 t="n">
        <v>32</v>
      </c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 t="n">
        <v>32</v>
      </c>
      <c r="AH406" s="19"/>
      <c r="AI406" s="19"/>
      <c r="AJ406" s="19"/>
      <c r="AK406" s="19"/>
      <c r="AL406" s="19"/>
      <c r="AM406" s="19" t="n">
        <v>25</v>
      </c>
      <c r="AN406" s="19" t="n">
        <v>7</v>
      </c>
      <c r="AO406" s="19"/>
      <c r="AP406" s="19"/>
      <c r="AQ406" s="19"/>
      <c r="AR406" s="19"/>
      <c r="AS406" s="20" t="str">
        <f aca="false">HYPERLINK("http://www.openstreetmap.org/?mlat=32.248&amp;mlon=44.3502&amp;zoom=12#map=12/32.248/44.3502","Maplink1")</f>
        <v>Maplink1</v>
      </c>
      <c r="AT406" s="20" t="str">
        <f aca="false">HYPERLINK("https://www.google.iq/maps/search/+32.248,44.3502/@32.248,44.3502,14z?hl=en","Maplink2")</f>
        <v>Maplink2</v>
      </c>
      <c r="AU406" s="20" t="str">
        <f aca="false">HYPERLINK("http://www.bing.com/maps/?lvl=14&amp;sty=h&amp;cp=32.248~44.3502&amp;sp=point.32.248_44.3502","Maplink3")</f>
        <v>Maplink3</v>
      </c>
    </row>
    <row r="407" customFormat="false" ht="15" hidden="false" customHeight="true" outlineLevel="0" collapsed="false">
      <c r="A407" s="15" t="n">
        <v>23953</v>
      </c>
      <c r="B407" s="16" t="s">
        <v>16</v>
      </c>
      <c r="C407" s="16" t="s">
        <v>743</v>
      </c>
      <c r="D407" s="16" t="s">
        <v>826</v>
      </c>
      <c r="E407" s="17" t="s">
        <v>241</v>
      </c>
      <c r="F407" s="16" t="n">
        <v>32.46726438</v>
      </c>
      <c r="G407" s="16" t="n">
        <v>44.400636</v>
      </c>
      <c r="H407" s="18" t="n">
        <v>20</v>
      </c>
      <c r="I407" s="18" t="n">
        <v>120</v>
      </c>
      <c r="J407" s="19" t="n">
        <v>5</v>
      </c>
      <c r="K407" s="19"/>
      <c r="L407" s="19"/>
      <c r="M407" s="19"/>
      <c r="N407" s="19"/>
      <c r="O407" s="19" t="n">
        <v>1</v>
      </c>
      <c r="P407" s="19"/>
      <c r="Q407" s="19"/>
      <c r="R407" s="19"/>
      <c r="S407" s="19"/>
      <c r="T407" s="19"/>
      <c r="U407" s="19"/>
      <c r="V407" s="19" t="n">
        <v>14</v>
      </c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 t="n">
        <v>20</v>
      </c>
      <c r="AI407" s="19"/>
      <c r="AJ407" s="19"/>
      <c r="AK407" s="19"/>
      <c r="AL407" s="19"/>
      <c r="AM407" s="19" t="n">
        <v>14</v>
      </c>
      <c r="AN407" s="19" t="n">
        <v>1</v>
      </c>
      <c r="AO407" s="19" t="n">
        <v>1</v>
      </c>
      <c r="AP407" s="19" t="n">
        <v>4</v>
      </c>
      <c r="AQ407" s="19"/>
      <c r="AR407" s="19"/>
      <c r="AS407" s="20" t="str">
        <f aca="false">HYPERLINK("http://www.openstreetmap.org/?mlat=32.4673&amp;mlon=44.4006&amp;zoom=12#map=12/32.4673/44.4006","Maplink1")</f>
        <v>Maplink1</v>
      </c>
      <c r="AT407" s="20" t="str">
        <f aca="false">HYPERLINK("https://www.google.iq/maps/search/+32.4673,44.4006/@32.4673,44.4006,14z?hl=en","Maplink2")</f>
        <v>Maplink2</v>
      </c>
      <c r="AU407" s="20" t="str">
        <f aca="false">HYPERLINK("http://www.bing.com/maps/?lvl=14&amp;sty=h&amp;cp=32.4673~44.4006&amp;sp=point.32.4673_44.4006","Maplink3")</f>
        <v>Maplink3</v>
      </c>
    </row>
    <row r="408" customFormat="false" ht="15" hidden="false" customHeight="true" outlineLevel="0" collapsed="false">
      <c r="A408" s="15" t="n">
        <v>24772</v>
      </c>
      <c r="B408" s="16" t="s">
        <v>16</v>
      </c>
      <c r="C408" s="16" t="s">
        <v>743</v>
      </c>
      <c r="D408" s="16" t="s">
        <v>827</v>
      </c>
      <c r="E408" s="17" t="s">
        <v>828</v>
      </c>
      <c r="F408" s="16" t="n">
        <v>32.22323537</v>
      </c>
      <c r="G408" s="16" t="n">
        <v>44.36573175</v>
      </c>
      <c r="H408" s="18" t="n">
        <v>30</v>
      </c>
      <c r="I408" s="18" t="n">
        <v>180</v>
      </c>
      <c r="J408" s="19" t="n">
        <v>3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 t="n">
        <v>27</v>
      </c>
      <c r="W408" s="19"/>
      <c r="X408" s="19"/>
      <c r="Y408" s="19"/>
      <c r="Z408" s="19"/>
      <c r="AA408" s="19"/>
      <c r="AB408" s="19"/>
      <c r="AC408" s="19" t="n">
        <v>10</v>
      </c>
      <c r="AD408" s="19"/>
      <c r="AE408" s="19"/>
      <c r="AF408" s="19"/>
      <c r="AG408" s="19" t="n">
        <v>3</v>
      </c>
      <c r="AH408" s="19" t="n">
        <v>17</v>
      </c>
      <c r="AI408" s="19"/>
      <c r="AJ408" s="19"/>
      <c r="AK408" s="19"/>
      <c r="AL408" s="19"/>
      <c r="AM408" s="19" t="n">
        <v>27</v>
      </c>
      <c r="AN408" s="19"/>
      <c r="AO408" s="19" t="n">
        <v>3</v>
      </c>
      <c r="AP408" s="19"/>
      <c r="AQ408" s="19"/>
      <c r="AR408" s="19"/>
      <c r="AS408" s="20" t="str">
        <f aca="false">HYPERLINK("http://www.openstreetmap.org/?mlat=32.2232&amp;mlon=44.3657&amp;zoom=12#map=12/32.2232/44.3657","Maplink1")</f>
        <v>Maplink1</v>
      </c>
      <c r="AT408" s="20" t="str">
        <f aca="false">HYPERLINK("https://www.google.iq/maps/search/+32.2232,44.3657/@32.2232,44.3657,14z?hl=en","Maplink2")</f>
        <v>Maplink2</v>
      </c>
      <c r="AU408" s="20" t="str">
        <f aca="false">HYPERLINK("http://www.bing.com/maps/?lvl=14&amp;sty=h&amp;cp=32.2232~44.3657&amp;sp=point.32.2232_44.3657","Maplink3")</f>
        <v>Maplink3</v>
      </c>
    </row>
    <row r="409" customFormat="false" ht="15" hidden="false" customHeight="true" outlineLevel="0" collapsed="false">
      <c r="A409" s="15" t="n">
        <v>23952</v>
      </c>
      <c r="B409" s="16" t="s">
        <v>16</v>
      </c>
      <c r="C409" s="16" t="s">
        <v>743</v>
      </c>
      <c r="D409" s="16" t="s">
        <v>829</v>
      </c>
      <c r="E409" s="17" t="s">
        <v>830</v>
      </c>
      <c r="F409" s="16" t="n">
        <v>32.4685521</v>
      </c>
      <c r="G409" s="16" t="n">
        <v>44.42283556</v>
      </c>
      <c r="H409" s="18" t="n">
        <v>2</v>
      </c>
      <c r="I409" s="18" t="n">
        <v>12</v>
      </c>
      <c r="J409" s="19" t="n">
        <v>1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 t="n">
        <v>1</v>
      </c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 t="n">
        <v>2</v>
      </c>
      <c r="AI409" s="19"/>
      <c r="AJ409" s="19"/>
      <c r="AK409" s="19"/>
      <c r="AL409" s="19"/>
      <c r="AM409" s="19" t="n">
        <v>1</v>
      </c>
      <c r="AN409" s="19"/>
      <c r="AO409" s="19"/>
      <c r="AP409" s="19" t="n">
        <v>1</v>
      </c>
      <c r="AQ409" s="19"/>
      <c r="AR409" s="19"/>
      <c r="AS409" s="20" t="str">
        <f aca="false">HYPERLINK("http://www.openstreetmap.org/?mlat=32.4686&amp;mlon=44.4228&amp;zoom=12#map=12/32.4686/44.4228","Maplink1")</f>
        <v>Maplink1</v>
      </c>
      <c r="AT409" s="20" t="str">
        <f aca="false">HYPERLINK("https://www.google.iq/maps/search/+32.4686,44.4228/@32.4686,44.4228,14z?hl=en","Maplink2")</f>
        <v>Maplink2</v>
      </c>
      <c r="AU409" s="20" t="str">
        <f aca="false">HYPERLINK("http://www.bing.com/maps/?lvl=14&amp;sty=h&amp;cp=32.4686~44.4228&amp;sp=point.32.4686_44.4228","Maplink3")</f>
        <v>Maplink3</v>
      </c>
    </row>
    <row r="410" customFormat="false" ht="15" hidden="false" customHeight="true" outlineLevel="0" collapsed="false">
      <c r="A410" s="15" t="n">
        <v>24695</v>
      </c>
      <c r="B410" s="16" t="s">
        <v>16</v>
      </c>
      <c r="C410" s="16" t="s">
        <v>743</v>
      </c>
      <c r="D410" s="16" t="s">
        <v>831</v>
      </c>
      <c r="E410" s="17" t="s">
        <v>832</v>
      </c>
      <c r="F410" s="16" t="n">
        <v>32.42170736</v>
      </c>
      <c r="G410" s="16" t="n">
        <v>44.48999237</v>
      </c>
      <c r="H410" s="18" t="n">
        <v>35</v>
      </c>
      <c r="I410" s="18" t="n">
        <v>210</v>
      </c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 t="n">
        <v>35</v>
      </c>
      <c r="W410" s="19"/>
      <c r="X410" s="19"/>
      <c r="Y410" s="19"/>
      <c r="Z410" s="19"/>
      <c r="AA410" s="19"/>
      <c r="AB410" s="19"/>
      <c r="AC410" s="19" t="n">
        <v>23</v>
      </c>
      <c r="AD410" s="19"/>
      <c r="AE410" s="19"/>
      <c r="AF410" s="19"/>
      <c r="AG410" s="19"/>
      <c r="AH410" s="19" t="n">
        <v>3</v>
      </c>
      <c r="AI410" s="19"/>
      <c r="AJ410" s="19" t="n">
        <v>9</v>
      </c>
      <c r="AK410" s="19"/>
      <c r="AL410" s="19"/>
      <c r="AM410" s="19" t="n">
        <v>35</v>
      </c>
      <c r="AN410" s="19"/>
      <c r="AO410" s="19"/>
      <c r="AP410" s="19"/>
      <c r="AQ410" s="19"/>
      <c r="AR410" s="19"/>
      <c r="AS410" s="20" t="str">
        <f aca="false">HYPERLINK("http://www.openstreetmap.org/?mlat=32.4217&amp;mlon=44.49&amp;zoom=12#map=12/32.4217/44.49","Maplink1")</f>
        <v>Maplink1</v>
      </c>
      <c r="AT410" s="20" t="str">
        <f aca="false">HYPERLINK("https://www.google.iq/maps/search/+32.4217,44.49/@32.4217,44.49,14z?hl=en","Maplink2")</f>
        <v>Maplink2</v>
      </c>
      <c r="AU410" s="20" t="str">
        <f aca="false">HYPERLINK("http://www.bing.com/maps/?lvl=14&amp;sty=h&amp;cp=32.4217~44.49&amp;sp=point.32.4217_44.49","Maplink3")</f>
        <v>Maplink3</v>
      </c>
    </row>
    <row r="411" customFormat="false" ht="15" hidden="false" customHeight="true" outlineLevel="0" collapsed="false">
      <c r="A411" s="15" t="n">
        <v>24974</v>
      </c>
      <c r="B411" s="16" t="s">
        <v>16</v>
      </c>
      <c r="C411" s="16" t="s">
        <v>743</v>
      </c>
      <c r="D411" s="16" t="s">
        <v>833</v>
      </c>
      <c r="E411" s="17" t="s">
        <v>834</v>
      </c>
      <c r="F411" s="16" t="n">
        <v>32.26320427</v>
      </c>
      <c r="G411" s="16" t="n">
        <v>44.36078031</v>
      </c>
      <c r="H411" s="18" t="n">
        <v>12</v>
      </c>
      <c r="I411" s="18" t="n">
        <v>72</v>
      </c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 t="n">
        <v>12</v>
      </c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 t="n">
        <v>12</v>
      </c>
      <c r="AH411" s="19"/>
      <c r="AI411" s="19"/>
      <c r="AJ411" s="19"/>
      <c r="AK411" s="19"/>
      <c r="AL411" s="19"/>
      <c r="AM411" s="19" t="n">
        <v>12</v>
      </c>
      <c r="AN411" s="19"/>
      <c r="AO411" s="19"/>
      <c r="AP411" s="19"/>
      <c r="AQ411" s="19"/>
      <c r="AR411" s="19"/>
      <c r="AS411" s="20" t="str">
        <f aca="false">HYPERLINK("http://www.openstreetmap.org/?mlat=32.2632&amp;mlon=44.3608&amp;zoom=12#map=12/32.2632/44.3608","Maplink1")</f>
        <v>Maplink1</v>
      </c>
      <c r="AT411" s="20" t="str">
        <f aca="false">HYPERLINK("https://www.google.iq/maps/search/+32.2632,44.3608/@32.2632,44.3608,14z?hl=en","Maplink2")</f>
        <v>Maplink2</v>
      </c>
      <c r="AU411" s="20" t="str">
        <f aca="false">HYPERLINK("http://www.bing.com/maps/?lvl=14&amp;sty=h&amp;cp=32.2632~44.3608&amp;sp=point.32.2632_44.3608","Maplink3")</f>
        <v>Maplink3</v>
      </c>
    </row>
    <row r="412" customFormat="false" ht="15" hidden="false" customHeight="true" outlineLevel="0" collapsed="false">
      <c r="A412" s="15" t="n">
        <v>25124</v>
      </c>
      <c r="B412" s="16" t="s">
        <v>16</v>
      </c>
      <c r="C412" s="16" t="s">
        <v>743</v>
      </c>
      <c r="D412" s="16" t="s">
        <v>835</v>
      </c>
      <c r="E412" s="17" t="s">
        <v>836</v>
      </c>
      <c r="F412" s="16" t="n">
        <v>32.465652</v>
      </c>
      <c r="G412" s="16" t="n">
        <v>44.50170575</v>
      </c>
      <c r="H412" s="18" t="n">
        <v>22</v>
      </c>
      <c r="I412" s="18" t="n">
        <v>132</v>
      </c>
      <c r="J412" s="19"/>
      <c r="K412" s="19"/>
      <c r="L412" s="19" t="n">
        <v>21</v>
      </c>
      <c r="M412" s="19"/>
      <c r="N412" s="19"/>
      <c r="O412" s="19"/>
      <c r="P412" s="19"/>
      <c r="Q412" s="19"/>
      <c r="R412" s="19"/>
      <c r="S412" s="19"/>
      <c r="T412" s="19"/>
      <c r="U412" s="19"/>
      <c r="V412" s="19" t="n">
        <v>1</v>
      </c>
      <c r="W412" s="19"/>
      <c r="X412" s="19"/>
      <c r="Y412" s="19"/>
      <c r="Z412" s="19"/>
      <c r="AA412" s="19"/>
      <c r="AB412" s="19"/>
      <c r="AC412" s="19" t="n">
        <v>21</v>
      </c>
      <c r="AD412" s="19"/>
      <c r="AE412" s="19"/>
      <c r="AF412" s="19"/>
      <c r="AG412" s="19"/>
      <c r="AH412" s="19" t="n">
        <v>1</v>
      </c>
      <c r="AI412" s="19"/>
      <c r="AJ412" s="19"/>
      <c r="AK412" s="19"/>
      <c r="AL412" s="19"/>
      <c r="AM412" s="19" t="n">
        <v>1</v>
      </c>
      <c r="AN412" s="19" t="n">
        <v>21</v>
      </c>
      <c r="AO412" s="19"/>
      <c r="AP412" s="19"/>
      <c r="AQ412" s="19"/>
      <c r="AR412" s="19"/>
      <c r="AS412" s="20" t="str">
        <f aca="false">HYPERLINK("http://www.openstreetmap.org/?mlat=32.4657&amp;mlon=44.5017&amp;zoom=12#map=12/32.4657/44.5017","Maplink1")</f>
        <v>Maplink1</v>
      </c>
      <c r="AT412" s="20" t="str">
        <f aca="false">HYPERLINK("https://www.google.iq/maps/search/+32.4657,44.5017/@32.4657,44.5017,14z?hl=en","Maplink2")</f>
        <v>Maplink2</v>
      </c>
      <c r="AU412" s="20" t="str">
        <f aca="false">HYPERLINK("http://www.bing.com/maps/?lvl=14&amp;sty=h&amp;cp=32.4657~44.5017&amp;sp=point.32.4657_44.5017","Maplink3")</f>
        <v>Maplink3</v>
      </c>
    </row>
    <row r="413" customFormat="false" ht="15" hidden="false" customHeight="true" outlineLevel="0" collapsed="false">
      <c r="A413" s="15" t="n">
        <v>24671</v>
      </c>
      <c r="B413" s="16" t="s">
        <v>16</v>
      </c>
      <c r="C413" s="16" t="s">
        <v>743</v>
      </c>
      <c r="D413" s="16" t="s">
        <v>837</v>
      </c>
      <c r="E413" s="17" t="s">
        <v>838</v>
      </c>
      <c r="F413" s="16" t="n">
        <v>32.43218834</v>
      </c>
      <c r="G413" s="16" t="n">
        <v>44.31959566</v>
      </c>
      <c r="H413" s="18" t="n">
        <v>16</v>
      </c>
      <c r="I413" s="18" t="n">
        <v>96</v>
      </c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 t="n">
        <v>16</v>
      </c>
      <c r="W413" s="19"/>
      <c r="X413" s="19"/>
      <c r="Y413" s="19"/>
      <c r="Z413" s="19"/>
      <c r="AA413" s="19"/>
      <c r="AB413" s="19"/>
      <c r="AC413" s="19" t="n">
        <v>16</v>
      </c>
      <c r="AD413" s="19"/>
      <c r="AE413" s="19"/>
      <c r="AF413" s="19"/>
      <c r="AG413" s="19"/>
      <c r="AH413" s="19"/>
      <c r="AI413" s="19"/>
      <c r="AJ413" s="19"/>
      <c r="AK413" s="19"/>
      <c r="AL413" s="19"/>
      <c r="AM413" s="19" t="n">
        <v>16</v>
      </c>
      <c r="AN413" s="19"/>
      <c r="AO413" s="19"/>
      <c r="AP413" s="19"/>
      <c r="AQ413" s="19"/>
      <c r="AR413" s="19"/>
      <c r="AS413" s="20" t="str">
        <f aca="false">HYPERLINK("http://www.openstreetmap.org/?mlat=32.4322&amp;mlon=44.3196&amp;zoom=12#map=12/32.4322/44.3196","Maplink1")</f>
        <v>Maplink1</v>
      </c>
      <c r="AT413" s="20" t="str">
        <f aca="false">HYPERLINK("https://www.google.iq/maps/search/+32.4322,44.3196/@32.4322,44.3196,14z?hl=en","Maplink2")</f>
        <v>Maplink2</v>
      </c>
      <c r="AU413" s="20" t="str">
        <f aca="false">HYPERLINK("http://www.bing.com/maps/?lvl=14&amp;sty=h&amp;cp=32.4322~44.3196&amp;sp=point.32.4322_44.3196","Maplink3")</f>
        <v>Maplink3</v>
      </c>
    </row>
    <row r="414" customFormat="false" ht="15" hidden="false" customHeight="true" outlineLevel="0" collapsed="false">
      <c r="A414" s="15" t="n">
        <v>24696</v>
      </c>
      <c r="B414" s="16" t="s">
        <v>16</v>
      </c>
      <c r="C414" s="16" t="s">
        <v>743</v>
      </c>
      <c r="D414" s="16" t="s">
        <v>839</v>
      </c>
      <c r="E414" s="17" t="s">
        <v>840</v>
      </c>
      <c r="F414" s="16" t="n">
        <v>32.41057204</v>
      </c>
      <c r="G414" s="16" t="n">
        <v>44.48168515</v>
      </c>
      <c r="H414" s="18" t="n">
        <v>11</v>
      </c>
      <c r="I414" s="18" t="n">
        <v>66</v>
      </c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 t="n">
        <v>11</v>
      </c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 t="n">
        <v>11</v>
      </c>
      <c r="AH414" s="19"/>
      <c r="AI414" s="19"/>
      <c r="AJ414" s="19"/>
      <c r="AK414" s="19"/>
      <c r="AL414" s="19"/>
      <c r="AM414" s="19" t="n">
        <v>8</v>
      </c>
      <c r="AN414" s="19" t="n">
        <v>3</v>
      </c>
      <c r="AO414" s="19"/>
      <c r="AP414" s="19"/>
      <c r="AQ414" s="19"/>
      <c r="AR414" s="19"/>
      <c r="AS414" s="20" t="str">
        <f aca="false">HYPERLINK("http://www.openstreetmap.org/?mlat=32.4106&amp;mlon=44.4817&amp;zoom=12#map=12/32.4106/44.4817","Maplink1")</f>
        <v>Maplink1</v>
      </c>
      <c r="AT414" s="20" t="str">
        <f aca="false">HYPERLINK("https://www.google.iq/maps/search/+32.4106,44.4817/@32.4106,44.4817,14z?hl=en","Maplink2")</f>
        <v>Maplink2</v>
      </c>
      <c r="AU414" s="20" t="str">
        <f aca="false">HYPERLINK("http://www.bing.com/maps/?lvl=14&amp;sty=h&amp;cp=32.4106~44.4817&amp;sp=point.32.4106_44.4817","Maplink3")</f>
        <v>Maplink3</v>
      </c>
    </row>
    <row r="415" customFormat="false" ht="15" hidden="false" customHeight="true" outlineLevel="0" collapsed="false">
      <c r="A415" s="15" t="n">
        <v>25450</v>
      </c>
      <c r="B415" s="16" t="s">
        <v>16</v>
      </c>
      <c r="C415" s="16" t="s">
        <v>743</v>
      </c>
      <c r="D415" s="16" t="s">
        <v>841</v>
      </c>
      <c r="E415" s="17" t="s">
        <v>842</v>
      </c>
      <c r="F415" s="16" t="n">
        <v>32.44154581</v>
      </c>
      <c r="G415" s="16" t="n">
        <v>44.42034521</v>
      </c>
      <c r="H415" s="18" t="n">
        <v>9</v>
      </c>
      <c r="I415" s="18" t="n">
        <v>54</v>
      </c>
      <c r="J415" s="19" t="n">
        <v>2</v>
      </c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 t="n">
        <v>7</v>
      </c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 t="n">
        <v>5</v>
      </c>
      <c r="AI415" s="19"/>
      <c r="AJ415" s="19" t="n">
        <v>4</v>
      </c>
      <c r="AK415" s="19"/>
      <c r="AL415" s="19"/>
      <c r="AM415" s="19"/>
      <c r="AN415" s="19" t="n">
        <v>7</v>
      </c>
      <c r="AO415" s="19"/>
      <c r="AP415" s="19" t="n">
        <v>2</v>
      </c>
      <c r="AQ415" s="19"/>
      <c r="AR415" s="19"/>
      <c r="AS415" s="20" t="str">
        <f aca="false">HYPERLINK("http://www.openstreetmap.org/?mlat=32.4415&amp;mlon=44.4203&amp;zoom=12#map=12/32.4415/44.4203","Maplink1")</f>
        <v>Maplink1</v>
      </c>
      <c r="AT415" s="20" t="str">
        <f aca="false">HYPERLINK("https://www.google.iq/maps/search/+32.4415,44.4203/@32.4415,44.4203,14z?hl=en","Maplink2")</f>
        <v>Maplink2</v>
      </c>
      <c r="AU415" s="20" t="str">
        <f aca="false">HYPERLINK("http://www.bing.com/maps/?lvl=14&amp;sty=h&amp;cp=32.4415~44.4203&amp;sp=point.32.4415_44.4203","Maplink3")</f>
        <v>Maplink3</v>
      </c>
    </row>
    <row r="416" customFormat="false" ht="15" hidden="false" customHeight="true" outlineLevel="0" collapsed="false">
      <c r="A416" s="15" t="n">
        <v>24693</v>
      </c>
      <c r="B416" s="16" t="s">
        <v>16</v>
      </c>
      <c r="C416" s="16" t="s">
        <v>743</v>
      </c>
      <c r="D416" s="16" t="s">
        <v>843</v>
      </c>
      <c r="E416" s="17" t="s">
        <v>844</v>
      </c>
      <c r="F416" s="16" t="n">
        <v>32.55264949</v>
      </c>
      <c r="G416" s="16" t="n">
        <v>44.39519615</v>
      </c>
      <c r="H416" s="18" t="n">
        <v>24</v>
      </c>
      <c r="I416" s="18" t="n">
        <v>144</v>
      </c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 t="n">
        <v>24</v>
      </c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 t="n">
        <v>24</v>
      </c>
      <c r="AK416" s="19"/>
      <c r="AL416" s="19"/>
      <c r="AM416" s="19" t="n">
        <v>24</v>
      </c>
      <c r="AN416" s="19"/>
      <c r="AO416" s="19"/>
      <c r="AP416" s="19"/>
      <c r="AQ416" s="19"/>
      <c r="AR416" s="19"/>
      <c r="AS416" s="20" t="str">
        <f aca="false">HYPERLINK("http://www.openstreetmap.org/?mlat=32.5526&amp;mlon=44.3952&amp;zoom=12#map=12/32.5526/44.3952","Maplink1")</f>
        <v>Maplink1</v>
      </c>
      <c r="AT416" s="20" t="str">
        <f aca="false">HYPERLINK("https://www.google.iq/maps/search/+32.5526,44.3952/@32.5526,44.3952,14z?hl=en","Maplink2")</f>
        <v>Maplink2</v>
      </c>
      <c r="AU416" s="20" t="str">
        <f aca="false">HYPERLINK("http://www.bing.com/maps/?lvl=14&amp;sty=h&amp;cp=32.5526~44.3952&amp;sp=point.32.5526_44.3952","Maplink3")</f>
        <v>Maplink3</v>
      </c>
    </row>
    <row r="417" customFormat="false" ht="15" hidden="false" customHeight="true" outlineLevel="0" collapsed="false">
      <c r="A417" s="15" t="n">
        <v>24593</v>
      </c>
      <c r="B417" s="16" t="s">
        <v>16</v>
      </c>
      <c r="C417" s="16" t="s">
        <v>743</v>
      </c>
      <c r="D417" s="16" t="s">
        <v>845</v>
      </c>
      <c r="E417" s="17" t="s">
        <v>85</v>
      </c>
      <c r="F417" s="16" t="n">
        <v>32.47125015</v>
      </c>
      <c r="G417" s="16" t="n">
        <v>44.40426738</v>
      </c>
      <c r="H417" s="18" t="n">
        <v>60</v>
      </c>
      <c r="I417" s="18" t="n">
        <v>360</v>
      </c>
      <c r="J417" s="19" t="n">
        <v>3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 t="n">
        <v>53</v>
      </c>
      <c r="W417" s="19"/>
      <c r="X417" s="19" t="n">
        <v>4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 t="n">
        <v>60</v>
      </c>
      <c r="AI417" s="19"/>
      <c r="AJ417" s="19"/>
      <c r="AK417" s="19"/>
      <c r="AL417" s="19"/>
      <c r="AM417" s="19" t="n">
        <v>53</v>
      </c>
      <c r="AN417" s="19"/>
      <c r="AO417" s="19" t="n">
        <v>4</v>
      </c>
      <c r="AP417" s="19" t="n">
        <v>3</v>
      </c>
      <c r="AQ417" s="19"/>
      <c r="AR417" s="19"/>
      <c r="AS417" s="20" t="str">
        <f aca="false">HYPERLINK("http://www.openstreetmap.org/?mlat=32.4713&amp;mlon=44.4043&amp;zoom=12#map=12/32.4713/44.4043","Maplink1")</f>
        <v>Maplink1</v>
      </c>
      <c r="AT417" s="20" t="str">
        <f aca="false">HYPERLINK("https://www.google.iq/maps/search/+32.4713,44.4043/@32.4713,44.4043,14z?hl=en","Maplink2")</f>
        <v>Maplink2</v>
      </c>
      <c r="AU417" s="20" t="str">
        <f aca="false">HYPERLINK("http://www.bing.com/maps/?lvl=14&amp;sty=h&amp;cp=32.4713~44.4043&amp;sp=point.32.4713_44.4043","Maplink3")</f>
        <v>Maplink3</v>
      </c>
    </row>
    <row r="418" customFormat="false" ht="15" hidden="false" customHeight="true" outlineLevel="0" collapsed="false">
      <c r="A418" s="15" t="n">
        <v>25451</v>
      </c>
      <c r="B418" s="16" t="s">
        <v>16</v>
      </c>
      <c r="C418" s="16" t="s">
        <v>743</v>
      </c>
      <c r="D418" s="16" t="s">
        <v>846</v>
      </c>
      <c r="E418" s="17" t="s">
        <v>847</v>
      </c>
      <c r="F418" s="16" t="n">
        <v>32.48476031</v>
      </c>
      <c r="G418" s="16" t="n">
        <v>44.43445682</v>
      </c>
      <c r="H418" s="18" t="n">
        <v>9</v>
      </c>
      <c r="I418" s="18" t="n">
        <v>54</v>
      </c>
      <c r="J418" s="19" t="n">
        <v>2</v>
      </c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 t="n">
        <v>7</v>
      </c>
      <c r="W418" s="19"/>
      <c r="X418" s="19"/>
      <c r="Y418" s="19"/>
      <c r="Z418" s="19"/>
      <c r="AA418" s="19"/>
      <c r="AB418" s="19"/>
      <c r="AC418" s="19" t="n">
        <v>2</v>
      </c>
      <c r="AD418" s="19"/>
      <c r="AE418" s="19"/>
      <c r="AF418" s="19"/>
      <c r="AG418" s="19"/>
      <c r="AH418" s="19" t="n">
        <v>7</v>
      </c>
      <c r="AI418" s="19"/>
      <c r="AJ418" s="19"/>
      <c r="AK418" s="19"/>
      <c r="AL418" s="19" t="n">
        <v>2</v>
      </c>
      <c r="AM418" s="19" t="n">
        <v>5</v>
      </c>
      <c r="AN418" s="19" t="n">
        <v>2</v>
      </c>
      <c r="AO418" s="19"/>
      <c r="AP418" s="19"/>
      <c r="AQ418" s="19"/>
      <c r="AR418" s="19"/>
      <c r="AS418" s="20" t="str">
        <f aca="false">HYPERLINK("http://www.openstreetmap.org/?mlat=32.4848&amp;mlon=44.4345&amp;zoom=12#map=12/32.4848/44.4345","Maplink1")</f>
        <v>Maplink1</v>
      </c>
      <c r="AT418" s="20" t="str">
        <f aca="false">HYPERLINK("https://www.google.iq/maps/search/+32.4848,44.4345/@32.4848,44.4345,14z?hl=en","Maplink2")</f>
        <v>Maplink2</v>
      </c>
      <c r="AU418" s="20" t="str">
        <f aca="false">HYPERLINK("http://www.bing.com/maps/?lvl=14&amp;sty=h&amp;cp=32.4848~44.4345&amp;sp=point.32.4848_44.4345","Maplink3")</f>
        <v>Maplink3</v>
      </c>
    </row>
    <row r="419" customFormat="false" ht="15" hidden="false" customHeight="true" outlineLevel="0" collapsed="false">
      <c r="A419" s="15" t="n">
        <v>24456</v>
      </c>
      <c r="B419" s="16" t="s">
        <v>16</v>
      </c>
      <c r="C419" s="16" t="s">
        <v>743</v>
      </c>
      <c r="D419" s="16" t="s">
        <v>848</v>
      </c>
      <c r="E419" s="17" t="s">
        <v>849</v>
      </c>
      <c r="F419" s="16" t="n">
        <v>32.54054808</v>
      </c>
      <c r="G419" s="16" t="n">
        <v>44.30638528</v>
      </c>
      <c r="H419" s="18" t="n">
        <v>30</v>
      </c>
      <c r="I419" s="18" t="n">
        <v>180</v>
      </c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 t="n">
        <v>30</v>
      </c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 t="n">
        <v>30</v>
      </c>
      <c r="AH419" s="19"/>
      <c r="AI419" s="19"/>
      <c r="AJ419" s="19"/>
      <c r="AK419" s="19"/>
      <c r="AL419" s="19"/>
      <c r="AM419" s="19"/>
      <c r="AN419" s="19" t="n">
        <v>30</v>
      </c>
      <c r="AO419" s="19"/>
      <c r="AP419" s="19"/>
      <c r="AQ419" s="19"/>
      <c r="AR419" s="19"/>
      <c r="AS419" s="20" t="str">
        <f aca="false">HYPERLINK("http://www.openstreetmap.org/?mlat=32.5405&amp;mlon=44.3064&amp;zoom=12#map=12/32.5405/44.3064","Maplink1")</f>
        <v>Maplink1</v>
      </c>
      <c r="AT419" s="20" t="str">
        <f aca="false">HYPERLINK("https://www.google.iq/maps/search/+32.5405,44.3064/@32.5405,44.3064,14z?hl=en","Maplink2")</f>
        <v>Maplink2</v>
      </c>
      <c r="AU419" s="20" t="str">
        <f aca="false">HYPERLINK("http://www.bing.com/maps/?lvl=14&amp;sty=h&amp;cp=32.5405~44.3064&amp;sp=point.32.5405_44.3064","Maplink3")</f>
        <v>Maplink3</v>
      </c>
    </row>
    <row r="420" customFormat="false" ht="15" hidden="false" customHeight="true" outlineLevel="0" collapsed="false">
      <c r="A420" s="15" t="n">
        <v>23947</v>
      </c>
      <c r="B420" s="16" t="s">
        <v>16</v>
      </c>
      <c r="C420" s="16" t="s">
        <v>743</v>
      </c>
      <c r="D420" s="16" t="s">
        <v>850</v>
      </c>
      <c r="E420" s="17" t="s">
        <v>851</v>
      </c>
      <c r="F420" s="16" t="n">
        <v>32.50530821</v>
      </c>
      <c r="G420" s="16" t="n">
        <v>44.41711038</v>
      </c>
      <c r="H420" s="18" t="n">
        <v>15</v>
      </c>
      <c r="I420" s="18" t="n">
        <v>90</v>
      </c>
      <c r="J420" s="19" t="n">
        <v>2</v>
      </c>
      <c r="K420" s="19"/>
      <c r="L420" s="19"/>
      <c r="M420" s="19"/>
      <c r="N420" s="19"/>
      <c r="O420" s="19"/>
      <c r="P420" s="19"/>
      <c r="Q420" s="19"/>
      <c r="R420" s="19" t="n">
        <v>2</v>
      </c>
      <c r="S420" s="19"/>
      <c r="T420" s="19"/>
      <c r="U420" s="19"/>
      <c r="V420" s="19" t="n">
        <v>11</v>
      </c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 t="n">
        <v>15</v>
      </c>
      <c r="AI420" s="19"/>
      <c r="AJ420" s="19"/>
      <c r="AK420" s="19"/>
      <c r="AL420" s="19"/>
      <c r="AM420" s="19" t="n">
        <v>11</v>
      </c>
      <c r="AN420" s="19" t="n">
        <v>1</v>
      </c>
      <c r="AO420" s="19" t="n">
        <v>2</v>
      </c>
      <c r="AP420" s="19" t="n">
        <v>1</v>
      </c>
      <c r="AQ420" s="19"/>
      <c r="AR420" s="19"/>
      <c r="AS420" s="20" t="str">
        <f aca="false">HYPERLINK("http://www.openstreetmap.org/?mlat=32.5053&amp;mlon=44.4171&amp;zoom=12#map=12/32.5053/44.4171","Maplink1")</f>
        <v>Maplink1</v>
      </c>
      <c r="AT420" s="20" t="str">
        <f aca="false">HYPERLINK("https://www.google.iq/maps/search/+32.5053,44.4171/@32.5053,44.4171,14z?hl=en","Maplink2")</f>
        <v>Maplink2</v>
      </c>
      <c r="AU420" s="20" t="str">
        <f aca="false">HYPERLINK("http://www.bing.com/maps/?lvl=14&amp;sty=h&amp;cp=32.5053~44.4171&amp;sp=point.32.5053_44.4171","Maplink3")</f>
        <v>Maplink3</v>
      </c>
    </row>
    <row r="421" customFormat="false" ht="15" hidden="false" customHeight="true" outlineLevel="0" collapsed="false">
      <c r="A421" s="15" t="n">
        <v>24167</v>
      </c>
      <c r="B421" s="16" t="s">
        <v>16</v>
      </c>
      <c r="C421" s="16" t="s">
        <v>743</v>
      </c>
      <c r="D421" s="16" t="s">
        <v>852</v>
      </c>
      <c r="E421" s="17" t="s">
        <v>853</v>
      </c>
      <c r="F421" s="16" t="n">
        <v>32.46318395</v>
      </c>
      <c r="G421" s="16" t="n">
        <v>44.37389639</v>
      </c>
      <c r="H421" s="18" t="n">
        <v>81</v>
      </c>
      <c r="I421" s="18" t="n">
        <v>486</v>
      </c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 t="n">
        <v>81</v>
      </c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 t="n">
        <v>71</v>
      </c>
      <c r="AI421" s="19"/>
      <c r="AJ421" s="19" t="n">
        <v>10</v>
      </c>
      <c r="AK421" s="19"/>
      <c r="AL421" s="19"/>
      <c r="AM421" s="19" t="n">
        <v>76</v>
      </c>
      <c r="AN421" s="19" t="n">
        <v>5</v>
      </c>
      <c r="AO421" s="19"/>
      <c r="AP421" s="19"/>
      <c r="AQ421" s="19"/>
      <c r="AR421" s="19"/>
      <c r="AS421" s="20" t="str">
        <f aca="false">HYPERLINK("http://www.openstreetmap.org/?mlat=32.4632&amp;mlon=44.3739&amp;zoom=12#map=12/32.4632/44.3739","Maplink1")</f>
        <v>Maplink1</v>
      </c>
      <c r="AT421" s="20" t="str">
        <f aca="false">HYPERLINK("https://www.google.iq/maps/search/+32.4632,44.3739/@32.4632,44.3739,14z?hl=en","Maplink2")</f>
        <v>Maplink2</v>
      </c>
      <c r="AU421" s="20" t="str">
        <f aca="false">HYPERLINK("http://www.bing.com/maps/?lvl=14&amp;sty=h&amp;cp=32.4632~44.3739&amp;sp=point.32.4632_44.3739","Maplink3")</f>
        <v>Maplink3</v>
      </c>
    </row>
    <row r="422" customFormat="false" ht="15" hidden="false" customHeight="true" outlineLevel="0" collapsed="false">
      <c r="A422" s="15" t="n">
        <v>25447</v>
      </c>
      <c r="B422" s="16" t="s">
        <v>16</v>
      </c>
      <c r="C422" s="16" t="s">
        <v>743</v>
      </c>
      <c r="D422" s="16" t="s">
        <v>854</v>
      </c>
      <c r="E422" s="17" t="s">
        <v>855</v>
      </c>
      <c r="F422" s="16" t="n">
        <v>32.4812866</v>
      </c>
      <c r="G422" s="16" t="n">
        <v>44.44087258</v>
      </c>
      <c r="H422" s="18" t="n">
        <v>12</v>
      </c>
      <c r="I422" s="18" t="n">
        <v>72</v>
      </c>
      <c r="J422" s="19" t="n">
        <v>6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 t="n">
        <v>6</v>
      </c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 t="n">
        <v>12</v>
      </c>
      <c r="AI422" s="19"/>
      <c r="AJ422" s="19"/>
      <c r="AK422" s="19"/>
      <c r="AL422" s="19" t="n">
        <v>6</v>
      </c>
      <c r="AM422" s="19"/>
      <c r="AN422" s="19"/>
      <c r="AO422" s="19"/>
      <c r="AP422" s="19" t="n">
        <v>6</v>
      </c>
      <c r="AQ422" s="19"/>
      <c r="AR422" s="19"/>
      <c r="AS422" s="20" t="str">
        <f aca="false">HYPERLINK("http://www.openstreetmap.org/?mlat=32.4813&amp;mlon=44.4409&amp;zoom=12#map=12/32.4813/44.4409","Maplink1")</f>
        <v>Maplink1</v>
      </c>
      <c r="AT422" s="20" t="str">
        <f aca="false">HYPERLINK("https://www.google.iq/maps/search/+32.4813,44.4409/@32.4813,44.4409,14z?hl=en","Maplink2")</f>
        <v>Maplink2</v>
      </c>
      <c r="AU422" s="20" t="str">
        <f aca="false">HYPERLINK("http://www.bing.com/maps/?lvl=14&amp;sty=h&amp;cp=32.4813~44.4409&amp;sp=point.32.4813_44.4409","Maplink3")</f>
        <v>Maplink3</v>
      </c>
    </row>
    <row r="423" customFormat="false" ht="15" hidden="false" customHeight="true" outlineLevel="0" collapsed="false">
      <c r="A423" s="15" t="n">
        <v>25446</v>
      </c>
      <c r="B423" s="16" t="s">
        <v>16</v>
      </c>
      <c r="C423" s="16" t="s">
        <v>743</v>
      </c>
      <c r="D423" s="16" t="s">
        <v>856</v>
      </c>
      <c r="E423" s="17" t="s">
        <v>857</v>
      </c>
      <c r="F423" s="16" t="n">
        <v>32.52555935</v>
      </c>
      <c r="G423" s="16" t="n">
        <v>44.4773787</v>
      </c>
      <c r="H423" s="18" t="n">
        <v>4</v>
      </c>
      <c r="I423" s="18" t="n">
        <v>24</v>
      </c>
      <c r="J423" s="19" t="n">
        <v>1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 t="n">
        <v>3</v>
      </c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 t="n">
        <v>4</v>
      </c>
      <c r="AI423" s="19"/>
      <c r="AJ423" s="19"/>
      <c r="AK423" s="19"/>
      <c r="AL423" s="19"/>
      <c r="AM423" s="19" t="n">
        <v>3</v>
      </c>
      <c r="AN423" s="19"/>
      <c r="AO423" s="19" t="n">
        <v>1</v>
      </c>
      <c r="AP423" s="19"/>
      <c r="AQ423" s="19"/>
      <c r="AR423" s="19"/>
      <c r="AS423" s="20" t="str">
        <f aca="false">HYPERLINK("http://www.openstreetmap.org/?mlat=32.5256&amp;mlon=44.4774&amp;zoom=12#map=12/32.5256/44.4774","Maplink1")</f>
        <v>Maplink1</v>
      </c>
      <c r="AT423" s="20" t="str">
        <f aca="false">HYPERLINK("https://www.google.iq/maps/search/+32.5256,44.4774/@32.5256,44.4774,14z?hl=en","Maplink2")</f>
        <v>Maplink2</v>
      </c>
      <c r="AU423" s="20" t="str">
        <f aca="false">HYPERLINK("http://www.bing.com/maps/?lvl=14&amp;sty=h&amp;cp=32.5256~44.4774&amp;sp=point.32.5256_44.4774","Maplink3")</f>
        <v>Maplink3</v>
      </c>
    </row>
    <row r="424" customFormat="false" ht="15" hidden="false" customHeight="true" outlineLevel="0" collapsed="false">
      <c r="A424" s="15" t="n">
        <v>24455</v>
      </c>
      <c r="B424" s="16" t="s">
        <v>16</v>
      </c>
      <c r="C424" s="16" t="s">
        <v>743</v>
      </c>
      <c r="D424" s="16" t="s">
        <v>858</v>
      </c>
      <c r="E424" s="17" t="s">
        <v>859</v>
      </c>
      <c r="F424" s="16" t="n">
        <v>32.50725143</v>
      </c>
      <c r="G424" s="16" t="n">
        <v>44.31454095</v>
      </c>
      <c r="H424" s="18" t="n">
        <v>4</v>
      </c>
      <c r="I424" s="18" t="n">
        <v>24</v>
      </c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 t="n">
        <v>4</v>
      </c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 t="n">
        <v>4</v>
      </c>
      <c r="AH424" s="19"/>
      <c r="AI424" s="19"/>
      <c r="AJ424" s="19"/>
      <c r="AK424" s="19"/>
      <c r="AL424" s="19"/>
      <c r="AM424" s="19"/>
      <c r="AN424" s="19" t="n">
        <v>4</v>
      </c>
      <c r="AO424" s="19"/>
      <c r="AP424" s="19"/>
      <c r="AQ424" s="19"/>
      <c r="AR424" s="19"/>
      <c r="AS424" s="20" t="str">
        <f aca="false">HYPERLINK("http://www.openstreetmap.org/?mlat=32.5073&amp;mlon=44.3145&amp;zoom=12#map=12/32.5073/44.3145","Maplink1")</f>
        <v>Maplink1</v>
      </c>
      <c r="AT424" s="20" t="str">
        <f aca="false">HYPERLINK("https://www.google.iq/maps/search/+32.5073,44.3145/@32.5073,44.3145,14z?hl=en","Maplink2")</f>
        <v>Maplink2</v>
      </c>
      <c r="AU424" s="20" t="str">
        <f aca="false">HYPERLINK("http://www.bing.com/maps/?lvl=14&amp;sty=h&amp;cp=32.5073~44.3145&amp;sp=point.32.5073_44.3145","Maplink3")</f>
        <v>Maplink3</v>
      </c>
    </row>
    <row r="425" customFormat="false" ht="15" hidden="false" customHeight="true" outlineLevel="0" collapsed="false">
      <c r="A425" s="15" t="n">
        <v>7177</v>
      </c>
      <c r="B425" s="16" t="s">
        <v>16</v>
      </c>
      <c r="C425" s="16" t="s">
        <v>743</v>
      </c>
      <c r="D425" s="16" t="s">
        <v>860</v>
      </c>
      <c r="E425" s="17" t="s">
        <v>861</v>
      </c>
      <c r="F425" s="16" t="n">
        <v>32.45128211</v>
      </c>
      <c r="G425" s="16" t="n">
        <v>44.4091925</v>
      </c>
      <c r="H425" s="18" t="n">
        <v>34</v>
      </c>
      <c r="I425" s="18" t="n">
        <v>204</v>
      </c>
      <c r="J425" s="19" t="n">
        <v>2</v>
      </c>
      <c r="K425" s="19" t="n">
        <v>1</v>
      </c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 t="n">
        <v>30</v>
      </c>
      <c r="W425" s="19"/>
      <c r="X425" s="19" t="n">
        <v>1</v>
      </c>
      <c r="Y425" s="19"/>
      <c r="Z425" s="19"/>
      <c r="AA425" s="19"/>
      <c r="AB425" s="19"/>
      <c r="AC425" s="19" t="n">
        <v>5</v>
      </c>
      <c r="AD425" s="19"/>
      <c r="AE425" s="19"/>
      <c r="AF425" s="19"/>
      <c r="AG425" s="19" t="n">
        <v>6</v>
      </c>
      <c r="AH425" s="19" t="n">
        <v>23</v>
      </c>
      <c r="AI425" s="19"/>
      <c r="AJ425" s="19"/>
      <c r="AK425" s="19"/>
      <c r="AL425" s="19"/>
      <c r="AM425" s="19" t="n">
        <v>30</v>
      </c>
      <c r="AN425" s="19" t="n">
        <v>1</v>
      </c>
      <c r="AO425" s="19" t="n">
        <v>1</v>
      </c>
      <c r="AP425" s="19" t="n">
        <v>2</v>
      </c>
      <c r="AQ425" s="19"/>
      <c r="AR425" s="19"/>
      <c r="AS425" s="20" t="str">
        <f aca="false">HYPERLINK("http://www.openstreetmap.org/?mlat=32.4513&amp;mlon=44.4092&amp;zoom=12#map=12/32.4513/44.4092","Maplink1")</f>
        <v>Maplink1</v>
      </c>
      <c r="AT425" s="20" t="str">
        <f aca="false">HYPERLINK("https://www.google.iq/maps/search/+32.4513,44.4092/@32.4513,44.4092,14z?hl=en","Maplink2")</f>
        <v>Maplink2</v>
      </c>
      <c r="AU425" s="20" t="str">
        <f aca="false">HYPERLINK("http://www.bing.com/maps/?lvl=14&amp;sty=h&amp;cp=32.4513~44.4092&amp;sp=point.32.4513_44.4092","Maplink3")</f>
        <v>Maplink3</v>
      </c>
    </row>
    <row r="426" customFormat="false" ht="15" hidden="false" customHeight="true" outlineLevel="0" collapsed="false">
      <c r="A426" s="15" t="n">
        <v>23955</v>
      </c>
      <c r="B426" s="16" t="s">
        <v>16</v>
      </c>
      <c r="C426" s="16" t="s">
        <v>743</v>
      </c>
      <c r="D426" s="16" t="s">
        <v>862</v>
      </c>
      <c r="E426" s="17" t="s">
        <v>863</v>
      </c>
      <c r="F426" s="16" t="n">
        <v>32.4405</v>
      </c>
      <c r="G426" s="16" t="n">
        <v>44.39865679</v>
      </c>
      <c r="H426" s="18" t="n">
        <v>71</v>
      </c>
      <c r="I426" s="18" t="n">
        <v>426</v>
      </c>
      <c r="J426" s="19" t="n">
        <v>10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 t="n">
        <v>61</v>
      </c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 t="n">
        <v>71</v>
      </c>
      <c r="AI426" s="19"/>
      <c r="AJ426" s="19"/>
      <c r="AK426" s="19"/>
      <c r="AL426" s="19"/>
      <c r="AM426" s="19" t="n">
        <v>61</v>
      </c>
      <c r="AN426" s="19"/>
      <c r="AO426" s="19" t="n">
        <v>10</v>
      </c>
      <c r="AP426" s="19"/>
      <c r="AQ426" s="19"/>
      <c r="AR426" s="19"/>
      <c r="AS426" s="20" t="str">
        <f aca="false">HYPERLINK("http://www.openstreetmap.org/?mlat=32.4405&amp;mlon=44.3987&amp;zoom=12#map=12/32.4405/44.3987","Maplink1")</f>
        <v>Maplink1</v>
      </c>
      <c r="AT426" s="20" t="str">
        <f aca="false">HYPERLINK("https://www.google.iq/maps/search/+32.4405,44.3987/@32.4405,44.3987,14z?hl=en","Maplink2")</f>
        <v>Maplink2</v>
      </c>
      <c r="AU426" s="20" t="str">
        <f aca="false">HYPERLINK("http://www.bing.com/maps/?lvl=14&amp;sty=h&amp;cp=32.4405~44.3987&amp;sp=point.32.4405_44.3987","Maplink3")</f>
        <v>Maplink3</v>
      </c>
    </row>
    <row r="427" customFormat="false" ht="15" hidden="false" customHeight="true" outlineLevel="0" collapsed="false">
      <c r="A427" s="15" t="n">
        <v>6695</v>
      </c>
      <c r="B427" s="16" t="s">
        <v>16</v>
      </c>
      <c r="C427" s="16" t="s">
        <v>743</v>
      </c>
      <c r="D427" s="16" t="s">
        <v>864</v>
      </c>
      <c r="E427" s="17" t="s">
        <v>865</v>
      </c>
      <c r="F427" s="16" t="n">
        <v>32.30606413</v>
      </c>
      <c r="G427" s="16" t="n">
        <v>44.4097007</v>
      </c>
      <c r="H427" s="18" t="n">
        <v>9</v>
      </c>
      <c r="I427" s="18" t="n">
        <v>54</v>
      </c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 t="n">
        <v>9</v>
      </c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 t="n">
        <v>9</v>
      </c>
      <c r="AI427" s="19"/>
      <c r="AJ427" s="19"/>
      <c r="AK427" s="19"/>
      <c r="AL427" s="19"/>
      <c r="AM427" s="19" t="n">
        <v>9</v>
      </c>
      <c r="AN427" s="19"/>
      <c r="AO427" s="19"/>
      <c r="AP427" s="19"/>
      <c r="AQ427" s="19"/>
      <c r="AR427" s="19"/>
      <c r="AS427" s="20" t="str">
        <f aca="false">HYPERLINK("http://www.openstreetmap.org/?mlat=32.3061&amp;mlon=44.4097&amp;zoom=12#map=12/32.3061/44.4097","Maplink1")</f>
        <v>Maplink1</v>
      </c>
      <c r="AT427" s="20" t="str">
        <f aca="false">HYPERLINK("https://www.google.iq/maps/search/+32.3061,44.4097/@32.3061,44.4097,14z?hl=en","Maplink2")</f>
        <v>Maplink2</v>
      </c>
      <c r="AU427" s="20" t="str">
        <f aca="false">HYPERLINK("http://www.bing.com/maps/?lvl=14&amp;sty=h&amp;cp=32.3061~44.4097&amp;sp=point.32.3061_44.4097","Maplink3")</f>
        <v>Maplink3</v>
      </c>
    </row>
    <row r="428" customFormat="false" ht="15" hidden="false" customHeight="true" outlineLevel="0" collapsed="false">
      <c r="A428" s="15" t="n">
        <v>24980</v>
      </c>
      <c r="B428" s="16" t="s">
        <v>16</v>
      </c>
      <c r="C428" s="16" t="s">
        <v>743</v>
      </c>
      <c r="D428" s="16" t="s">
        <v>866</v>
      </c>
      <c r="E428" s="17" t="s">
        <v>674</v>
      </c>
      <c r="F428" s="16" t="n">
        <v>32.22545406</v>
      </c>
      <c r="G428" s="16" t="n">
        <v>44.37217701</v>
      </c>
      <c r="H428" s="18" t="n">
        <v>15</v>
      </c>
      <c r="I428" s="18" t="n">
        <v>90</v>
      </c>
      <c r="J428" s="19" t="n">
        <v>2</v>
      </c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 t="n">
        <v>13</v>
      </c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 t="n">
        <v>15</v>
      </c>
      <c r="AI428" s="19"/>
      <c r="AJ428" s="19"/>
      <c r="AK428" s="19"/>
      <c r="AL428" s="19"/>
      <c r="AM428" s="19" t="n">
        <v>13</v>
      </c>
      <c r="AN428" s="19"/>
      <c r="AO428" s="19" t="n">
        <v>2</v>
      </c>
      <c r="AP428" s="19"/>
      <c r="AQ428" s="19"/>
      <c r="AR428" s="19"/>
      <c r="AS428" s="20" t="str">
        <f aca="false">HYPERLINK("http://www.openstreetmap.org/?mlat=32.2255&amp;mlon=44.3722&amp;zoom=12#map=12/32.2255/44.3722","Maplink1")</f>
        <v>Maplink1</v>
      </c>
      <c r="AT428" s="20" t="str">
        <f aca="false">HYPERLINK("https://www.google.iq/maps/search/+32.2255,44.3722/@32.2255,44.3722,14z?hl=en","Maplink2")</f>
        <v>Maplink2</v>
      </c>
      <c r="AU428" s="20" t="str">
        <f aca="false">HYPERLINK("http://www.bing.com/maps/?lvl=14&amp;sty=h&amp;cp=32.2255~44.3722&amp;sp=point.32.2255_44.3722","Maplink3")</f>
        <v>Maplink3</v>
      </c>
    </row>
    <row r="429" customFormat="false" ht="15" hidden="false" customHeight="true" outlineLevel="0" collapsed="false">
      <c r="A429" s="15" t="n">
        <v>25714</v>
      </c>
      <c r="B429" s="16" t="s">
        <v>16</v>
      </c>
      <c r="C429" s="16" t="s">
        <v>743</v>
      </c>
      <c r="D429" s="16" t="s">
        <v>867</v>
      </c>
      <c r="E429" s="17" t="s">
        <v>868</v>
      </c>
      <c r="F429" s="16" t="n">
        <v>32.22082834</v>
      </c>
      <c r="G429" s="16" t="n">
        <v>44.36559697</v>
      </c>
      <c r="H429" s="18" t="n">
        <v>7</v>
      </c>
      <c r="I429" s="18" t="n">
        <v>42</v>
      </c>
      <c r="J429" s="19" t="n">
        <v>4</v>
      </c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 t="n">
        <v>3</v>
      </c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 t="n">
        <v>7</v>
      </c>
      <c r="AI429" s="19"/>
      <c r="AJ429" s="19"/>
      <c r="AK429" s="19"/>
      <c r="AL429" s="19"/>
      <c r="AM429" s="19" t="n">
        <v>3</v>
      </c>
      <c r="AN429" s="19"/>
      <c r="AO429" s="19" t="n">
        <v>4</v>
      </c>
      <c r="AP429" s="19"/>
      <c r="AQ429" s="19"/>
      <c r="AR429" s="19"/>
      <c r="AS429" s="20" t="str">
        <f aca="false">HYPERLINK("http://www.openstreetmap.org/?mlat=32.2208&amp;mlon=44.3656&amp;zoom=12#map=12/32.2208/44.3656","Maplink1")</f>
        <v>Maplink1</v>
      </c>
      <c r="AT429" s="20" t="str">
        <f aca="false">HYPERLINK("https://www.google.iq/maps/search/+32.2208,44.3656/@32.2208,44.3656,14z?hl=en","Maplink2")</f>
        <v>Maplink2</v>
      </c>
      <c r="AU429" s="20" t="str">
        <f aca="false">HYPERLINK("http://www.bing.com/maps/?lvl=14&amp;sty=h&amp;cp=32.2208~44.3656&amp;sp=point.32.2208_44.3656","Maplink3")</f>
        <v>Maplink3</v>
      </c>
    </row>
    <row r="430" customFormat="false" ht="15" hidden="false" customHeight="true" outlineLevel="0" collapsed="false">
      <c r="A430" s="15" t="n">
        <v>6600</v>
      </c>
      <c r="B430" s="16" t="s">
        <v>16</v>
      </c>
      <c r="C430" s="16" t="s">
        <v>743</v>
      </c>
      <c r="D430" s="16" t="s">
        <v>869</v>
      </c>
      <c r="E430" s="17" t="s">
        <v>870</v>
      </c>
      <c r="F430" s="16" t="n">
        <v>32.42875888</v>
      </c>
      <c r="G430" s="16" t="n">
        <v>44.46142651</v>
      </c>
      <c r="H430" s="18" t="n">
        <v>19</v>
      </c>
      <c r="I430" s="18" t="n">
        <v>114</v>
      </c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 t="n">
        <v>19</v>
      </c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 t="n">
        <v>19</v>
      </c>
      <c r="AH430" s="19"/>
      <c r="AI430" s="19"/>
      <c r="AJ430" s="19"/>
      <c r="AK430" s="19"/>
      <c r="AL430" s="19"/>
      <c r="AM430" s="19" t="n">
        <v>19</v>
      </c>
      <c r="AN430" s="19"/>
      <c r="AO430" s="19"/>
      <c r="AP430" s="19"/>
      <c r="AQ430" s="19"/>
      <c r="AR430" s="19"/>
      <c r="AS430" s="20" t="str">
        <f aca="false">HYPERLINK("http://www.openstreetmap.org/?mlat=32.4288&amp;mlon=44.4614&amp;zoom=12#map=12/32.4288/44.4614","Maplink1")</f>
        <v>Maplink1</v>
      </c>
      <c r="AT430" s="20" t="str">
        <f aca="false">HYPERLINK("https://www.google.iq/maps/search/+32.4288,44.4614/@32.4288,44.4614,14z?hl=en","Maplink2")</f>
        <v>Maplink2</v>
      </c>
      <c r="AU430" s="20" t="str">
        <f aca="false">HYPERLINK("http://www.bing.com/maps/?lvl=14&amp;sty=h&amp;cp=32.4288~44.4614&amp;sp=point.32.4288_44.4614","Maplink3")</f>
        <v>Maplink3</v>
      </c>
    </row>
    <row r="431" customFormat="false" ht="15" hidden="false" customHeight="true" outlineLevel="0" collapsed="false">
      <c r="A431" s="15" t="n">
        <v>7172</v>
      </c>
      <c r="B431" s="16" t="s">
        <v>16</v>
      </c>
      <c r="C431" s="16" t="s">
        <v>743</v>
      </c>
      <c r="D431" s="16" t="s">
        <v>871</v>
      </c>
      <c r="E431" s="17" t="s">
        <v>872</v>
      </c>
      <c r="F431" s="16" t="n">
        <v>32.44843876</v>
      </c>
      <c r="G431" s="16" t="n">
        <v>44.39410047</v>
      </c>
      <c r="H431" s="18" t="n">
        <v>26</v>
      </c>
      <c r="I431" s="18" t="n">
        <v>156</v>
      </c>
      <c r="J431" s="19" t="n">
        <v>7</v>
      </c>
      <c r="K431" s="19" t="n">
        <v>1</v>
      </c>
      <c r="L431" s="19" t="n">
        <v>1</v>
      </c>
      <c r="M431" s="19"/>
      <c r="N431" s="19"/>
      <c r="O431" s="19"/>
      <c r="P431" s="19"/>
      <c r="Q431" s="19"/>
      <c r="R431" s="19"/>
      <c r="S431" s="19"/>
      <c r="T431" s="19"/>
      <c r="U431" s="19"/>
      <c r="V431" s="19" t="n">
        <v>13</v>
      </c>
      <c r="W431" s="19"/>
      <c r="X431" s="19" t="n">
        <v>4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 t="n">
        <v>26</v>
      </c>
      <c r="AI431" s="19"/>
      <c r="AJ431" s="19"/>
      <c r="AK431" s="19"/>
      <c r="AL431" s="19" t="n">
        <v>1</v>
      </c>
      <c r="AM431" s="19" t="n">
        <v>6</v>
      </c>
      <c r="AN431" s="19" t="n">
        <v>12</v>
      </c>
      <c r="AO431" s="19" t="n">
        <v>7</v>
      </c>
      <c r="AP431" s="19"/>
      <c r="AQ431" s="19"/>
      <c r="AR431" s="19"/>
      <c r="AS431" s="20" t="str">
        <f aca="false">HYPERLINK("http://www.openstreetmap.org/?mlat=32.4484&amp;mlon=44.3941&amp;zoom=12#map=12/32.4484/44.3941","Maplink1")</f>
        <v>Maplink1</v>
      </c>
      <c r="AT431" s="20" t="str">
        <f aca="false">HYPERLINK("https://www.google.iq/maps/search/+32.4484,44.3941/@32.4484,44.3941,14z?hl=en","Maplink2")</f>
        <v>Maplink2</v>
      </c>
      <c r="AU431" s="20" t="str">
        <f aca="false">HYPERLINK("http://www.bing.com/maps/?lvl=14&amp;sty=h&amp;cp=32.4484~44.3941&amp;sp=point.32.4484_44.3941","Maplink3")</f>
        <v>Maplink3</v>
      </c>
    </row>
    <row r="432" customFormat="false" ht="15" hidden="false" customHeight="true" outlineLevel="0" collapsed="false">
      <c r="A432" s="15" t="n">
        <v>6630</v>
      </c>
      <c r="B432" s="16" t="s">
        <v>16</v>
      </c>
      <c r="C432" s="16" t="s">
        <v>743</v>
      </c>
      <c r="D432" s="16" t="s">
        <v>873</v>
      </c>
      <c r="E432" s="17" t="s">
        <v>874</v>
      </c>
      <c r="F432" s="16" t="n">
        <v>32.33202229</v>
      </c>
      <c r="G432" s="16" t="n">
        <v>44.39468552</v>
      </c>
      <c r="H432" s="18" t="n">
        <v>8</v>
      </c>
      <c r="I432" s="18" t="n">
        <v>48</v>
      </c>
      <c r="J432" s="19"/>
      <c r="K432" s="19"/>
      <c r="L432" s="19"/>
      <c r="M432" s="19"/>
      <c r="N432" s="19"/>
      <c r="O432" s="19" t="n">
        <v>3</v>
      </c>
      <c r="P432" s="19"/>
      <c r="Q432" s="19"/>
      <c r="R432" s="19"/>
      <c r="S432" s="19"/>
      <c r="T432" s="19"/>
      <c r="U432" s="19"/>
      <c r="V432" s="19" t="n">
        <v>5</v>
      </c>
      <c r="W432" s="19"/>
      <c r="X432" s="19"/>
      <c r="Y432" s="19"/>
      <c r="Z432" s="19"/>
      <c r="AA432" s="19"/>
      <c r="AB432" s="19"/>
      <c r="AC432" s="19" t="n">
        <v>8</v>
      </c>
      <c r="AD432" s="19"/>
      <c r="AE432" s="19"/>
      <c r="AF432" s="19"/>
      <c r="AG432" s="19"/>
      <c r="AH432" s="19"/>
      <c r="AI432" s="19"/>
      <c r="AJ432" s="19"/>
      <c r="AK432" s="19"/>
      <c r="AL432" s="19"/>
      <c r="AM432" s="19" t="n">
        <v>5</v>
      </c>
      <c r="AN432" s="19" t="n">
        <v>3</v>
      </c>
      <c r="AO432" s="19"/>
      <c r="AP432" s="19"/>
      <c r="AQ432" s="19"/>
      <c r="AR432" s="19"/>
      <c r="AS432" s="20" t="str">
        <f aca="false">HYPERLINK("http://www.openstreetmap.org/?mlat=32.332&amp;mlon=44.3947&amp;zoom=12#map=12/32.332/44.3947","Maplink1")</f>
        <v>Maplink1</v>
      </c>
      <c r="AT432" s="20" t="str">
        <f aca="false">HYPERLINK("https://www.google.iq/maps/search/+32.332,44.3947/@32.332,44.3947,14z?hl=en","Maplink2")</f>
        <v>Maplink2</v>
      </c>
      <c r="AU432" s="20" t="str">
        <f aca="false">HYPERLINK("http://www.bing.com/maps/?lvl=14&amp;sty=h&amp;cp=32.332~44.3947&amp;sp=point.32.332_44.3947","Maplink3")</f>
        <v>Maplink3</v>
      </c>
    </row>
    <row r="433" customFormat="false" ht="15" hidden="false" customHeight="true" outlineLevel="0" collapsed="false">
      <c r="A433" s="15" t="n">
        <v>6918</v>
      </c>
      <c r="B433" s="16" t="s">
        <v>16</v>
      </c>
      <c r="C433" s="16" t="s">
        <v>743</v>
      </c>
      <c r="D433" s="16" t="s">
        <v>875</v>
      </c>
      <c r="E433" s="17" t="s">
        <v>876</v>
      </c>
      <c r="F433" s="16" t="n">
        <v>32.45381663</v>
      </c>
      <c r="G433" s="16" t="n">
        <v>44.36268694</v>
      </c>
      <c r="H433" s="18" t="n">
        <v>4</v>
      </c>
      <c r="I433" s="18" t="n">
        <v>24</v>
      </c>
      <c r="J433" s="19"/>
      <c r="K433" s="19" t="n">
        <v>4</v>
      </c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 t="n">
        <v>4</v>
      </c>
      <c r="AI433" s="19"/>
      <c r="AJ433" s="19"/>
      <c r="AK433" s="19"/>
      <c r="AL433" s="19"/>
      <c r="AM433" s="19" t="n">
        <v>4</v>
      </c>
      <c r="AN433" s="19"/>
      <c r="AO433" s="19"/>
      <c r="AP433" s="19"/>
      <c r="AQ433" s="19"/>
      <c r="AR433" s="19"/>
      <c r="AS433" s="20" t="str">
        <f aca="false">HYPERLINK("http://www.openstreetmap.org/?mlat=32.4538&amp;mlon=44.3627&amp;zoom=12#map=12/32.4538/44.3627","Maplink1")</f>
        <v>Maplink1</v>
      </c>
      <c r="AT433" s="20" t="str">
        <f aca="false">HYPERLINK("https://www.google.iq/maps/search/+32.4538,44.3627/@32.4538,44.3627,14z?hl=en","Maplink2")</f>
        <v>Maplink2</v>
      </c>
      <c r="AU433" s="20" t="str">
        <f aca="false">HYPERLINK("http://www.bing.com/maps/?lvl=14&amp;sty=h&amp;cp=32.4538~44.3627&amp;sp=point.32.4538_44.3627","Maplink3")</f>
        <v>Maplink3</v>
      </c>
    </row>
    <row r="434" customFormat="false" ht="15" hidden="false" customHeight="true" outlineLevel="0" collapsed="false">
      <c r="A434" s="15" t="n">
        <v>27404</v>
      </c>
      <c r="B434" s="16" t="s">
        <v>16</v>
      </c>
      <c r="C434" s="16" t="s">
        <v>743</v>
      </c>
      <c r="D434" s="16" t="s">
        <v>877</v>
      </c>
      <c r="E434" s="17" t="s">
        <v>878</v>
      </c>
      <c r="F434" s="16" t="n">
        <v>32.56537033</v>
      </c>
      <c r="G434" s="16" t="n">
        <v>44.39293329</v>
      </c>
      <c r="H434" s="18" t="n">
        <v>12</v>
      </c>
      <c r="I434" s="18" t="n">
        <v>72</v>
      </c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 t="n">
        <v>12</v>
      </c>
      <c r="W434" s="19"/>
      <c r="X434" s="19"/>
      <c r="Y434" s="19"/>
      <c r="Z434" s="19"/>
      <c r="AA434" s="19"/>
      <c r="AB434" s="19"/>
      <c r="AC434" s="19" t="n">
        <v>1</v>
      </c>
      <c r="AD434" s="19"/>
      <c r="AE434" s="19"/>
      <c r="AF434" s="19"/>
      <c r="AG434" s="19" t="n">
        <v>4</v>
      </c>
      <c r="AH434" s="19" t="n">
        <v>3</v>
      </c>
      <c r="AI434" s="19" t="n">
        <v>4</v>
      </c>
      <c r="AJ434" s="19"/>
      <c r="AK434" s="19"/>
      <c r="AL434" s="19" t="n">
        <v>1</v>
      </c>
      <c r="AM434" s="19" t="n">
        <v>7</v>
      </c>
      <c r="AN434" s="19" t="n">
        <v>4</v>
      </c>
      <c r="AO434" s="19"/>
      <c r="AP434" s="19"/>
      <c r="AQ434" s="19"/>
      <c r="AR434" s="19"/>
      <c r="AS434" s="20" t="str">
        <f aca="false">HYPERLINK("http://www.openstreetmap.org/?mlat=32.5654&amp;mlon=44.3929&amp;zoom=12#map=12/32.5654/44.3929","Maplink1")</f>
        <v>Maplink1</v>
      </c>
      <c r="AT434" s="20" t="str">
        <f aca="false">HYPERLINK("https://www.google.iq/maps/search/+32.5654,44.3929/@32.5654,44.3929,14z?hl=en","Maplink2")</f>
        <v>Maplink2</v>
      </c>
      <c r="AU434" s="20" t="str">
        <f aca="false">HYPERLINK("http://www.bing.com/maps/?lvl=14&amp;sty=h&amp;cp=32.5654~44.3929&amp;sp=point.32.5654_44.3929","Maplink3")</f>
        <v>Maplink3</v>
      </c>
    </row>
    <row r="435" customFormat="false" ht="15" hidden="false" customHeight="true" outlineLevel="0" collapsed="false">
      <c r="A435" s="15" t="n">
        <v>24516</v>
      </c>
      <c r="B435" s="16" t="s">
        <v>16</v>
      </c>
      <c r="C435" s="16" t="s">
        <v>743</v>
      </c>
      <c r="D435" s="16" t="s">
        <v>879</v>
      </c>
      <c r="E435" s="17" t="s">
        <v>880</v>
      </c>
      <c r="F435" s="16" t="n">
        <v>32.3492759</v>
      </c>
      <c r="G435" s="16" t="n">
        <v>44.39706121</v>
      </c>
      <c r="H435" s="18" t="n">
        <v>30</v>
      </c>
      <c r="I435" s="18" t="n">
        <v>180</v>
      </c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 t="n">
        <v>30</v>
      </c>
      <c r="W435" s="19"/>
      <c r="X435" s="19"/>
      <c r="Y435" s="19"/>
      <c r="Z435" s="19"/>
      <c r="AA435" s="19"/>
      <c r="AB435" s="19"/>
      <c r="AC435" s="19" t="n">
        <v>30</v>
      </c>
      <c r="AD435" s="19"/>
      <c r="AE435" s="19"/>
      <c r="AF435" s="19"/>
      <c r="AG435" s="19"/>
      <c r="AH435" s="19"/>
      <c r="AI435" s="19"/>
      <c r="AJ435" s="19"/>
      <c r="AK435" s="19"/>
      <c r="AL435" s="19"/>
      <c r="AM435" s="19" t="n">
        <v>30</v>
      </c>
      <c r="AN435" s="19"/>
      <c r="AO435" s="19"/>
      <c r="AP435" s="19"/>
      <c r="AQ435" s="19"/>
      <c r="AR435" s="19"/>
      <c r="AS435" s="20" t="str">
        <f aca="false">HYPERLINK("http://www.openstreetmap.org/?mlat=32.3493&amp;mlon=44.3971&amp;zoom=12#map=12/32.3493/44.3971","Maplink1")</f>
        <v>Maplink1</v>
      </c>
      <c r="AT435" s="20" t="str">
        <f aca="false">HYPERLINK("https://www.google.iq/maps/search/+32.3493,44.3971/@32.3493,44.3971,14z?hl=en","Maplink2")</f>
        <v>Maplink2</v>
      </c>
      <c r="AU435" s="20" t="str">
        <f aca="false">HYPERLINK("http://www.bing.com/maps/?lvl=14&amp;sty=h&amp;cp=32.3493~44.3971&amp;sp=point.32.3493_44.3971","Maplink3")</f>
        <v>Maplink3</v>
      </c>
    </row>
    <row r="436" customFormat="false" ht="15" hidden="false" customHeight="true" outlineLevel="0" collapsed="false">
      <c r="A436" s="15" t="n">
        <v>7154</v>
      </c>
      <c r="B436" s="16" t="s">
        <v>16</v>
      </c>
      <c r="C436" s="16" t="s">
        <v>743</v>
      </c>
      <c r="D436" s="16" t="s">
        <v>881</v>
      </c>
      <c r="E436" s="17" t="s">
        <v>882</v>
      </c>
      <c r="F436" s="16" t="n">
        <v>32.46794361</v>
      </c>
      <c r="G436" s="16" t="n">
        <v>44.43031733</v>
      </c>
      <c r="H436" s="18" t="n">
        <v>32</v>
      </c>
      <c r="I436" s="18" t="n">
        <v>192</v>
      </c>
      <c r="J436" s="19" t="n">
        <v>1</v>
      </c>
      <c r="K436" s="19"/>
      <c r="L436" s="19"/>
      <c r="M436" s="19"/>
      <c r="N436" s="19"/>
      <c r="O436" s="19" t="n">
        <v>1</v>
      </c>
      <c r="P436" s="19"/>
      <c r="Q436" s="19"/>
      <c r="R436" s="19"/>
      <c r="S436" s="19"/>
      <c r="T436" s="19"/>
      <c r="U436" s="19"/>
      <c r="V436" s="19" t="n">
        <v>30</v>
      </c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 t="n">
        <v>28</v>
      </c>
      <c r="AI436" s="19"/>
      <c r="AJ436" s="19" t="n">
        <v>4</v>
      </c>
      <c r="AK436" s="19"/>
      <c r="AL436" s="19"/>
      <c r="AM436" s="19" t="n">
        <v>18</v>
      </c>
      <c r="AN436" s="19" t="n">
        <v>12</v>
      </c>
      <c r="AO436" s="19" t="n">
        <v>2</v>
      </c>
      <c r="AP436" s="19"/>
      <c r="AQ436" s="19"/>
      <c r="AR436" s="19"/>
      <c r="AS436" s="20" t="str">
        <f aca="false">HYPERLINK("http://www.openstreetmap.org/?mlat=32.4679&amp;mlon=44.4303&amp;zoom=12#map=12/32.4679/44.4303","Maplink1")</f>
        <v>Maplink1</v>
      </c>
      <c r="AT436" s="20" t="str">
        <f aca="false">HYPERLINK("https://www.google.iq/maps/search/+32.4679,44.4303/@32.4679,44.4303,14z?hl=en","Maplink2")</f>
        <v>Maplink2</v>
      </c>
      <c r="AU436" s="20" t="str">
        <f aca="false">HYPERLINK("http://www.bing.com/maps/?lvl=14&amp;sty=h&amp;cp=32.4679~44.4303&amp;sp=point.32.4679_44.4303","Maplink3")</f>
        <v>Maplink3</v>
      </c>
    </row>
    <row r="437" customFormat="false" ht="15" hidden="false" customHeight="true" outlineLevel="0" collapsed="false">
      <c r="A437" s="15" t="n">
        <v>7155</v>
      </c>
      <c r="B437" s="16" t="s">
        <v>16</v>
      </c>
      <c r="C437" s="16" t="s">
        <v>743</v>
      </c>
      <c r="D437" s="16" t="s">
        <v>883</v>
      </c>
      <c r="E437" s="17" t="s">
        <v>884</v>
      </c>
      <c r="F437" s="16" t="n">
        <v>32.50327782</v>
      </c>
      <c r="G437" s="16" t="n">
        <v>44.41980039</v>
      </c>
      <c r="H437" s="18" t="n">
        <v>7</v>
      </c>
      <c r="I437" s="18" t="n">
        <v>42</v>
      </c>
      <c r="J437" s="19" t="n">
        <v>1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 t="n">
        <v>6</v>
      </c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 t="n">
        <v>7</v>
      </c>
      <c r="AI437" s="19"/>
      <c r="AJ437" s="19"/>
      <c r="AK437" s="19"/>
      <c r="AL437" s="19"/>
      <c r="AM437" s="19" t="n">
        <v>6</v>
      </c>
      <c r="AN437" s="19"/>
      <c r="AO437" s="19"/>
      <c r="AP437" s="19" t="n">
        <v>1</v>
      </c>
      <c r="AQ437" s="19"/>
      <c r="AR437" s="19"/>
      <c r="AS437" s="20" t="str">
        <f aca="false">HYPERLINK("http://www.openstreetmap.org/?mlat=32.5033&amp;mlon=44.4198&amp;zoom=12#map=12/32.5033/44.4198","Maplink1")</f>
        <v>Maplink1</v>
      </c>
      <c r="AT437" s="20" t="str">
        <f aca="false">HYPERLINK("https://www.google.iq/maps/search/+32.5033,44.4198/@32.5033,44.4198,14z?hl=en","Maplink2")</f>
        <v>Maplink2</v>
      </c>
      <c r="AU437" s="20" t="str">
        <f aca="false">HYPERLINK("http://www.bing.com/maps/?lvl=14&amp;sty=h&amp;cp=32.5033~44.4198&amp;sp=point.32.5033_44.4198","Maplink3")</f>
        <v>Maplink3</v>
      </c>
    </row>
    <row r="438" customFormat="false" ht="15" hidden="false" customHeight="true" outlineLevel="0" collapsed="false">
      <c r="A438" s="15" t="n">
        <v>24694</v>
      </c>
      <c r="B438" s="16" t="s">
        <v>16</v>
      </c>
      <c r="C438" s="16" t="s">
        <v>743</v>
      </c>
      <c r="D438" s="16" t="s">
        <v>885</v>
      </c>
      <c r="E438" s="17" t="s">
        <v>886</v>
      </c>
      <c r="F438" s="16" t="n">
        <v>32.45022984</v>
      </c>
      <c r="G438" s="16" t="n">
        <v>44.45381382</v>
      </c>
      <c r="H438" s="18" t="n">
        <v>18</v>
      </c>
      <c r="I438" s="18" t="n">
        <v>108</v>
      </c>
      <c r="J438" s="19" t="n">
        <v>2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 t="n">
        <v>15</v>
      </c>
      <c r="W438" s="19"/>
      <c r="X438" s="19" t="n">
        <v>1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 t="n">
        <v>18</v>
      </c>
      <c r="AI438" s="19"/>
      <c r="AJ438" s="19"/>
      <c r="AK438" s="19"/>
      <c r="AL438" s="19"/>
      <c r="AM438" s="19" t="n">
        <v>15</v>
      </c>
      <c r="AN438" s="19" t="n">
        <v>1</v>
      </c>
      <c r="AO438" s="19" t="n">
        <v>1</v>
      </c>
      <c r="AP438" s="19"/>
      <c r="AQ438" s="19"/>
      <c r="AR438" s="19" t="n">
        <v>1</v>
      </c>
      <c r="AS438" s="20" t="str">
        <f aca="false">HYPERLINK("http://www.openstreetmap.org/?mlat=32.4502&amp;mlon=44.4538&amp;zoom=12#map=12/32.4502/44.4538","Maplink1")</f>
        <v>Maplink1</v>
      </c>
      <c r="AT438" s="20" t="str">
        <f aca="false">HYPERLINK("https://www.google.iq/maps/search/+32.4502,44.4538/@32.4502,44.4538,14z?hl=en","Maplink2")</f>
        <v>Maplink2</v>
      </c>
      <c r="AU438" s="20" t="str">
        <f aca="false">HYPERLINK("http://www.bing.com/maps/?lvl=14&amp;sty=h&amp;cp=32.4502~44.4538&amp;sp=point.32.4502_44.4538","Maplink3")</f>
        <v>Maplink3</v>
      </c>
    </row>
    <row r="439" customFormat="false" ht="15" hidden="false" customHeight="true" outlineLevel="0" collapsed="false">
      <c r="A439" s="15" t="n">
        <v>25443</v>
      </c>
      <c r="B439" s="16" t="s">
        <v>16</v>
      </c>
      <c r="C439" s="16" t="s">
        <v>743</v>
      </c>
      <c r="D439" s="16" t="s">
        <v>887</v>
      </c>
      <c r="E439" s="17" t="s">
        <v>888</v>
      </c>
      <c r="F439" s="16" t="n">
        <v>32.51182443</v>
      </c>
      <c r="G439" s="16" t="n">
        <v>44.45329615</v>
      </c>
      <c r="H439" s="18" t="n">
        <v>28</v>
      </c>
      <c r="I439" s="18" t="n">
        <v>168</v>
      </c>
      <c r="J439" s="19"/>
      <c r="K439" s="19" t="n">
        <v>5</v>
      </c>
      <c r="L439" s="19" t="n">
        <v>5</v>
      </c>
      <c r="M439" s="19"/>
      <c r="N439" s="19"/>
      <c r="O439" s="19"/>
      <c r="P439" s="19"/>
      <c r="Q439" s="19"/>
      <c r="R439" s="19"/>
      <c r="S439" s="19"/>
      <c r="T439" s="19"/>
      <c r="U439" s="19"/>
      <c r="V439" s="19" t="n">
        <v>18</v>
      </c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 t="n">
        <v>28</v>
      </c>
      <c r="AI439" s="19"/>
      <c r="AJ439" s="19"/>
      <c r="AK439" s="19"/>
      <c r="AL439" s="19"/>
      <c r="AM439" s="19" t="n">
        <v>23</v>
      </c>
      <c r="AN439" s="19" t="n">
        <v>5</v>
      </c>
      <c r="AO439" s="19"/>
      <c r="AP439" s="19"/>
      <c r="AQ439" s="19"/>
      <c r="AR439" s="19"/>
      <c r="AS439" s="20" t="str">
        <f aca="false">HYPERLINK("http://www.openstreetmap.org/?mlat=32.5118&amp;mlon=44.4533&amp;zoom=12#map=12/32.5118/44.4533","Maplink1")</f>
        <v>Maplink1</v>
      </c>
      <c r="AT439" s="20" t="str">
        <f aca="false">HYPERLINK("https://www.google.iq/maps/search/+32.5118,44.4533/@32.5118,44.4533,14z?hl=en","Maplink2")</f>
        <v>Maplink2</v>
      </c>
      <c r="AU439" s="20" t="str">
        <f aca="false">HYPERLINK("http://www.bing.com/maps/?lvl=14&amp;sty=h&amp;cp=32.5118~44.4533&amp;sp=point.32.5118_44.4533","Maplink3")</f>
        <v>Maplink3</v>
      </c>
    </row>
    <row r="440" customFormat="false" ht="15" hidden="false" customHeight="true" outlineLevel="0" collapsed="false">
      <c r="A440" s="15" t="n">
        <v>24460</v>
      </c>
      <c r="B440" s="16" t="s">
        <v>16</v>
      </c>
      <c r="C440" s="16" t="s">
        <v>743</v>
      </c>
      <c r="D440" s="16" t="s">
        <v>889</v>
      </c>
      <c r="E440" s="17" t="s">
        <v>890</v>
      </c>
      <c r="F440" s="16" t="n">
        <v>32.49729356</v>
      </c>
      <c r="G440" s="16" t="n">
        <v>44.47335589</v>
      </c>
      <c r="H440" s="18" t="n">
        <v>16</v>
      </c>
      <c r="I440" s="18" t="n">
        <v>96</v>
      </c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 t="n">
        <v>16</v>
      </c>
      <c r="W440" s="19"/>
      <c r="X440" s="19"/>
      <c r="Y440" s="19"/>
      <c r="Z440" s="19"/>
      <c r="AA440" s="19"/>
      <c r="AB440" s="19"/>
      <c r="AC440" s="19" t="n">
        <v>16</v>
      </c>
      <c r="AD440" s="19"/>
      <c r="AE440" s="19"/>
      <c r="AF440" s="19"/>
      <c r="AG440" s="19"/>
      <c r="AH440" s="19"/>
      <c r="AI440" s="19"/>
      <c r="AJ440" s="19"/>
      <c r="AK440" s="19"/>
      <c r="AL440" s="19"/>
      <c r="AM440" s="19" t="n">
        <v>10</v>
      </c>
      <c r="AN440" s="19" t="n">
        <v>6</v>
      </c>
      <c r="AO440" s="19"/>
      <c r="AP440" s="19"/>
      <c r="AQ440" s="19"/>
      <c r="AR440" s="19"/>
      <c r="AS440" s="20" t="str">
        <f aca="false">HYPERLINK("http://www.openstreetmap.org/?mlat=32.4973&amp;mlon=44.4734&amp;zoom=12#map=12/32.4973/44.4734","Maplink1")</f>
        <v>Maplink1</v>
      </c>
      <c r="AT440" s="20" t="str">
        <f aca="false">HYPERLINK("https://www.google.iq/maps/search/+32.4973,44.4734/@32.4973,44.4734,14z?hl=en","Maplink2")</f>
        <v>Maplink2</v>
      </c>
      <c r="AU440" s="20" t="str">
        <f aca="false">HYPERLINK("http://www.bing.com/maps/?lvl=14&amp;sty=h&amp;cp=32.4973~44.4734&amp;sp=point.32.4973_44.4734","Maplink3")</f>
        <v>Maplink3</v>
      </c>
    </row>
    <row r="441" customFormat="false" ht="15" hidden="false" customHeight="true" outlineLevel="0" collapsed="false">
      <c r="A441" s="15" t="n">
        <v>24512</v>
      </c>
      <c r="B441" s="16" t="s">
        <v>16</v>
      </c>
      <c r="C441" s="16" t="s">
        <v>743</v>
      </c>
      <c r="D441" s="16" t="s">
        <v>891</v>
      </c>
      <c r="E441" s="17" t="s">
        <v>892</v>
      </c>
      <c r="F441" s="16" t="n">
        <v>32.53422498</v>
      </c>
      <c r="G441" s="16" t="n">
        <v>44.44921332</v>
      </c>
      <c r="H441" s="18" t="n">
        <v>9</v>
      </c>
      <c r="I441" s="18" t="n">
        <v>54</v>
      </c>
      <c r="J441" s="19" t="n">
        <v>3</v>
      </c>
      <c r="K441" s="19" t="n">
        <v>3</v>
      </c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 t="n">
        <v>3</v>
      </c>
      <c r="W441" s="19"/>
      <c r="X441" s="19"/>
      <c r="Y441" s="19"/>
      <c r="Z441" s="19"/>
      <c r="AA441" s="19"/>
      <c r="AB441" s="19"/>
      <c r="AC441" s="19" t="n">
        <v>5</v>
      </c>
      <c r="AD441" s="19"/>
      <c r="AE441" s="19"/>
      <c r="AF441" s="19"/>
      <c r="AG441" s="19"/>
      <c r="AH441" s="19" t="n">
        <v>4</v>
      </c>
      <c r="AI441" s="19"/>
      <c r="AJ441" s="19"/>
      <c r="AK441" s="19"/>
      <c r="AL441" s="19"/>
      <c r="AM441" s="19" t="n">
        <v>3</v>
      </c>
      <c r="AN441" s="19" t="n">
        <v>3</v>
      </c>
      <c r="AO441" s="19"/>
      <c r="AP441" s="19" t="n">
        <v>3</v>
      </c>
      <c r="AQ441" s="19"/>
      <c r="AR441" s="19"/>
      <c r="AS441" s="20" t="str">
        <f aca="false">HYPERLINK("http://www.openstreetmap.org/?mlat=32.5342&amp;mlon=44.4492&amp;zoom=12#map=12/32.5342/44.4492","Maplink1")</f>
        <v>Maplink1</v>
      </c>
      <c r="AT441" s="20" t="str">
        <f aca="false">HYPERLINK("https://www.google.iq/maps/search/+32.5342,44.4492/@32.5342,44.4492,14z?hl=en","Maplink2")</f>
        <v>Maplink2</v>
      </c>
      <c r="AU441" s="20" t="str">
        <f aca="false">HYPERLINK("http://www.bing.com/maps/?lvl=14&amp;sty=h&amp;cp=32.5342~44.4492&amp;sp=point.32.5342_44.4492","Maplink3")</f>
        <v>Maplink3</v>
      </c>
    </row>
    <row r="442" customFormat="false" ht="15" hidden="false" customHeight="true" outlineLevel="0" collapsed="false">
      <c r="A442" s="15" t="n">
        <v>24511</v>
      </c>
      <c r="B442" s="16" t="s">
        <v>16</v>
      </c>
      <c r="C442" s="16" t="s">
        <v>743</v>
      </c>
      <c r="D442" s="16" t="s">
        <v>893</v>
      </c>
      <c r="E442" s="17" t="s">
        <v>894</v>
      </c>
      <c r="F442" s="16" t="n">
        <v>32.48352461</v>
      </c>
      <c r="G442" s="16" t="n">
        <v>44.40398315</v>
      </c>
      <c r="H442" s="18" t="n">
        <v>46</v>
      </c>
      <c r="I442" s="18" t="n">
        <v>276</v>
      </c>
      <c r="J442" s="19" t="n">
        <v>1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 t="n">
        <v>45</v>
      </c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 t="n">
        <v>46</v>
      </c>
      <c r="AI442" s="19"/>
      <c r="AJ442" s="19"/>
      <c r="AK442" s="19"/>
      <c r="AL442" s="19"/>
      <c r="AM442" s="19" t="n">
        <v>41</v>
      </c>
      <c r="AN442" s="19" t="n">
        <v>1</v>
      </c>
      <c r="AO442" s="19" t="n">
        <v>1</v>
      </c>
      <c r="AP442" s="19"/>
      <c r="AQ442" s="19"/>
      <c r="AR442" s="19" t="n">
        <v>3</v>
      </c>
      <c r="AS442" s="20" t="str">
        <f aca="false">HYPERLINK("http://www.openstreetmap.org/?mlat=32.4835&amp;mlon=44.404&amp;zoom=12#map=12/32.4835/44.404","Maplink1")</f>
        <v>Maplink1</v>
      </c>
      <c r="AT442" s="20" t="str">
        <f aca="false">HYPERLINK("https://www.google.iq/maps/search/+32.4835,44.404/@32.4835,44.404,14z?hl=en","Maplink2")</f>
        <v>Maplink2</v>
      </c>
      <c r="AU442" s="20" t="str">
        <f aca="false">HYPERLINK("http://www.bing.com/maps/?lvl=14&amp;sty=h&amp;cp=32.4835~44.404&amp;sp=point.32.4835_44.404","Maplink3")</f>
        <v>Maplink3</v>
      </c>
    </row>
    <row r="443" customFormat="false" ht="15" hidden="false" customHeight="true" outlineLevel="0" collapsed="false">
      <c r="A443" s="15" t="n">
        <v>25445</v>
      </c>
      <c r="B443" s="16" t="s">
        <v>16</v>
      </c>
      <c r="C443" s="16" t="s">
        <v>743</v>
      </c>
      <c r="D443" s="16" t="s">
        <v>895</v>
      </c>
      <c r="E443" s="17" t="s">
        <v>896</v>
      </c>
      <c r="F443" s="16" t="n">
        <v>32.4765346</v>
      </c>
      <c r="G443" s="16" t="n">
        <v>44.43608316</v>
      </c>
      <c r="H443" s="18" t="n">
        <v>30</v>
      </c>
      <c r="I443" s="18" t="n">
        <v>180</v>
      </c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 t="n">
        <v>30</v>
      </c>
      <c r="W443" s="19"/>
      <c r="X443" s="19"/>
      <c r="Y443" s="19"/>
      <c r="Z443" s="19"/>
      <c r="AA443" s="19"/>
      <c r="AB443" s="19"/>
      <c r="AC443" s="19" t="n">
        <v>7</v>
      </c>
      <c r="AD443" s="19"/>
      <c r="AE443" s="19"/>
      <c r="AF443" s="19"/>
      <c r="AG443" s="19"/>
      <c r="AH443" s="19" t="n">
        <v>23</v>
      </c>
      <c r="AI443" s="19"/>
      <c r="AJ443" s="19"/>
      <c r="AK443" s="19"/>
      <c r="AL443" s="19"/>
      <c r="AM443" s="19" t="n">
        <v>30</v>
      </c>
      <c r="AN443" s="19"/>
      <c r="AO443" s="19"/>
      <c r="AP443" s="19"/>
      <c r="AQ443" s="19"/>
      <c r="AR443" s="19"/>
      <c r="AS443" s="20" t="str">
        <f aca="false">HYPERLINK("http://www.openstreetmap.org/?mlat=32.4765&amp;mlon=44.4361&amp;zoom=12#map=12/32.4765/44.4361","Maplink1")</f>
        <v>Maplink1</v>
      </c>
      <c r="AT443" s="20" t="str">
        <f aca="false">HYPERLINK("https://www.google.iq/maps/search/+32.4765,44.4361/@32.4765,44.4361,14z?hl=en","Maplink2")</f>
        <v>Maplink2</v>
      </c>
      <c r="AU443" s="20" t="str">
        <f aca="false">HYPERLINK("http://www.bing.com/maps/?lvl=14&amp;sty=h&amp;cp=32.4765~44.4361&amp;sp=point.32.4765_44.4361","Maplink3")</f>
        <v>Maplink3</v>
      </c>
    </row>
    <row r="444" customFormat="false" ht="15" hidden="false" customHeight="true" outlineLevel="0" collapsed="false">
      <c r="A444" s="15" t="n">
        <v>7137</v>
      </c>
      <c r="B444" s="16" t="s">
        <v>16</v>
      </c>
      <c r="C444" s="16" t="s">
        <v>743</v>
      </c>
      <c r="D444" s="16" t="s">
        <v>897</v>
      </c>
      <c r="E444" s="17" t="s">
        <v>898</v>
      </c>
      <c r="F444" s="16" t="n">
        <v>32.54497397</v>
      </c>
      <c r="G444" s="16" t="n">
        <v>44.40499811</v>
      </c>
      <c r="H444" s="18" t="n">
        <v>20</v>
      </c>
      <c r="I444" s="18" t="n">
        <v>120</v>
      </c>
      <c r="J444" s="19" t="n">
        <v>2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 t="n">
        <v>18</v>
      </c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 t="n">
        <v>20</v>
      </c>
      <c r="AI444" s="19"/>
      <c r="AJ444" s="19"/>
      <c r="AK444" s="19"/>
      <c r="AL444" s="19"/>
      <c r="AM444" s="19" t="n">
        <v>18</v>
      </c>
      <c r="AN444" s="19"/>
      <c r="AO444" s="19" t="n">
        <v>2</v>
      </c>
      <c r="AP444" s="19"/>
      <c r="AQ444" s="19"/>
      <c r="AR444" s="19"/>
      <c r="AS444" s="20" t="str">
        <f aca="false">HYPERLINK("http://www.openstreetmap.org/?mlat=32.545&amp;mlon=44.405&amp;zoom=12#map=12/32.545/44.405","Maplink1")</f>
        <v>Maplink1</v>
      </c>
      <c r="AT444" s="20" t="str">
        <f aca="false">HYPERLINK("https://www.google.iq/maps/search/+32.545,44.405/@32.545,44.405,14z?hl=en","Maplink2")</f>
        <v>Maplink2</v>
      </c>
      <c r="AU444" s="20" t="str">
        <f aca="false">HYPERLINK("http://www.bing.com/maps/?lvl=14&amp;sty=h&amp;cp=32.545~44.405&amp;sp=point.32.545_44.405","Maplink3")</f>
        <v>Maplink3</v>
      </c>
    </row>
    <row r="445" customFormat="false" ht="15" hidden="false" customHeight="true" outlineLevel="0" collapsed="false">
      <c r="A445" s="15" t="n">
        <v>24708</v>
      </c>
      <c r="B445" s="16" t="s">
        <v>16</v>
      </c>
      <c r="C445" s="16" t="s">
        <v>743</v>
      </c>
      <c r="D445" s="16" t="s">
        <v>899</v>
      </c>
      <c r="E445" s="17" t="s">
        <v>900</v>
      </c>
      <c r="F445" s="16" t="n">
        <v>32.48850262</v>
      </c>
      <c r="G445" s="16" t="n">
        <v>44.43351285</v>
      </c>
      <c r="H445" s="18" t="n">
        <v>1</v>
      </c>
      <c r="I445" s="18" t="n">
        <v>6</v>
      </c>
      <c r="J445" s="19" t="n">
        <v>1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 t="n">
        <v>1</v>
      </c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 t="n">
        <v>1</v>
      </c>
      <c r="AQ445" s="19"/>
      <c r="AR445" s="19"/>
      <c r="AS445" s="20" t="str">
        <f aca="false">HYPERLINK("http://www.openstreetmap.org/?mlat=32.4885&amp;mlon=44.4335&amp;zoom=12#map=12/32.4885/44.4335","Maplink1")</f>
        <v>Maplink1</v>
      </c>
      <c r="AT445" s="20" t="str">
        <f aca="false">HYPERLINK("https://www.google.iq/maps/search/+32.4885,44.4335/@32.4885,44.4335,14z?hl=en","Maplink2")</f>
        <v>Maplink2</v>
      </c>
      <c r="AU445" s="20" t="str">
        <f aca="false">HYPERLINK("http://www.bing.com/maps/?lvl=14&amp;sty=h&amp;cp=32.4885~44.4335&amp;sp=point.32.4885_44.4335","Maplink3")</f>
        <v>Maplink3</v>
      </c>
    </row>
    <row r="446" customFormat="false" ht="15" hidden="false" customHeight="true" outlineLevel="0" collapsed="false">
      <c r="A446" s="15" t="n">
        <v>24753</v>
      </c>
      <c r="B446" s="16" t="s">
        <v>16</v>
      </c>
      <c r="C446" s="16" t="s">
        <v>743</v>
      </c>
      <c r="D446" s="16" t="s">
        <v>901</v>
      </c>
      <c r="E446" s="17" t="s">
        <v>902</v>
      </c>
      <c r="F446" s="16" t="n">
        <v>32.29369709</v>
      </c>
      <c r="G446" s="16" t="n">
        <v>44.34167711</v>
      </c>
      <c r="H446" s="18" t="n">
        <v>22</v>
      </c>
      <c r="I446" s="18" t="n">
        <v>132</v>
      </c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 t="n">
        <v>22</v>
      </c>
      <c r="W446" s="19"/>
      <c r="X446" s="19"/>
      <c r="Y446" s="19"/>
      <c r="Z446" s="19"/>
      <c r="AA446" s="19"/>
      <c r="AB446" s="19"/>
      <c r="AC446" s="19" t="n">
        <v>4</v>
      </c>
      <c r="AD446" s="19"/>
      <c r="AE446" s="19"/>
      <c r="AF446" s="19"/>
      <c r="AG446" s="19" t="n">
        <v>18</v>
      </c>
      <c r="AH446" s="19"/>
      <c r="AI446" s="19"/>
      <c r="AJ446" s="19"/>
      <c r="AK446" s="19"/>
      <c r="AL446" s="19"/>
      <c r="AM446" s="19" t="n">
        <v>22</v>
      </c>
      <c r="AN446" s="19"/>
      <c r="AO446" s="19"/>
      <c r="AP446" s="19"/>
      <c r="AQ446" s="19"/>
      <c r="AR446" s="19"/>
      <c r="AS446" s="20" t="str">
        <f aca="false">HYPERLINK("http://www.openstreetmap.org/?mlat=32.2937&amp;mlon=44.3417&amp;zoom=12#map=12/32.2937/44.3417","Maplink1")</f>
        <v>Maplink1</v>
      </c>
      <c r="AT446" s="20" t="str">
        <f aca="false">HYPERLINK("https://www.google.iq/maps/search/+32.2937,44.3417/@32.2937,44.3417,14z?hl=en","Maplink2")</f>
        <v>Maplink2</v>
      </c>
      <c r="AU446" s="20" t="str">
        <f aca="false">HYPERLINK("http://www.bing.com/maps/?lvl=14&amp;sty=h&amp;cp=32.2937~44.3417&amp;sp=point.32.2937_44.3417","Maplink3")</f>
        <v>Maplink3</v>
      </c>
    </row>
    <row r="447" customFormat="false" ht="15" hidden="false" customHeight="true" outlineLevel="0" collapsed="false">
      <c r="A447" s="15" t="n">
        <v>23751</v>
      </c>
      <c r="B447" s="16" t="s">
        <v>16</v>
      </c>
      <c r="C447" s="16" t="s">
        <v>743</v>
      </c>
      <c r="D447" s="16" t="s">
        <v>903</v>
      </c>
      <c r="E447" s="17" t="s">
        <v>904</v>
      </c>
      <c r="F447" s="16" t="n">
        <v>32.4888037</v>
      </c>
      <c r="G447" s="16" t="n">
        <v>44.42261922</v>
      </c>
      <c r="H447" s="18" t="n">
        <v>4</v>
      </c>
      <c r="I447" s="18" t="n">
        <v>24</v>
      </c>
      <c r="J447" s="19" t="n">
        <v>4</v>
      </c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 t="n">
        <v>4</v>
      </c>
      <c r="AD447" s="19"/>
      <c r="AE447" s="19"/>
      <c r="AF447" s="19"/>
      <c r="AG447" s="19"/>
      <c r="AH447" s="19"/>
      <c r="AI447" s="19"/>
      <c r="AJ447" s="19"/>
      <c r="AK447" s="19"/>
      <c r="AL447" s="19" t="n">
        <v>4</v>
      </c>
      <c r="AM447" s="19"/>
      <c r="AN447" s="19"/>
      <c r="AO447" s="19"/>
      <c r="AP447" s="19"/>
      <c r="AQ447" s="19"/>
      <c r="AR447" s="19"/>
      <c r="AS447" s="20" t="str">
        <f aca="false">HYPERLINK("http://www.openstreetmap.org/?mlat=32.4888&amp;mlon=44.4226&amp;zoom=12#map=12/32.4888/44.4226","Maplink1")</f>
        <v>Maplink1</v>
      </c>
      <c r="AT447" s="20" t="str">
        <f aca="false">HYPERLINK("https://www.google.iq/maps/search/+32.4888,44.4226/@32.4888,44.4226,14z?hl=en","Maplink2")</f>
        <v>Maplink2</v>
      </c>
      <c r="AU447" s="20" t="str">
        <f aca="false">HYPERLINK("http://www.bing.com/maps/?lvl=14&amp;sty=h&amp;cp=32.4888~44.4226&amp;sp=point.32.4888_44.4226","Maplink3")</f>
        <v>Maplink3</v>
      </c>
    </row>
    <row r="448" customFormat="false" ht="15" hidden="false" customHeight="true" outlineLevel="0" collapsed="false">
      <c r="A448" s="15" t="n">
        <v>23940</v>
      </c>
      <c r="B448" s="16" t="s">
        <v>16</v>
      </c>
      <c r="C448" s="16" t="s">
        <v>743</v>
      </c>
      <c r="D448" s="16" t="s">
        <v>905</v>
      </c>
      <c r="E448" s="17" t="s">
        <v>906</v>
      </c>
      <c r="F448" s="16" t="n">
        <v>32.49561508</v>
      </c>
      <c r="G448" s="16" t="n">
        <v>44.40786716</v>
      </c>
      <c r="H448" s="18" t="n">
        <v>9</v>
      </c>
      <c r="I448" s="18" t="n">
        <v>54</v>
      </c>
      <c r="J448" s="19" t="n">
        <v>2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 t="n">
        <v>6</v>
      </c>
      <c r="W448" s="19"/>
      <c r="X448" s="19" t="n">
        <v>1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 t="n">
        <v>9</v>
      </c>
      <c r="AI448" s="19"/>
      <c r="AJ448" s="19"/>
      <c r="AK448" s="19"/>
      <c r="AL448" s="19"/>
      <c r="AM448" s="19" t="n">
        <v>5</v>
      </c>
      <c r="AN448" s="19" t="n">
        <v>1</v>
      </c>
      <c r="AO448" s="19"/>
      <c r="AP448" s="19" t="n">
        <v>2</v>
      </c>
      <c r="AQ448" s="19"/>
      <c r="AR448" s="19" t="n">
        <v>1</v>
      </c>
      <c r="AS448" s="20" t="str">
        <f aca="false">HYPERLINK("http://www.openstreetmap.org/?mlat=32.4956&amp;mlon=44.4079&amp;zoom=12#map=12/32.4956/44.4079","Maplink1")</f>
        <v>Maplink1</v>
      </c>
      <c r="AT448" s="20" t="str">
        <f aca="false">HYPERLINK("https://www.google.iq/maps/search/+32.4956,44.4079/@32.4956,44.4079,14z?hl=en","Maplink2")</f>
        <v>Maplink2</v>
      </c>
      <c r="AU448" s="20" t="str">
        <f aca="false">HYPERLINK("http://www.bing.com/maps/?lvl=14&amp;sty=h&amp;cp=32.4956~44.4079&amp;sp=point.32.4956_44.4079","Maplink3")</f>
        <v>Maplink3</v>
      </c>
    </row>
    <row r="449" customFormat="false" ht="15" hidden="false" customHeight="true" outlineLevel="0" collapsed="false">
      <c r="A449" s="15" t="n">
        <v>7138</v>
      </c>
      <c r="B449" s="16" t="s">
        <v>16</v>
      </c>
      <c r="C449" s="16" t="s">
        <v>743</v>
      </c>
      <c r="D449" s="16" t="s">
        <v>907</v>
      </c>
      <c r="E449" s="17" t="s">
        <v>908</v>
      </c>
      <c r="F449" s="16" t="n">
        <v>32.4408468</v>
      </c>
      <c r="G449" s="16" t="n">
        <v>44.41013362</v>
      </c>
      <c r="H449" s="18" t="n">
        <v>7</v>
      </c>
      <c r="I449" s="18" t="n">
        <v>42</v>
      </c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 t="n">
        <v>7</v>
      </c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 t="n">
        <v>7</v>
      </c>
      <c r="AI449" s="19"/>
      <c r="AJ449" s="19"/>
      <c r="AK449" s="19"/>
      <c r="AL449" s="19"/>
      <c r="AM449" s="19" t="n">
        <v>7</v>
      </c>
      <c r="AN449" s="19"/>
      <c r="AO449" s="19"/>
      <c r="AP449" s="19"/>
      <c r="AQ449" s="19"/>
      <c r="AR449" s="19"/>
      <c r="AS449" s="20" t="str">
        <f aca="false">HYPERLINK("http://www.openstreetmap.org/?mlat=32.4408&amp;mlon=44.4101&amp;zoom=12#map=12/32.4408/44.4101","Maplink1")</f>
        <v>Maplink1</v>
      </c>
      <c r="AT449" s="20" t="str">
        <f aca="false">HYPERLINK("https://www.google.iq/maps/search/+32.4408,44.4101/@32.4408,44.4101,14z?hl=en","Maplink2")</f>
        <v>Maplink2</v>
      </c>
      <c r="AU449" s="20" t="str">
        <f aca="false">HYPERLINK("http://www.bing.com/maps/?lvl=14&amp;sty=h&amp;cp=32.4408~44.4101&amp;sp=point.32.4408_44.4101","Maplink3")</f>
        <v>Maplink3</v>
      </c>
    </row>
    <row r="450" customFormat="false" ht="15" hidden="false" customHeight="true" outlineLevel="0" collapsed="false">
      <c r="A450" s="15" t="n">
        <v>7143</v>
      </c>
      <c r="B450" s="16" t="s">
        <v>16</v>
      </c>
      <c r="C450" s="16" t="s">
        <v>743</v>
      </c>
      <c r="D450" s="16" t="s">
        <v>909</v>
      </c>
      <c r="E450" s="17" t="s">
        <v>910</v>
      </c>
      <c r="F450" s="16" t="n">
        <v>32.4622479</v>
      </c>
      <c r="G450" s="16" t="n">
        <v>44.40503432</v>
      </c>
      <c r="H450" s="18" t="n">
        <v>7</v>
      </c>
      <c r="I450" s="18" t="n">
        <v>42</v>
      </c>
      <c r="J450" s="19" t="n">
        <v>2</v>
      </c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 t="n">
        <v>5</v>
      </c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 t="n">
        <v>7</v>
      </c>
      <c r="AI450" s="19"/>
      <c r="AJ450" s="19"/>
      <c r="AK450" s="19"/>
      <c r="AL450" s="19"/>
      <c r="AM450" s="19" t="n">
        <v>5</v>
      </c>
      <c r="AN450" s="19"/>
      <c r="AO450" s="19"/>
      <c r="AP450" s="19" t="n">
        <v>2</v>
      </c>
      <c r="AQ450" s="19"/>
      <c r="AR450" s="19"/>
      <c r="AS450" s="20" t="str">
        <f aca="false">HYPERLINK("http://www.openstreetmap.org/?mlat=32.4622&amp;mlon=44.405&amp;zoom=12#map=12/32.4622/44.405","Maplink1")</f>
        <v>Maplink1</v>
      </c>
      <c r="AT450" s="20" t="str">
        <f aca="false">HYPERLINK("https://www.google.iq/maps/search/+32.4622,44.405/@32.4622,44.405,14z?hl=en","Maplink2")</f>
        <v>Maplink2</v>
      </c>
      <c r="AU450" s="20" t="str">
        <f aca="false">HYPERLINK("http://www.bing.com/maps/?lvl=14&amp;sty=h&amp;cp=32.4622~44.405&amp;sp=point.32.4622_44.405","Maplink3")</f>
        <v>Maplink3</v>
      </c>
    </row>
    <row r="451" customFormat="false" ht="15" hidden="false" customHeight="true" outlineLevel="0" collapsed="false">
      <c r="A451" s="15" t="n">
        <v>25331</v>
      </c>
      <c r="B451" s="16" t="s">
        <v>16</v>
      </c>
      <c r="C451" s="16" t="s">
        <v>743</v>
      </c>
      <c r="D451" s="16" t="s">
        <v>911</v>
      </c>
      <c r="E451" s="17" t="s">
        <v>912</v>
      </c>
      <c r="F451" s="16" t="n">
        <v>32.4764574</v>
      </c>
      <c r="G451" s="16" t="n">
        <v>44.42119681</v>
      </c>
      <c r="H451" s="18" t="n">
        <v>11</v>
      </c>
      <c r="I451" s="18" t="n">
        <v>66</v>
      </c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 t="n">
        <v>10</v>
      </c>
      <c r="W451" s="19"/>
      <c r="X451" s="19" t="n">
        <v>1</v>
      </c>
      <c r="Y451" s="19"/>
      <c r="Z451" s="19"/>
      <c r="AA451" s="19"/>
      <c r="AB451" s="19"/>
      <c r="AC451" s="19"/>
      <c r="AD451" s="19"/>
      <c r="AE451" s="19"/>
      <c r="AF451" s="19"/>
      <c r="AG451" s="19" t="n">
        <v>7</v>
      </c>
      <c r="AH451" s="19" t="n">
        <v>4</v>
      </c>
      <c r="AI451" s="19"/>
      <c r="AJ451" s="19"/>
      <c r="AK451" s="19"/>
      <c r="AL451" s="19"/>
      <c r="AM451" s="19" t="n">
        <v>3</v>
      </c>
      <c r="AN451" s="19" t="n">
        <v>8</v>
      </c>
      <c r="AO451" s="19"/>
      <c r="AP451" s="19"/>
      <c r="AQ451" s="19"/>
      <c r="AR451" s="19"/>
      <c r="AS451" s="20" t="str">
        <f aca="false">HYPERLINK("http://www.openstreetmap.org/?mlat=32.4765&amp;mlon=44.4212&amp;zoom=12#map=12/32.4765/44.4212","Maplink1")</f>
        <v>Maplink1</v>
      </c>
      <c r="AT451" s="20" t="str">
        <f aca="false">HYPERLINK("https://www.google.iq/maps/search/+32.4765,44.4212/@32.4765,44.4212,14z?hl=en","Maplink2")</f>
        <v>Maplink2</v>
      </c>
      <c r="AU451" s="20" t="str">
        <f aca="false">HYPERLINK("http://www.bing.com/maps/?lvl=14&amp;sty=h&amp;cp=32.4765~44.4212&amp;sp=point.32.4765_44.4212","Maplink3")</f>
        <v>Maplink3</v>
      </c>
    </row>
    <row r="452" customFormat="false" ht="15" hidden="false" customHeight="true" outlineLevel="0" collapsed="false">
      <c r="A452" s="15" t="n">
        <v>24979</v>
      </c>
      <c r="B452" s="16" t="s">
        <v>16</v>
      </c>
      <c r="C452" s="16" t="s">
        <v>743</v>
      </c>
      <c r="D452" s="16" t="s">
        <v>913</v>
      </c>
      <c r="E452" s="17" t="s">
        <v>584</v>
      </c>
      <c r="F452" s="16" t="n">
        <v>32.23321042</v>
      </c>
      <c r="G452" s="16" t="n">
        <v>44.37994922</v>
      </c>
      <c r="H452" s="18" t="n">
        <v>3</v>
      </c>
      <c r="I452" s="18" t="n">
        <v>18</v>
      </c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 t="n">
        <v>3</v>
      </c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 t="n">
        <v>3</v>
      </c>
      <c r="AI452" s="19"/>
      <c r="AJ452" s="19"/>
      <c r="AK452" s="19"/>
      <c r="AL452" s="19"/>
      <c r="AM452" s="19" t="n">
        <v>3</v>
      </c>
      <c r="AN452" s="19"/>
      <c r="AO452" s="19"/>
      <c r="AP452" s="19"/>
      <c r="AQ452" s="19"/>
      <c r="AR452" s="19"/>
      <c r="AS452" s="20" t="str">
        <f aca="false">HYPERLINK("http://www.openstreetmap.org/?mlat=32.2332&amp;mlon=44.3799&amp;zoom=12#map=12/32.2332/44.3799","Maplink1")</f>
        <v>Maplink1</v>
      </c>
      <c r="AT452" s="20" t="str">
        <f aca="false">HYPERLINK("https://www.google.iq/maps/search/+32.2332,44.3799/@32.2332,44.3799,14z?hl=en","Maplink2")</f>
        <v>Maplink2</v>
      </c>
      <c r="AU452" s="20" t="str">
        <f aca="false">HYPERLINK("http://www.bing.com/maps/?lvl=14&amp;sty=h&amp;cp=32.2332~44.3799&amp;sp=point.32.2332_44.3799","Maplink3")</f>
        <v>Maplink3</v>
      </c>
    </row>
    <row r="453" customFormat="false" ht="15" hidden="false" customHeight="true" outlineLevel="0" collapsed="false">
      <c r="A453" s="15" t="n">
        <v>23318</v>
      </c>
      <c r="B453" s="16" t="s">
        <v>16</v>
      </c>
      <c r="C453" s="16" t="s">
        <v>743</v>
      </c>
      <c r="D453" s="16" t="s">
        <v>914</v>
      </c>
      <c r="E453" s="17" t="s">
        <v>915</v>
      </c>
      <c r="F453" s="16" t="n">
        <v>32.48361329</v>
      </c>
      <c r="G453" s="16" t="n">
        <v>44.40754546</v>
      </c>
      <c r="H453" s="18" t="n">
        <v>12</v>
      </c>
      <c r="I453" s="18" t="n">
        <v>72</v>
      </c>
      <c r="J453" s="19" t="n">
        <v>2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 t="n">
        <v>10</v>
      </c>
      <c r="W453" s="19"/>
      <c r="X453" s="19"/>
      <c r="Y453" s="19"/>
      <c r="Z453" s="19"/>
      <c r="AA453" s="19"/>
      <c r="AB453" s="19"/>
      <c r="AC453" s="19" t="n">
        <v>4</v>
      </c>
      <c r="AD453" s="19"/>
      <c r="AE453" s="19"/>
      <c r="AF453" s="19"/>
      <c r="AG453" s="19"/>
      <c r="AH453" s="19" t="n">
        <v>8</v>
      </c>
      <c r="AI453" s="19"/>
      <c r="AJ453" s="19"/>
      <c r="AK453" s="19"/>
      <c r="AL453" s="19"/>
      <c r="AM453" s="19" t="n">
        <v>10</v>
      </c>
      <c r="AN453" s="19"/>
      <c r="AO453" s="19" t="n">
        <v>2</v>
      </c>
      <c r="AP453" s="19"/>
      <c r="AQ453" s="19"/>
      <c r="AR453" s="19"/>
      <c r="AS453" s="20" t="str">
        <f aca="false">HYPERLINK("http://www.openstreetmap.org/?mlat=32.4836&amp;mlon=44.4075&amp;zoom=12#map=12/32.4836/44.4075","Maplink1")</f>
        <v>Maplink1</v>
      </c>
      <c r="AT453" s="20" t="str">
        <f aca="false">HYPERLINK("https://www.google.iq/maps/search/+32.4836,44.4075/@32.4836,44.4075,14z?hl=en","Maplink2")</f>
        <v>Maplink2</v>
      </c>
      <c r="AU453" s="20" t="str">
        <f aca="false">HYPERLINK("http://www.bing.com/maps/?lvl=14&amp;sty=h&amp;cp=32.4836~44.4075&amp;sp=point.32.4836_44.4075","Maplink3")</f>
        <v>Maplink3</v>
      </c>
    </row>
    <row r="454" customFormat="false" ht="15" hidden="false" customHeight="true" outlineLevel="0" collapsed="false">
      <c r="A454" s="15" t="n">
        <v>28456</v>
      </c>
      <c r="B454" s="16" t="s">
        <v>16</v>
      </c>
      <c r="C454" s="16" t="s">
        <v>743</v>
      </c>
      <c r="D454" s="16" t="s">
        <v>916</v>
      </c>
      <c r="E454" s="17" t="s">
        <v>917</v>
      </c>
      <c r="F454" s="16" t="n">
        <v>32.44354448</v>
      </c>
      <c r="G454" s="16" t="n">
        <v>44.40258723</v>
      </c>
      <c r="H454" s="18" t="n">
        <v>14</v>
      </c>
      <c r="I454" s="18" t="n">
        <v>84</v>
      </c>
      <c r="J454" s="19" t="n">
        <v>1</v>
      </c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 t="n">
        <v>13</v>
      </c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 t="n">
        <v>14</v>
      </c>
      <c r="AI454" s="19"/>
      <c r="AJ454" s="19"/>
      <c r="AK454" s="19"/>
      <c r="AL454" s="19"/>
      <c r="AM454" s="19" t="n">
        <v>13</v>
      </c>
      <c r="AN454" s="19"/>
      <c r="AO454" s="19"/>
      <c r="AP454" s="19" t="n">
        <v>1</v>
      </c>
      <c r="AQ454" s="19"/>
      <c r="AR454" s="19"/>
      <c r="AS454" s="20" t="str">
        <f aca="false">HYPERLINK("http://www.openstreetmap.org/?mlat=32.4435&amp;mlon=44.4026&amp;zoom=12#map=12/32.4435/44.4026","Maplink1")</f>
        <v>Maplink1</v>
      </c>
      <c r="AT454" s="20" t="str">
        <f aca="false">HYPERLINK("https://www.google.iq/maps/search/+32.4435,44.4026/@32.4435,44.4026,14z?hl=en","Maplink2")</f>
        <v>Maplink2</v>
      </c>
      <c r="AU454" s="20" t="str">
        <f aca="false">HYPERLINK("http://www.bing.com/maps/?lvl=14&amp;sty=h&amp;cp=32.4435~44.4026&amp;sp=point.32.4435_44.4026","Maplink3")</f>
        <v>Maplink3</v>
      </c>
    </row>
    <row r="455" customFormat="false" ht="15" hidden="false" customHeight="true" outlineLevel="0" collapsed="false">
      <c r="A455" s="15" t="n">
        <v>25444</v>
      </c>
      <c r="B455" s="16" t="s">
        <v>16</v>
      </c>
      <c r="C455" s="16" t="s">
        <v>743</v>
      </c>
      <c r="D455" s="16" t="s">
        <v>918</v>
      </c>
      <c r="E455" s="17" t="s">
        <v>572</v>
      </c>
      <c r="F455" s="16" t="n">
        <v>32.47819179</v>
      </c>
      <c r="G455" s="16" t="n">
        <v>44.41819207</v>
      </c>
      <c r="H455" s="18" t="n">
        <v>16</v>
      </c>
      <c r="I455" s="18" t="n">
        <v>96</v>
      </c>
      <c r="J455" s="19" t="n">
        <v>1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 t="n">
        <v>15</v>
      </c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 t="n">
        <v>16</v>
      </c>
      <c r="AI455" s="19"/>
      <c r="AJ455" s="19"/>
      <c r="AK455" s="19"/>
      <c r="AL455" s="19"/>
      <c r="AM455" s="19" t="n">
        <v>15</v>
      </c>
      <c r="AN455" s="19"/>
      <c r="AO455" s="19"/>
      <c r="AP455" s="19" t="n">
        <v>1</v>
      </c>
      <c r="AQ455" s="19"/>
      <c r="AR455" s="19"/>
      <c r="AS455" s="20" t="str">
        <f aca="false">HYPERLINK("http://www.openstreetmap.org/?mlat=32.4782&amp;mlon=44.4182&amp;zoom=12#map=12/32.4782/44.4182","Maplink1")</f>
        <v>Maplink1</v>
      </c>
      <c r="AT455" s="20" t="str">
        <f aca="false">HYPERLINK("https://www.google.iq/maps/search/+32.4782,44.4182/@32.4782,44.4182,14z?hl=en","Maplink2")</f>
        <v>Maplink2</v>
      </c>
      <c r="AU455" s="20" t="str">
        <f aca="false">HYPERLINK("http://www.bing.com/maps/?lvl=14&amp;sty=h&amp;cp=32.4782~44.4182&amp;sp=point.32.4782_44.4182","Maplink3")</f>
        <v>Maplink3</v>
      </c>
    </row>
    <row r="456" customFormat="false" ht="15" hidden="false" customHeight="true" outlineLevel="0" collapsed="false">
      <c r="A456" s="15" t="n">
        <v>24457</v>
      </c>
      <c r="B456" s="16" t="s">
        <v>16</v>
      </c>
      <c r="C456" s="16" t="s">
        <v>743</v>
      </c>
      <c r="D456" s="16" t="s">
        <v>919</v>
      </c>
      <c r="E456" s="17" t="s">
        <v>920</v>
      </c>
      <c r="F456" s="16" t="n">
        <v>32.52454681</v>
      </c>
      <c r="G456" s="16" t="n">
        <v>44.36351381</v>
      </c>
      <c r="H456" s="18" t="n">
        <v>82</v>
      </c>
      <c r="I456" s="18" t="n">
        <v>492</v>
      </c>
      <c r="J456" s="19" t="n">
        <v>2</v>
      </c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 t="n">
        <v>80</v>
      </c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 t="n">
        <v>12</v>
      </c>
      <c r="AH456" s="19" t="n">
        <v>70</v>
      </c>
      <c r="AI456" s="19"/>
      <c r="AJ456" s="19"/>
      <c r="AK456" s="19"/>
      <c r="AL456" s="19"/>
      <c r="AM456" s="19" t="n">
        <v>80</v>
      </c>
      <c r="AN456" s="19"/>
      <c r="AO456" s="19"/>
      <c r="AP456" s="19" t="n">
        <v>2</v>
      </c>
      <c r="AQ456" s="19"/>
      <c r="AR456" s="19"/>
      <c r="AS456" s="20" t="str">
        <f aca="false">HYPERLINK("http://www.openstreetmap.org/?mlat=32.5245&amp;mlon=44.3635&amp;zoom=12#map=12/32.5245/44.3635","Maplink1")</f>
        <v>Maplink1</v>
      </c>
      <c r="AT456" s="20" t="str">
        <f aca="false">HYPERLINK("https://www.google.iq/maps/search/+32.5245,44.3635/@32.5245,44.3635,14z?hl=en","Maplink2")</f>
        <v>Maplink2</v>
      </c>
      <c r="AU456" s="20" t="str">
        <f aca="false">HYPERLINK("http://www.bing.com/maps/?lvl=14&amp;sty=h&amp;cp=32.5245~44.3635&amp;sp=point.32.5245_44.3635","Maplink3")</f>
        <v>Maplink3</v>
      </c>
    </row>
    <row r="457" customFormat="false" ht="15" hidden="false" customHeight="true" outlineLevel="0" collapsed="false">
      <c r="A457" s="15" t="n">
        <v>25119</v>
      </c>
      <c r="B457" s="16" t="s">
        <v>16</v>
      </c>
      <c r="C457" s="16" t="s">
        <v>743</v>
      </c>
      <c r="D457" s="16" t="s">
        <v>921</v>
      </c>
      <c r="E457" s="17" t="s">
        <v>922</v>
      </c>
      <c r="F457" s="16" t="n">
        <v>32.52721062</v>
      </c>
      <c r="G457" s="16" t="n">
        <v>44.3377113</v>
      </c>
      <c r="H457" s="18" t="n">
        <v>49</v>
      </c>
      <c r="I457" s="18" t="n">
        <v>294</v>
      </c>
      <c r="J457" s="19" t="n">
        <v>5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 t="n">
        <v>44</v>
      </c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 t="n">
        <v>49</v>
      </c>
      <c r="AI457" s="19"/>
      <c r="AJ457" s="19"/>
      <c r="AK457" s="19"/>
      <c r="AL457" s="19"/>
      <c r="AM457" s="19" t="n">
        <v>44</v>
      </c>
      <c r="AN457" s="19"/>
      <c r="AO457" s="19" t="n">
        <v>5</v>
      </c>
      <c r="AP457" s="19"/>
      <c r="AQ457" s="19"/>
      <c r="AR457" s="19"/>
      <c r="AS457" s="20" t="str">
        <f aca="false">HYPERLINK("http://www.openstreetmap.org/?mlat=32.5272&amp;mlon=44.3377&amp;zoom=12#map=12/32.5272/44.3377","Maplink1")</f>
        <v>Maplink1</v>
      </c>
      <c r="AT457" s="20" t="str">
        <f aca="false">HYPERLINK("https://www.google.iq/maps/search/+32.5272,44.3377/@32.5272,44.3377,14z?hl=en","Maplink2")</f>
        <v>Maplink2</v>
      </c>
      <c r="AU457" s="20" t="str">
        <f aca="false">HYPERLINK("http://www.bing.com/maps/?lvl=14&amp;sty=h&amp;cp=32.5272~44.3377&amp;sp=point.32.5272_44.3377","Maplink3")</f>
        <v>Maplink3</v>
      </c>
    </row>
    <row r="458" customFormat="false" ht="15" hidden="false" customHeight="true" outlineLevel="0" collapsed="false">
      <c r="A458" s="15" t="n">
        <v>7171</v>
      </c>
      <c r="B458" s="16" t="s">
        <v>16</v>
      </c>
      <c r="C458" s="16" t="s">
        <v>743</v>
      </c>
      <c r="D458" s="16" t="s">
        <v>923</v>
      </c>
      <c r="E458" s="17" t="s">
        <v>924</v>
      </c>
      <c r="F458" s="16" t="n">
        <v>32.48210823</v>
      </c>
      <c r="G458" s="16" t="n">
        <v>44.41976032</v>
      </c>
      <c r="H458" s="18" t="n">
        <v>7</v>
      </c>
      <c r="I458" s="18" t="n">
        <v>42</v>
      </c>
      <c r="J458" s="19" t="n">
        <v>3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 t="n">
        <v>4</v>
      </c>
      <c r="W458" s="19"/>
      <c r="X458" s="19"/>
      <c r="Y458" s="19"/>
      <c r="Z458" s="19"/>
      <c r="AA458" s="19"/>
      <c r="AB458" s="19"/>
      <c r="AC458" s="19" t="n">
        <v>7</v>
      </c>
      <c r="AD458" s="19"/>
      <c r="AE458" s="19"/>
      <c r="AF458" s="19"/>
      <c r="AG458" s="19"/>
      <c r="AH458" s="19"/>
      <c r="AI458" s="19"/>
      <c r="AJ458" s="19"/>
      <c r="AK458" s="19"/>
      <c r="AL458" s="19"/>
      <c r="AM458" s="19" t="n">
        <v>4</v>
      </c>
      <c r="AN458" s="19"/>
      <c r="AO458" s="19" t="n">
        <v>3</v>
      </c>
      <c r="AP458" s="19"/>
      <c r="AQ458" s="19"/>
      <c r="AR458" s="19"/>
      <c r="AS458" s="20" t="str">
        <f aca="false">HYPERLINK("http://www.openstreetmap.org/?mlat=32.4821&amp;mlon=44.4198&amp;zoom=12#map=12/32.4821/44.4198","Maplink1")</f>
        <v>Maplink1</v>
      </c>
      <c r="AT458" s="20" t="str">
        <f aca="false">HYPERLINK("https://www.google.iq/maps/search/+32.4821,44.4198/@32.4821,44.4198,14z?hl=en","Maplink2")</f>
        <v>Maplink2</v>
      </c>
      <c r="AU458" s="20" t="str">
        <f aca="false">HYPERLINK("http://www.bing.com/maps/?lvl=14&amp;sty=h&amp;cp=32.4821~44.4198&amp;sp=point.32.4821_44.4198","Maplink3")</f>
        <v>Maplink3</v>
      </c>
    </row>
    <row r="459" customFormat="false" ht="15" hidden="false" customHeight="true" outlineLevel="0" collapsed="false">
      <c r="A459" s="15" t="n">
        <v>25452</v>
      </c>
      <c r="B459" s="16" t="s">
        <v>16</v>
      </c>
      <c r="C459" s="16" t="s">
        <v>743</v>
      </c>
      <c r="D459" s="16" t="s">
        <v>925</v>
      </c>
      <c r="E459" s="17" t="s">
        <v>926</v>
      </c>
      <c r="F459" s="16" t="n">
        <v>32.49160195</v>
      </c>
      <c r="G459" s="16" t="n">
        <v>44.41928205</v>
      </c>
      <c r="H459" s="18" t="n">
        <v>7</v>
      </c>
      <c r="I459" s="18" t="n">
        <v>42</v>
      </c>
      <c r="J459" s="19" t="n">
        <v>1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 t="n">
        <v>6</v>
      </c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 t="n">
        <v>4</v>
      </c>
      <c r="AH459" s="19" t="n">
        <v>3</v>
      </c>
      <c r="AI459" s="19"/>
      <c r="AJ459" s="19"/>
      <c r="AK459" s="19"/>
      <c r="AL459" s="19"/>
      <c r="AM459" s="19" t="n">
        <v>7</v>
      </c>
      <c r="AN459" s="19"/>
      <c r="AO459" s="19"/>
      <c r="AP459" s="19"/>
      <c r="AQ459" s="19"/>
      <c r="AR459" s="19"/>
      <c r="AS459" s="20" t="str">
        <f aca="false">HYPERLINK("http://www.openstreetmap.org/?mlat=32.4916&amp;mlon=44.4193&amp;zoom=12#map=12/32.4916/44.4193","Maplink1")</f>
        <v>Maplink1</v>
      </c>
      <c r="AT459" s="20" t="str">
        <f aca="false">HYPERLINK("https://www.google.iq/maps/search/+32.4916,44.4193/@32.4916,44.4193,14z?hl=en","Maplink2")</f>
        <v>Maplink2</v>
      </c>
      <c r="AU459" s="20" t="str">
        <f aca="false">HYPERLINK("http://www.bing.com/maps/?lvl=14&amp;sty=h&amp;cp=32.4916~44.4193&amp;sp=point.32.4916_44.4193","Maplink3")</f>
        <v>Maplink3</v>
      </c>
    </row>
    <row r="460" customFormat="false" ht="15" hidden="false" customHeight="true" outlineLevel="0" collapsed="false">
      <c r="A460" s="15" t="n">
        <v>25329</v>
      </c>
      <c r="B460" s="16" t="s">
        <v>16</v>
      </c>
      <c r="C460" s="16" t="s">
        <v>743</v>
      </c>
      <c r="D460" s="16" t="s">
        <v>927</v>
      </c>
      <c r="E460" s="17" t="s">
        <v>928</v>
      </c>
      <c r="F460" s="16" t="n">
        <v>32.50484146</v>
      </c>
      <c r="G460" s="16" t="n">
        <v>44.41230671</v>
      </c>
      <c r="H460" s="18" t="n">
        <v>53</v>
      </c>
      <c r="I460" s="18" t="n">
        <v>318</v>
      </c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 t="n">
        <v>53</v>
      </c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 t="n">
        <v>33</v>
      </c>
      <c r="AH460" s="19" t="n">
        <v>20</v>
      </c>
      <c r="AI460" s="19"/>
      <c r="AJ460" s="19"/>
      <c r="AK460" s="19"/>
      <c r="AL460" s="19"/>
      <c r="AM460" s="19" t="n">
        <v>53</v>
      </c>
      <c r="AN460" s="19"/>
      <c r="AO460" s="19"/>
      <c r="AP460" s="19"/>
      <c r="AQ460" s="19"/>
      <c r="AR460" s="19"/>
      <c r="AS460" s="20" t="str">
        <f aca="false">HYPERLINK("http://www.openstreetmap.org/?mlat=32.5048&amp;mlon=44.4123&amp;zoom=12#map=12/32.5048/44.4123","Maplink1")</f>
        <v>Maplink1</v>
      </c>
      <c r="AT460" s="20" t="str">
        <f aca="false">HYPERLINK("https://www.google.iq/maps/search/+32.5048,44.4123/@32.5048,44.4123,14z?hl=en","Maplink2")</f>
        <v>Maplink2</v>
      </c>
      <c r="AU460" s="20" t="str">
        <f aca="false">HYPERLINK("http://www.bing.com/maps/?lvl=14&amp;sty=h&amp;cp=32.5048~44.4123&amp;sp=point.32.5048_44.4123","Maplink3")</f>
        <v>Maplink3</v>
      </c>
    </row>
    <row r="461" customFormat="false" ht="15" hidden="false" customHeight="true" outlineLevel="0" collapsed="false">
      <c r="A461" s="15" t="n">
        <v>7215</v>
      </c>
      <c r="B461" s="16" t="s">
        <v>16</v>
      </c>
      <c r="C461" s="16" t="s">
        <v>743</v>
      </c>
      <c r="D461" s="16" t="s">
        <v>929</v>
      </c>
      <c r="E461" s="17" t="s">
        <v>459</v>
      </c>
      <c r="F461" s="16" t="n">
        <v>32.52688545</v>
      </c>
      <c r="G461" s="16" t="n">
        <v>44.33531994</v>
      </c>
      <c r="H461" s="18" t="n">
        <v>16</v>
      </c>
      <c r="I461" s="18" t="n">
        <v>96</v>
      </c>
      <c r="J461" s="19" t="n">
        <v>2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 t="n">
        <v>14</v>
      </c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 t="n">
        <v>16</v>
      </c>
      <c r="AI461" s="19"/>
      <c r="AJ461" s="19"/>
      <c r="AK461" s="19"/>
      <c r="AL461" s="19"/>
      <c r="AM461" s="19" t="n">
        <v>14</v>
      </c>
      <c r="AN461" s="19"/>
      <c r="AO461" s="19" t="n">
        <v>2</v>
      </c>
      <c r="AP461" s="19"/>
      <c r="AQ461" s="19"/>
      <c r="AR461" s="19"/>
      <c r="AS461" s="20" t="str">
        <f aca="false">HYPERLINK("http://www.openstreetmap.org/?mlat=32.5269&amp;mlon=44.3353&amp;zoom=12#map=12/32.5269/44.3353","Maplink1")</f>
        <v>Maplink1</v>
      </c>
      <c r="AT461" s="20" t="str">
        <f aca="false">HYPERLINK("https://www.google.iq/maps/search/+32.5269,44.3353/@32.5269,44.3353,14z?hl=en","Maplink2")</f>
        <v>Maplink2</v>
      </c>
      <c r="AU461" s="20" t="str">
        <f aca="false">HYPERLINK("http://www.bing.com/maps/?lvl=14&amp;sty=h&amp;cp=32.5269~44.3353&amp;sp=point.32.5269_44.3353","Maplink3")</f>
        <v>Maplink3</v>
      </c>
    </row>
    <row r="462" customFormat="false" ht="15" hidden="false" customHeight="true" outlineLevel="0" collapsed="false">
      <c r="A462" s="15" t="n">
        <v>21618</v>
      </c>
      <c r="B462" s="16" t="s">
        <v>16</v>
      </c>
      <c r="C462" s="16" t="s">
        <v>743</v>
      </c>
      <c r="D462" s="16" t="s">
        <v>930</v>
      </c>
      <c r="E462" s="17" t="s">
        <v>931</v>
      </c>
      <c r="F462" s="16" t="n">
        <v>32.46846103</v>
      </c>
      <c r="G462" s="16" t="n">
        <v>44.39749824</v>
      </c>
      <c r="H462" s="18" t="n">
        <v>4</v>
      </c>
      <c r="I462" s="18" t="n">
        <v>24</v>
      </c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 t="n">
        <v>4</v>
      </c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 t="n">
        <v>4</v>
      </c>
      <c r="AI462" s="19"/>
      <c r="AJ462" s="19"/>
      <c r="AK462" s="19"/>
      <c r="AL462" s="19"/>
      <c r="AM462" s="19" t="n">
        <v>4</v>
      </c>
      <c r="AN462" s="19"/>
      <c r="AO462" s="19"/>
      <c r="AP462" s="19"/>
      <c r="AQ462" s="19"/>
      <c r="AR462" s="19"/>
      <c r="AS462" s="20" t="str">
        <f aca="false">HYPERLINK("http://www.openstreetmap.org/?mlat=32.4685&amp;mlon=44.3975&amp;zoom=12#map=12/32.4685/44.3975","Maplink1")</f>
        <v>Maplink1</v>
      </c>
      <c r="AT462" s="20" t="str">
        <f aca="false">HYPERLINK("https://www.google.iq/maps/search/+32.4685,44.3975/@32.4685,44.3975,14z?hl=en","Maplink2")</f>
        <v>Maplink2</v>
      </c>
      <c r="AU462" s="20" t="str">
        <f aca="false">HYPERLINK("http://www.bing.com/maps/?lvl=14&amp;sty=h&amp;cp=32.4685~44.3975&amp;sp=point.32.4685_44.3975","Maplink3")</f>
        <v>Maplink3</v>
      </c>
    </row>
    <row r="463" customFormat="false" ht="15" hidden="false" customHeight="true" outlineLevel="0" collapsed="false">
      <c r="A463" s="15" t="n">
        <v>24088</v>
      </c>
      <c r="B463" s="16" t="s">
        <v>16</v>
      </c>
      <c r="C463" s="16" t="s">
        <v>743</v>
      </c>
      <c r="D463" s="16" t="s">
        <v>932</v>
      </c>
      <c r="E463" s="17" t="s">
        <v>933</v>
      </c>
      <c r="F463" s="16" t="n">
        <v>32.48648078</v>
      </c>
      <c r="G463" s="16" t="n">
        <v>44.43483375</v>
      </c>
      <c r="H463" s="18" t="n">
        <v>25</v>
      </c>
      <c r="I463" s="18" t="n">
        <v>150</v>
      </c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 t="n">
        <v>25</v>
      </c>
      <c r="W463" s="19"/>
      <c r="X463" s="19"/>
      <c r="Y463" s="19"/>
      <c r="Z463" s="19"/>
      <c r="AA463" s="19"/>
      <c r="AB463" s="19"/>
      <c r="AC463" s="19" t="n">
        <v>3</v>
      </c>
      <c r="AD463" s="19"/>
      <c r="AE463" s="19"/>
      <c r="AF463" s="19"/>
      <c r="AG463" s="19"/>
      <c r="AH463" s="19" t="n">
        <v>22</v>
      </c>
      <c r="AI463" s="19"/>
      <c r="AJ463" s="19"/>
      <c r="AK463" s="19"/>
      <c r="AL463" s="19"/>
      <c r="AM463" s="19" t="n">
        <v>25</v>
      </c>
      <c r="AN463" s="19"/>
      <c r="AO463" s="19"/>
      <c r="AP463" s="19"/>
      <c r="AQ463" s="19"/>
      <c r="AR463" s="19"/>
      <c r="AS463" s="20" t="str">
        <f aca="false">HYPERLINK("http://www.openstreetmap.org/?mlat=32.4865&amp;mlon=44.4348&amp;zoom=12#map=12/32.4865/44.4348","Maplink1")</f>
        <v>Maplink1</v>
      </c>
      <c r="AT463" s="20" t="str">
        <f aca="false">HYPERLINK("https://www.google.iq/maps/search/+32.4865,44.4348/@32.4865,44.4348,14z?hl=en","Maplink2")</f>
        <v>Maplink2</v>
      </c>
      <c r="AU463" s="20" t="str">
        <f aca="false">HYPERLINK("http://www.bing.com/maps/?lvl=14&amp;sty=h&amp;cp=32.4865~44.4348&amp;sp=point.32.4865_44.4348","Maplink3")</f>
        <v>Maplink3</v>
      </c>
    </row>
    <row r="464" customFormat="false" ht="15" hidden="false" customHeight="true" outlineLevel="0" collapsed="false">
      <c r="A464" s="15" t="n">
        <v>7107</v>
      </c>
      <c r="B464" s="16" t="s">
        <v>16</v>
      </c>
      <c r="C464" s="16" t="s">
        <v>743</v>
      </c>
      <c r="D464" s="16" t="s">
        <v>934</v>
      </c>
      <c r="E464" s="17" t="s">
        <v>547</v>
      </c>
      <c r="F464" s="16" t="n">
        <v>32.5265881</v>
      </c>
      <c r="G464" s="16" t="n">
        <v>44.3517022</v>
      </c>
      <c r="H464" s="18" t="n">
        <v>23</v>
      </c>
      <c r="I464" s="18" t="n">
        <v>138</v>
      </c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 t="n">
        <v>23</v>
      </c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 t="n">
        <v>23</v>
      </c>
      <c r="AI464" s="19"/>
      <c r="AJ464" s="19"/>
      <c r="AK464" s="19"/>
      <c r="AL464" s="19"/>
      <c r="AM464" s="19" t="n">
        <v>23</v>
      </c>
      <c r="AN464" s="19"/>
      <c r="AO464" s="19"/>
      <c r="AP464" s="19"/>
      <c r="AQ464" s="19"/>
      <c r="AR464" s="19"/>
      <c r="AS464" s="20" t="str">
        <f aca="false">HYPERLINK("http://www.openstreetmap.org/?mlat=32.5266&amp;mlon=44.3517&amp;zoom=12#map=12/32.5266/44.3517","Maplink1")</f>
        <v>Maplink1</v>
      </c>
      <c r="AT464" s="20" t="str">
        <f aca="false">HYPERLINK("https://www.google.iq/maps/search/+32.5266,44.3517/@32.5266,44.3517,14z?hl=en","Maplink2")</f>
        <v>Maplink2</v>
      </c>
      <c r="AU464" s="20" t="str">
        <f aca="false">HYPERLINK("http://www.bing.com/maps/?lvl=14&amp;sty=h&amp;cp=32.5266~44.3517&amp;sp=point.32.5266_44.3517","Maplink3")</f>
        <v>Maplink3</v>
      </c>
    </row>
    <row r="465" customFormat="false" ht="15" hidden="false" customHeight="true" outlineLevel="0" collapsed="false">
      <c r="A465" s="15" t="n">
        <v>7191</v>
      </c>
      <c r="B465" s="16" t="s">
        <v>16</v>
      </c>
      <c r="C465" s="16" t="s">
        <v>743</v>
      </c>
      <c r="D465" s="16" t="s">
        <v>935</v>
      </c>
      <c r="E465" s="17" t="s">
        <v>936</v>
      </c>
      <c r="F465" s="16" t="n">
        <v>32.49317419</v>
      </c>
      <c r="G465" s="16" t="n">
        <v>44.46077021</v>
      </c>
      <c r="H465" s="18" t="n">
        <v>30</v>
      </c>
      <c r="I465" s="18" t="n">
        <v>180</v>
      </c>
      <c r="J465" s="19" t="n">
        <v>5</v>
      </c>
      <c r="K465" s="19"/>
      <c r="L465" s="19"/>
      <c r="M465" s="19"/>
      <c r="N465" s="19"/>
      <c r="O465" s="19" t="n">
        <v>14</v>
      </c>
      <c r="P465" s="19"/>
      <c r="Q465" s="19"/>
      <c r="R465" s="19"/>
      <c r="S465" s="19"/>
      <c r="T465" s="19"/>
      <c r="U465" s="19"/>
      <c r="V465" s="19" t="n">
        <v>11</v>
      </c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 t="n">
        <v>30</v>
      </c>
      <c r="AI465" s="19"/>
      <c r="AJ465" s="19"/>
      <c r="AK465" s="19"/>
      <c r="AL465" s="19"/>
      <c r="AM465" s="19" t="n">
        <v>9</v>
      </c>
      <c r="AN465" s="19" t="n">
        <v>14</v>
      </c>
      <c r="AO465" s="19"/>
      <c r="AP465" s="19" t="n">
        <v>5</v>
      </c>
      <c r="AQ465" s="19"/>
      <c r="AR465" s="19" t="n">
        <v>2</v>
      </c>
      <c r="AS465" s="20" t="str">
        <f aca="false">HYPERLINK("http://www.openstreetmap.org/?mlat=32.4932&amp;mlon=44.4608&amp;zoom=12#map=12/32.4932/44.4608","Maplink1")</f>
        <v>Maplink1</v>
      </c>
      <c r="AT465" s="20" t="str">
        <f aca="false">HYPERLINK("https://www.google.iq/maps/search/+32.4932,44.4608/@32.4932,44.4608,14z?hl=en","Maplink2")</f>
        <v>Maplink2</v>
      </c>
      <c r="AU465" s="20" t="str">
        <f aca="false">HYPERLINK("http://www.bing.com/maps/?lvl=14&amp;sty=h&amp;cp=32.4932~44.4608&amp;sp=point.32.4932_44.4608","Maplink3")</f>
        <v>Maplink3</v>
      </c>
    </row>
    <row r="466" customFormat="false" ht="15" hidden="false" customHeight="true" outlineLevel="0" collapsed="false">
      <c r="A466" s="15" t="n">
        <v>27405</v>
      </c>
      <c r="B466" s="16" t="s">
        <v>16</v>
      </c>
      <c r="C466" s="16" t="s">
        <v>743</v>
      </c>
      <c r="D466" s="16" t="s">
        <v>937</v>
      </c>
      <c r="E466" s="17" t="s">
        <v>938</v>
      </c>
      <c r="F466" s="16" t="n">
        <v>32.52836934</v>
      </c>
      <c r="G466" s="16" t="n">
        <v>44.34154778</v>
      </c>
      <c r="H466" s="18" t="n">
        <v>28</v>
      </c>
      <c r="I466" s="18" t="n">
        <v>168</v>
      </c>
      <c r="J466" s="19" t="n">
        <v>2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 t="n">
        <v>26</v>
      </c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 t="n">
        <v>28</v>
      </c>
      <c r="AI466" s="19"/>
      <c r="AJ466" s="19"/>
      <c r="AK466" s="19"/>
      <c r="AL466" s="19"/>
      <c r="AM466" s="19" t="n">
        <v>26</v>
      </c>
      <c r="AN466" s="19"/>
      <c r="AO466" s="19"/>
      <c r="AP466" s="19" t="n">
        <v>2</v>
      </c>
      <c r="AQ466" s="19"/>
      <c r="AR466" s="19"/>
      <c r="AS466" s="20" t="str">
        <f aca="false">HYPERLINK("http://www.openstreetmap.org/?mlat=32.5284&amp;mlon=44.3415&amp;zoom=12#map=12/32.5284/44.3415","Maplink1")</f>
        <v>Maplink1</v>
      </c>
      <c r="AT466" s="20" t="str">
        <f aca="false">HYPERLINK("https://www.google.iq/maps/search/+32.5284,44.3415/@32.5284,44.3415,14z?hl=en","Maplink2")</f>
        <v>Maplink2</v>
      </c>
      <c r="AU466" s="20" t="str">
        <f aca="false">HYPERLINK("http://www.bing.com/maps/?lvl=14&amp;sty=h&amp;cp=32.5284~44.3415&amp;sp=point.32.5284_44.3415","Maplink3")</f>
        <v>Maplink3</v>
      </c>
    </row>
    <row r="467" customFormat="false" ht="15" hidden="false" customHeight="true" outlineLevel="0" collapsed="false">
      <c r="A467" s="15" t="n">
        <v>7174</v>
      </c>
      <c r="B467" s="16" t="s">
        <v>16</v>
      </c>
      <c r="C467" s="16" t="s">
        <v>743</v>
      </c>
      <c r="D467" s="16" t="s">
        <v>939</v>
      </c>
      <c r="E467" s="17" t="s">
        <v>940</v>
      </c>
      <c r="F467" s="16" t="n">
        <v>32.45448764</v>
      </c>
      <c r="G467" s="16" t="n">
        <v>44.39894169</v>
      </c>
      <c r="H467" s="18" t="n">
        <v>25</v>
      </c>
      <c r="I467" s="18" t="n">
        <v>150</v>
      </c>
      <c r="J467" s="19" t="n">
        <v>1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 t="n">
        <v>19</v>
      </c>
      <c r="W467" s="19"/>
      <c r="X467" s="19" t="n">
        <v>5</v>
      </c>
      <c r="Y467" s="19"/>
      <c r="Z467" s="19"/>
      <c r="AA467" s="19"/>
      <c r="AB467" s="19"/>
      <c r="AC467" s="19" t="n">
        <v>3</v>
      </c>
      <c r="AD467" s="19"/>
      <c r="AE467" s="19"/>
      <c r="AF467" s="19"/>
      <c r="AG467" s="19"/>
      <c r="AH467" s="19" t="n">
        <v>22</v>
      </c>
      <c r="AI467" s="19"/>
      <c r="AJ467" s="19"/>
      <c r="AK467" s="19"/>
      <c r="AL467" s="19" t="n">
        <v>3</v>
      </c>
      <c r="AM467" s="19" t="n">
        <v>22</v>
      </c>
      <c r="AN467" s="19"/>
      <c r="AO467" s="19"/>
      <c r="AP467" s="19"/>
      <c r="AQ467" s="19"/>
      <c r="AR467" s="19"/>
      <c r="AS467" s="20" t="str">
        <f aca="false">HYPERLINK("http://www.openstreetmap.org/?mlat=32.4545&amp;mlon=44.3989&amp;zoom=12#map=12/32.4545/44.3989","Maplink1")</f>
        <v>Maplink1</v>
      </c>
      <c r="AT467" s="20" t="str">
        <f aca="false">HYPERLINK("https://www.google.iq/maps/search/+32.4545,44.3989/@32.4545,44.3989,14z?hl=en","Maplink2")</f>
        <v>Maplink2</v>
      </c>
      <c r="AU467" s="20" t="str">
        <f aca="false">HYPERLINK("http://www.bing.com/maps/?lvl=14&amp;sty=h&amp;cp=32.4545~44.3989&amp;sp=point.32.4545_44.3989","Maplink3")</f>
        <v>Maplink3</v>
      </c>
    </row>
    <row r="468" customFormat="false" ht="15" hidden="false" customHeight="true" outlineLevel="0" collapsed="false">
      <c r="A468" s="15" t="n">
        <v>7145</v>
      </c>
      <c r="B468" s="16" t="s">
        <v>16</v>
      </c>
      <c r="C468" s="16" t="s">
        <v>743</v>
      </c>
      <c r="D468" s="16" t="s">
        <v>941</v>
      </c>
      <c r="E468" s="17" t="s">
        <v>942</v>
      </c>
      <c r="F468" s="16" t="n">
        <v>32.49134752</v>
      </c>
      <c r="G468" s="16" t="n">
        <v>44.41185795</v>
      </c>
      <c r="H468" s="18" t="n">
        <v>3</v>
      </c>
      <c r="I468" s="18" t="n">
        <v>18</v>
      </c>
      <c r="J468" s="19" t="n">
        <v>1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 t="n">
        <v>2</v>
      </c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 t="n">
        <v>3</v>
      </c>
      <c r="AI468" s="19"/>
      <c r="AJ468" s="19"/>
      <c r="AK468" s="19"/>
      <c r="AL468" s="19"/>
      <c r="AM468" s="19" t="n">
        <v>2</v>
      </c>
      <c r="AN468" s="19"/>
      <c r="AO468" s="19"/>
      <c r="AP468" s="19" t="n">
        <v>1</v>
      </c>
      <c r="AQ468" s="19"/>
      <c r="AR468" s="19"/>
      <c r="AS468" s="20" t="str">
        <f aca="false">HYPERLINK("http://www.openstreetmap.org/?mlat=32.4913&amp;mlon=44.4119&amp;zoom=12#map=12/32.4913/44.4119","Maplink1")</f>
        <v>Maplink1</v>
      </c>
      <c r="AT468" s="20" t="str">
        <f aca="false">HYPERLINK("https://www.google.iq/maps/search/+32.4913,44.4119/@32.4913,44.4119,14z?hl=en","Maplink2")</f>
        <v>Maplink2</v>
      </c>
      <c r="AU468" s="20" t="str">
        <f aca="false">HYPERLINK("http://www.bing.com/maps/?lvl=14&amp;sty=h&amp;cp=32.4913~44.4119&amp;sp=point.32.4913_44.4119","Maplink3")</f>
        <v>Maplink3</v>
      </c>
    </row>
    <row r="469" customFormat="false" ht="15" hidden="false" customHeight="true" outlineLevel="0" collapsed="false">
      <c r="A469" s="15" t="n">
        <v>21388</v>
      </c>
      <c r="B469" s="16" t="s">
        <v>16</v>
      </c>
      <c r="C469" s="16" t="s">
        <v>743</v>
      </c>
      <c r="D469" s="16" t="s">
        <v>574</v>
      </c>
      <c r="E469" s="17" t="s">
        <v>575</v>
      </c>
      <c r="F469" s="16" t="n">
        <v>32.46043079</v>
      </c>
      <c r="G469" s="16" t="n">
        <v>44.39121265</v>
      </c>
      <c r="H469" s="18" t="n">
        <v>7</v>
      </c>
      <c r="I469" s="18" t="n">
        <v>42</v>
      </c>
      <c r="J469" s="19" t="n">
        <v>2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 t="n">
        <v>5</v>
      </c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 t="n">
        <v>7</v>
      </c>
      <c r="AI469" s="19"/>
      <c r="AJ469" s="19"/>
      <c r="AK469" s="19"/>
      <c r="AL469" s="19"/>
      <c r="AM469" s="19" t="n">
        <v>5</v>
      </c>
      <c r="AN469" s="19"/>
      <c r="AO469" s="19"/>
      <c r="AP469" s="19" t="n">
        <v>2</v>
      </c>
      <c r="AQ469" s="19"/>
      <c r="AR469" s="19"/>
      <c r="AS469" s="20" t="str">
        <f aca="false">HYPERLINK("http://www.openstreetmap.org/?mlat=32.4604&amp;mlon=44.3912&amp;zoom=12#map=12/32.4604/44.3912","Maplink1")</f>
        <v>Maplink1</v>
      </c>
      <c r="AT469" s="20" t="str">
        <f aca="false">HYPERLINK("https://www.google.iq/maps/search/+32.4604,44.3912/@32.4604,44.3912,14z?hl=en","Maplink2")</f>
        <v>Maplink2</v>
      </c>
      <c r="AU469" s="20" t="str">
        <f aca="false">HYPERLINK("http://www.bing.com/maps/?lvl=14&amp;sty=h&amp;cp=32.4604~44.3912&amp;sp=point.32.4604_44.3912","Maplink3")</f>
        <v>Maplink3</v>
      </c>
    </row>
    <row r="470" customFormat="false" ht="15" hidden="false" customHeight="true" outlineLevel="0" collapsed="false">
      <c r="A470" s="15" t="n">
        <v>7095</v>
      </c>
      <c r="B470" s="16" t="s">
        <v>16</v>
      </c>
      <c r="C470" s="16" t="s">
        <v>743</v>
      </c>
      <c r="D470" s="16" t="s">
        <v>943</v>
      </c>
      <c r="E470" s="17" t="s">
        <v>97</v>
      </c>
      <c r="F470" s="16" t="n">
        <v>32.45741242</v>
      </c>
      <c r="G470" s="16" t="n">
        <v>44.40546918</v>
      </c>
      <c r="H470" s="18" t="n">
        <v>19</v>
      </c>
      <c r="I470" s="18" t="n">
        <v>114</v>
      </c>
      <c r="J470" s="19" t="n">
        <v>7</v>
      </c>
      <c r="K470" s="19" t="n">
        <v>5</v>
      </c>
      <c r="L470" s="19" t="n">
        <v>1</v>
      </c>
      <c r="M470" s="19"/>
      <c r="N470" s="19"/>
      <c r="O470" s="19"/>
      <c r="P470" s="19"/>
      <c r="Q470" s="19"/>
      <c r="R470" s="19"/>
      <c r="S470" s="19"/>
      <c r="T470" s="19"/>
      <c r="U470" s="19"/>
      <c r="V470" s="19" t="n">
        <v>6</v>
      </c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 t="n">
        <v>19</v>
      </c>
      <c r="AI470" s="19"/>
      <c r="AJ470" s="19"/>
      <c r="AK470" s="19"/>
      <c r="AL470" s="19"/>
      <c r="AM470" s="19" t="n">
        <v>4</v>
      </c>
      <c r="AN470" s="19" t="n">
        <v>8</v>
      </c>
      <c r="AO470" s="19" t="n">
        <v>3</v>
      </c>
      <c r="AP470" s="19" t="n">
        <v>4</v>
      </c>
      <c r="AQ470" s="19"/>
      <c r="AR470" s="19"/>
      <c r="AS470" s="20" t="str">
        <f aca="false">HYPERLINK("http://www.openstreetmap.org/?mlat=32.4574&amp;mlon=44.4055&amp;zoom=12#map=12/32.4574/44.4055","Maplink1")</f>
        <v>Maplink1</v>
      </c>
      <c r="AT470" s="20" t="str">
        <f aca="false">HYPERLINK("https://www.google.iq/maps/search/+32.4574,44.4055/@32.4574,44.4055,14z?hl=en","Maplink2")</f>
        <v>Maplink2</v>
      </c>
      <c r="AU470" s="20" t="str">
        <f aca="false">HYPERLINK("http://www.bing.com/maps/?lvl=14&amp;sty=h&amp;cp=32.4574~44.4055&amp;sp=point.32.4574_44.4055","Maplink3")</f>
        <v>Maplink3</v>
      </c>
    </row>
    <row r="471" customFormat="false" ht="15" hidden="false" customHeight="true" outlineLevel="0" collapsed="false">
      <c r="A471" s="15" t="n">
        <v>23945</v>
      </c>
      <c r="B471" s="16" t="s">
        <v>16</v>
      </c>
      <c r="C471" s="16" t="s">
        <v>743</v>
      </c>
      <c r="D471" s="16" t="s">
        <v>944</v>
      </c>
      <c r="E471" s="17" t="s">
        <v>945</v>
      </c>
      <c r="F471" s="16" t="n">
        <v>32.49625198</v>
      </c>
      <c r="G471" s="16" t="n">
        <v>44.42677103</v>
      </c>
      <c r="H471" s="18" t="n">
        <v>3</v>
      </c>
      <c r="I471" s="18" t="n">
        <v>18</v>
      </c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 t="n">
        <v>3</v>
      </c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 t="n">
        <v>3</v>
      </c>
      <c r="AI471" s="19"/>
      <c r="AJ471" s="19"/>
      <c r="AK471" s="19"/>
      <c r="AL471" s="19"/>
      <c r="AM471" s="19" t="n">
        <v>3</v>
      </c>
      <c r="AN471" s="19"/>
      <c r="AO471" s="19"/>
      <c r="AP471" s="19"/>
      <c r="AQ471" s="19"/>
      <c r="AR471" s="19"/>
      <c r="AS471" s="20" t="str">
        <f aca="false">HYPERLINK("http://www.openstreetmap.org/?mlat=32.4963&amp;mlon=44.4268&amp;zoom=12#map=12/32.4963/44.4268","Maplink1")</f>
        <v>Maplink1</v>
      </c>
      <c r="AT471" s="20" t="str">
        <f aca="false">HYPERLINK("https://www.google.iq/maps/search/+32.4963,44.4268/@32.4963,44.4268,14z?hl=en","Maplink2")</f>
        <v>Maplink2</v>
      </c>
      <c r="AU471" s="20" t="str">
        <f aca="false">HYPERLINK("http://www.bing.com/maps/?lvl=14&amp;sty=h&amp;cp=32.4963~44.4268&amp;sp=point.32.4963_44.4268","Maplink3")</f>
        <v>Maplink3</v>
      </c>
    </row>
    <row r="472" customFormat="false" ht="15" hidden="false" customHeight="true" outlineLevel="0" collapsed="false">
      <c r="A472" s="15" t="n">
        <v>7212</v>
      </c>
      <c r="B472" s="16" t="s">
        <v>16</v>
      </c>
      <c r="C472" s="16" t="s">
        <v>743</v>
      </c>
      <c r="D472" s="16" t="s">
        <v>729</v>
      </c>
      <c r="E472" s="17" t="s">
        <v>946</v>
      </c>
      <c r="F472" s="16" t="n">
        <v>32.46103273</v>
      </c>
      <c r="G472" s="16" t="n">
        <v>44.42865226</v>
      </c>
      <c r="H472" s="18" t="n">
        <v>2</v>
      </c>
      <c r="I472" s="18" t="n">
        <v>12</v>
      </c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 t="n">
        <v>2</v>
      </c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 t="n">
        <v>2</v>
      </c>
      <c r="AI472" s="19"/>
      <c r="AJ472" s="19"/>
      <c r="AK472" s="19"/>
      <c r="AL472" s="19"/>
      <c r="AM472" s="19" t="n">
        <v>2</v>
      </c>
      <c r="AN472" s="19"/>
      <c r="AO472" s="19"/>
      <c r="AP472" s="19"/>
      <c r="AQ472" s="19"/>
      <c r="AR472" s="19"/>
      <c r="AS472" s="20" t="str">
        <f aca="false">HYPERLINK("http://www.openstreetmap.org/?mlat=32.461&amp;mlon=44.4287&amp;zoom=12#map=12/32.461/44.4287","Maplink1")</f>
        <v>Maplink1</v>
      </c>
      <c r="AT472" s="20" t="str">
        <f aca="false">HYPERLINK("https://www.google.iq/maps/search/+32.461,44.4287/@32.461,44.4287,14z?hl=en","Maplink2")</f>
        <v>Maplink2</v>
      </c>
      <c r="AU472" s="20" t="str">
        <f aca="false">HYPERLINK("http://www.bing.com/maps/?lvl=14&amp;sty=h&amp;cp=32.461~44.4287&amp;sp=point.32.461_44.4287","Maplink3")</f>
        <v>Maplink3</v>
      </c>
    </row>
    <row r="473" customFormat="false" ht="15" hidden="false" customHeight="true" outlineLevel="0" collapsed="false">
      <c r="A473" s="15" t="n">
        <v>24515</v>
      </c>
      <c r="B473" s="16" t="s">
        <v>16</v>
      </c>
      <c r="C473" s="16" t="s">
        <v>743</v>
      </c>
      <c r="D473" s="16" t="s">
        <v>947</v>
      </c>
      <c r="E473" s="17" t="s">
        <v>948</v>
      </c>
      <c r="F473" s="16" t="n">
        <v>32.5368908</v>
      </c>
      <c r="G473" s="16" t="n">
        <v>44.33640263</v>
      </c>
      <c r="H473" s="18" t="n">
        <v>45</v>
      </c>
      <c r="I473" s="18" t="n">
        <v>270</v>
      </c>
      <c r="J473" s="19" t="n">
        <v>1</v>
      </c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 t="n">
        <v>44</v>
      </c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 t="n">
        <v>44</v>
      </c>
      <c r="AH473" s="19" t="n">
        <v>1</v>
      </c>
      <c r="AI473" s="19"/>
      <c r="AJ473" s="19"/>
      <c r="AK473" s="19"/>
      <c r="AL473" s="19"/>
      <c r="AM473" s="19" t="n">
        <v>44</v>
      </c>
      <c r="AN473" s="19"/>
      <c r="AO473" s="19"/>
      <c r="AP473" s="19" t="n">
        <v>1</v>
      </c>
      <c r="AQ473" s="19"/>
      <c r="AR473" s="19"/>
      <c r="AS473" s="20" t="str">
        <f aca="false">HYPERLINK("http://www.openstreetmap.org/?mlat=32.5369&amp;mlon=44.3364&amp;zoom=12#map=12/32.5369/44.3364","Maplink1")</f>
        <v>Maplink1</v>
      </c>
      <c r="AT473" s="20" t="str">
        <f aca="false">HYPERLINK("https://www.google.iq/maps/search/+32.5369,44.3364/@32.5369,44.3364,14z?hl=en","Maplink2")</f>
        <v>Maplink2</v>
      </c>
      <c r="AU473" s="20" t="str">
        <f aca="false">HYPERLINK("http://www.bing.com/maps/?lvl=14&amp;sty=h&amp;cp=32.5369~44.3364&amp;sp=point.32.5369_44.3364","Maplink3")</f>
        <v>Maplink3</v>
      </c>
    </row>
    <row r="474" customFormat="false" ht="15" hidden="false" customHeight="true" outlineLevel="0" collapsed="false">
      <c r="A474" s="15" t="n">
        <v>24337</v>
      </c>
      <c r="B474" s="16" t="s">
        <v>16</v>
      </c>
      <c r="C474" s="16" t="s">
        <v>743</v>
      </c>
      <c r="D474" s="16" t="s">
        <v>949</v>
      </c>
      <c r="E474" s="17" t="s">
        <v>950</v>
      </c>
      <c r="F474" s="16" t="n">
        <v>32.44501001</v>
      </c>
      <c r="G474" s="16" t="n">
        <v>44.42580401</v>
      </c>
      <c r="H474" s="18" t="n">
        <v>47</v>
      </c>
      <c r="I474" s="18" t="n">
        <v>282</v>
      </c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 t="n">
        <v>46</v>
      </c>
      <c r="W474" s="19"/>
      <c r="X474" s="19" t="n">
        <v>1</v>
      </c>
      <c r="Y474" s="19"/>
      <c r="Z474" s="19"/>
      <c r="AA474" s="19"/>
      <c r="AB474" s="19"/>
      <c r="AC474" s="19"/>
      <c r="AD474" s="19"/>
      <c r="AE474" s="19"/>
      <c r="AF474" s="19"/>
      <c r="AG474" s="19" t="n">
        <v>13</v>
      </c>
      <c r="AH474" s="19" t="n">
        <v>34</v>
      </c>
      <c r="AI474" s="19"/>
      <c r="AJ474" s="19"/>
      <c r="AK474" s="19"/>
      <c r="AL474" s="19"/>
      <c r="AM474" s="19" t="n">
        <v>45</v>
      </c>
      <c r="AN474" s="19"/>
      <c r="AO474" s="19" t="n">
        <v>1</v>
      </c>
      <c r="AP474" s="19"/>
      <c r="AQ474" s="19"/>
      <c r="AR474" s="19" t="n">
        <v>1</v>
      </c>
      <c r="AS474" s="20" t="str">
        <f aca="false">HYPERLINK("http://www.openstreetmap.org/?mlat=32.445&amp;mlon=44.4258&amp;zoom=12#map=12/32.445/44.4258","Maplink1")</f>
        <v>Maplink1</v>
      </c>
      <c r="AT474" s="20" t="str">
        <f aca="false">HYPERLINK("https://www.google.iq/maps/search/+32.445,44.4258/@32.445,44.4258,14z?hl=en","Maplink2")</f>
        <v>Maplink2</v>
      </c>
      <c r="AU474" s="20" t="str">
        <f aca="false">HYPERLINK("http://www.bing.com/maps/?lvl=14&amp;sty=h&amp;cp=32.445~44.4258&amp;sp=point.32.445_44.4258","Maplink3")</f>
        <v>Maplink3</v>
      </c>
    </row>
    <row r="475" customFormat="false" ht="15" hidden="false" customHeight="true" outlineLevel="0" collapsed="false">
      <c r="A475" s="15" t="n">
        <v>24691</v>
      </c>
      <c r="B475" s="16" t="s">
        <v>16</v>
      </c>
      <c r="C475" s="16" t="s">
        <v>743</v>
      </c>
      <c r="D475" s="16" t="s">
        <v>951</v>
      </c>
      <c r="E475" s="17" t="s">
        <v>952</v>
      </c>
      <c r="F475" s="16" t="n">
        <v>32.48540094</v>
      </c>
      <c r="G475" s="16" t="n">
        <v>44.43116474</v>
      </c>
      <c r="H475" s="18" t="n">
        <v>1</v>
      </c>
      <c r="I475" s="18" t="n">
        <v>6</v>
      </c>
      <c r="J475" s="19" t="n">
        <v>1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 t="n">
        <v>1</v>
      </c>
      <c r="AI475" s="19"/>
      <c r="AJ475" s="19"/>
      <c r="AK475" s="19"/>
      <c r="AL475" s="19"/>
      <c r="AM475" s="19"/>
      <c r="AN475" s="19"/>
      <c r="AO475" s="19" t="n">
        <v>1</v>
      </c>
      <c r="AP475" s="19"/>
      <c r="AQ475" s="19"/>
      <c r="AR475" s="19"/>
      <c r="AS475" s="20" t="str">
        <f aca="false">HYPERLINK("http://www.openstreetmap.org/?mlat=32.4854&amp;mlon=44.4312&amp;zoom=12#map=12/32.4854/44.4312","Maplink1")</f>
        <v>Maplink1</v>
      </c>
      <c r="AT475" s="20" t="str">
        <f aca="false">HYPERLINK("https://www.google.iq/maps/search/+32.4854,44.4312/@32.4854,44.4312,14z?hl=en","Maplink2")</f>
        <v>Maplink2</v>
      </c>
      <c r="AU475" s="20" t="str">
        <f aca="false">HYPERLINK("http://www.bing.com/maps/?lvl=14&amp;sty=h&amp;cp=32.4854~44.4312&amp;sp=point.32.4854_44.4312","Maplink3")</f>
        <v>Maplink3</v>
      </c>
    </row>
    <row r="476" customFormat="false" ht="15" hidden="false" customHeight="true" outlineLevel="0" collapsed="false">
      <c r="A476" s="15" t="n">
        <v>25125</v>
      </c>
      <c r="B476" s="16" t="s">
        <v>16</v>
      </c>
      <c r="C476" s="16" t="s">
        <v>743</v>
      </c>
      <c r="D476" s="16" t="s">
        <v>953</v>
      </c>
      <c r="E476" s="17" t="s">
        <v>954</v>
      </c>
      <c r="F476" s="16" t="n">
        <v>32.49463964</v>
      </c>
      <c r="G476" s="16" t="n">
        <v>44.41120592</v>
      </c>
      <c r="H476" s="18" t="n">
        <v>15</v>
      </c>
      <c r="I476" s="18" t="n">
        <v>90</v>
      </c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 t="n">
        <v>15</v>
      </c>
      <c r="W476" s="19"/>
      <c r="X476" s="19"/>
      <c r="Y476" s="19"/>
      <c r="Z476" s="19"/>
      <c r="AA476" s="19"/>
      <c r="AB476" s="19"/>
      <c r="AC476" s="19" t="n">
        <v>15</v>
      </c>
      <c r="AD476" s="19"/>
      <c r="AE476" s="19"/>
      <c r="AF476" s="19"/>
      <c r="AG476" s="19"/>
      <c r="AH476" s="19"/>
      <c r="AI476" s="19"/>
      <c r="AJ476" s="19"/>
      <c r="AK476" s="19"/>
      <c r="AL476" s="19"/>
      <c r="AM476" s="19" t="n">
        <v>11</v>
      </c>
      <c r="AN476" s="19" t="n">
        <v>4</v>
      </c>
      <c r="AO476" s="19"/>
      <c r="AP476" s="19"/>
      <c r="AQ476" s="19"/>
      <c r="AR476" s="19"/>
      <c r="AS476" s="20" t="str">
        <f aca="false">HYPERLINK("http://www.openstreetmap.org/?mlat=32.4946&amp;mlon=44.4112&amp;zoom=12#map=12/32.4946/44.4112","Maplink1")</f>
        <v>Maplink1</v>
      </c>
      <c r="AT476" s="20" t="str">
        <f aca="false">HYPERLINK("https://www.google.iq/maps/search/+32.4946,44.4112/@32.4946,44.4112,14z?hl=en","Maplink2")</f>
        <v>Maplink2</v>
      </c>
      <c r="AU476" s="20" t="str">
        <f aca="false">HYPERLINK("http://www.bing.com/maps/?lvl=14&amp;sty=h&amp;cp=32.4946~44.4112&amp;sp=point.32.4946_44.4112","Maplink3")</f>
        <v>Maplink3</v>
      </c>
    </row>
    <row r="477" customFormat="false" ht="15" hidden="false" customHeight="true" outlineLevel="0" collapsed="false">
      <c r="A477" s="15" t="n">
        <v>25614</v>
      </c>
      <c r="B477" s="16" t="s">
        <v>16</v>
      </c>
      <c r="C477" s="16" t="s">
        <v>743</v>
      </c>
      <c r="D477" s="16" t="s">
        <v>955</v>
      </c>
      <c r="E477" s="17" t="s">
        <v>956</v>
      </c>
      <c r="F477" s="16" t="n">
        <v>32.49862942</v>
      </c>
      <c r="G477" s="16" t="n">
        <v>44.44954801</v>
      </c>
      <c r="H477" s="18" t="n">
        <v>38</v>
      </c>
      <c r="I477" s="18" t="n">
        <v>228</v>
      </c>
      <c r="J477" s="19" t="n">
        <v>1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 t="n">
        <v>37</v>
      </c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 t="n">
        <v>38</v>
      </c>
      <c r="AI477" s="19"/>
      <c r="AJ477" s="19"/>
      <c r="AK477" s="19"/>
      <c r="AL477" s="19"/>
      <c r="AM477" s="19" t="n">
        <v>37</v>
      </c>
      <c r="AN477" s="19"/>
      <c r="AO477" s="19" t="n">
        <v>1</v>
      </c>
      <c r="AP477" s="19"/>
      <c r="AQ477" s="19"/>
      <c r="AR477" s="19"/>
      <c r="AS477" s="20" t="str">
        <f aca="false">HYPERLINK("http://www.openstreetmap.org/?mlat=32.4986&amp;mlon=44.4495&amp;zoom=12#map=12/32.4986/44.4495","Maplink1")</f>
        <v>Maplink1</v>
      </c>
      <c r="AT477" s="20" t="str">
        <f aca="false">HYPERLINK("https://www.google.iq/maps/search/+32.4986,44.4495/@32.4986,44.4495,14z?hl=en","Maplink2")</f>
        <v>Maplink2</v>
      </c>
      <c r="AU477" s="20" t="str">
        <f aca="false">HYPERLINK("http://www.bing.com/maps/?lvl=14&amp;sty=h&amp;cp=32.4986~44.4495&amp;sp=point.32.4986_44.4495","Maplink3")</f>
        <v>Maplink3</v>
      </c>
    </row>
    <row r="478" customFormat="false" ht="15" hidden="false" customHeight="true" outlineLevel="0" collapsed="false">
      <c r="A478" s="15" t="n">
        <v>7176</v>
      </c>
      <c r="B478" s="16" t="s">
        <v>16</v>
      </c>
      <c r="C478" s="16" t="s">
        <v>743</v>
      </c>
      <c r="D478" s="16" t="s">
        <v>957</v>
      </c>
      <c r="E478" s="17" t="s">
        <v>958</v>
      </c>
      <c r="F478" s="16" t="n">
        <v>32.45315303</v>
      </c>
      <c r="G478" s="16" t="n">
        <v>44.39141214</v>
      </c>
      <c r="H478" s="18" t="n">
        <v>15</v>
      </c>
      <c r="I478" s="18" t="n">
        <v>90</v>
      </c>
      <c r="J478" s="19" t="n">
        <v>3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 t="n">
        <v>11</v>
      </c>
      <c r="W478" s="19"/>
      <c r="X478" s="19" t="n">
        <v>1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 t="n">
        <v>15</v>
      </c>
      <c r="AI478" s="19"/>
      <c r="AJ478" s="19"/>
      <c r="AK478" s="19"/>
      <c r="AL478" s="19"/>
      <c r="AM478" s="19" t="n">
        <v>7</v>
      </c>
      <c r="AN478" s="19" t="n">
        <v>5</v>
      </c>
      <c r="AO478" s="19" t="n">
        <v>3</v>
      </c>
      <c r="AP478" s="19"/>
      <c r="AQ478" s="19"/>
      <c r="AR478" s="19"/>
      <c r="AS478" s="20" t="str">
        <f aca="false">HYPERLINK("http://www.openstreetmap.org/?mlat=32.4532&amp;mlon=44.3914&amp;zoom=12#map=12/32.4532/44.3914","Maplink1")</f>
        <v>Maplink1</v>
      </c>
      <c r="AT478" s="20" t="str">
        <f aca="false">HYPERLINK("https://www.google.iq/maps/search/+32.4532,44.3914/@32.4532,44.3914,14z?hl=en","Maplink2")</f>
        <v>Maplink2</v>
      </c>
      <c r="AU478" s="20" t="str">
        <f aca="false">HYPERLINK("http://www.bing.com/maps/?lvl=14&amp;sty=h&amp;cp=32.4532~44.3914&amp;sp=point.32.4532_44.3914","Maplink3")</f>
        <v>Maplink3</v>
      </c>
    </row>
    <row r="479" customFormat="false" ht="15" hidden="false" customHeight="true" outlineLevel="0" collapsed="false">
      <c r="A479" s="15" t="n">
        <v>25328</v>
      </c>
      <c r="B479" s="16" t="s">
        <v>16</v>
      </c>
      <c r="C479" s="16" t="s">
        <v>743</v>
      </c>
      <c r="D479" s="16" t="s">
        <v>959</v>
      </c>
      <c r="E479" s="17" t="s">
        <v>674</v>
      </c>
      <c r="F479" s="16" t="n">
        <v>32.44679154</v>
      </c>
      <c r="G479" s="16" t="n">
        <v>44.4014146</v>
      </c>
      <c r="H479" s="18" t="n">
        <v>5</v>
      </c>
      <c r="I479" s="18" t="n">
        <v>30</v>
      </c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 t="n">
        <v>5</v>
      </c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 t="n">
        <v>5</v>
      </c>
      <c r="AI479" s="19"/>
      <c r="AJ479" s="19"/>
      <c r="AK479" s="19"/>
      <c r="AL479" s="19"/>
      <c r="AM479" s="19" t="n">
        <v>5</v>
      </c>
      <c r="AN479" s="19"/>
      <c r="AO479" s="19"/>
      <c r="AP479" s="19"/>
      <c r="AQ479" s="19"/>
      <c r="AR479" s="19"/>
      <c r="AS479" s="20" t="str">
        <f aca="false">HYPERLINK("http://www.openstreetmap.org/?mlat=32.4468&amp;mlon=44.4014&amp;zoom=12#map=12/32.4468/44.4014","Maplink1")</f>
        <v>Maplink1</v>
      </c>
      <c r="AT479" s="20" t="str">
        <f aca="false">HYPERLINK("https://www.google.iq/maps/search/+32.4468,44.4014/@32.4468,44.4014,14z?hl=en","Maplink2")</f>
        <v>Maplink2</v>
      </c>
      <c r="AU479" s="20" t="str">
        <f aca="false">HYPERLINK("http://www.bing.com/maps/?lvl=14&amp;sty=h&amp;cp=32.4468~44.4014&amp;sp=point.32.4468_44.4014","Maplink3")</f>
        <v>Maplink3</v>
      </c>
    </row>
    <row r="480" customFormat="false" ht="15" hidden="false" customHeight="true" outlineLevel="0" collapsed="false">
      <c r="A480" s="15" t="n">
        <v>25769</v>
      </c>
      <c r="B480" s="16" t="s">
        <v>16</v>
      </c>
      <c r="C480" s="16" t="s">
        <v>743</v>
      </c>
      <c r="D480" s="16" t="s">
        <v>960</v>
      </c>
      <c r="E480" s="17" t="s">
        <v>961</v>
      </c>
      <c r="F480" s="16" t="n">
        <v>32.47951852</v>
      </c>
      <c r="G480" s="16" t="n">
        <v>44.4579134</v>
      </c>
      <c r="H480" s="18" t="n">
        <v>8</v>
      </c>
      <c r="I480" s="18" t="n">
        <v>48</v>
      </c>
      <c r="J480" s="19" t="n">
        <v>6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 t="n">
        <v>2</v>
      </c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 t="n">
        <v>8</v>
      </c>
      <c r="AI480" s="19"/>
      <c r="AJ480" s="19"/>
      <c r="AK480" s="19"/>
      <c r="AL480" s="19"/>
      <c r="AM480" s="19" t="n">
        <v>2</v>
      </c>
      <c r="AN480" s="19"/>
      <c r="AO480" s="19" t="n">
        <v>6</v>
      </c>
      <c r="AP480" s="19"/>
      <c r="AQ480" s="19"/>
      <c r="AR480" s="19"/>
      <c r="AS480" s="20" t="str">
        <f aca="false">HYPERLINK("http://www.openstreetmap.org/?mlat=32.4795&amp;mlon=44.4579&amp;zoom=12#map=12/32.4795/44.4579","Maplink1")</f>
        <v>Maplink1</v>
      </c>
      <c r="AT480" s="20" t="str">
        <f aca="false">HYPERLINK("https://www.google.iq/maps/search/+32.4795,44.4579/@32.4795,44.4579,14z?hl=en","Maplink2")</f>
        <v>Maplink2</v>
      </c>
      <c r="AU480" s="20" t="str">
        <f aca="false">HYPERLINK("http://www.bing.com/maps/?lvl=14&amp;sty=h&amp;cp=32.4795~44.4579&amp;sp=point.32.4795_44.4579","Maplink3")</f>
        <v>Maplink3</v>
      </c>
    </row>
    <row r="481" customFormat="false" ht="15" hidden="false" customHeight="true" outlineLevel="0" collapsed="false">
      <c r="A481" s="15" t="n">
        <v>25611</v>
      </c>
      <c r="B481" s="16" t="s">
        <v>16</v>
      </c>
      <c r="C481" s="16" t="s">
        <v>743</v>
      </c>
      <c r="D481" s="16" t="s">
        <v>962</v>
      </c>
      <c r="E481" s="17" t="s">
        <v>465</v>
      </c>
      <c r="F481" s="16" t="n">
        <v>32.44145768</v>
      </c>
      <c r="G481" s="16" t="n">
        <v>44.42226291</v>
      </c>
      <c r="H481" s="18" t="n">
        <v>6</v>
      </c>
      <c r="I481" s="18" t="n">
        <v>36</v>
      </c>
      <c r="J481" s="19" t="n">
        <v>2</v>
      </c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 t="n">
        <v>3</v>
      </c>
      <c r="W481" s="19"/>
      <c r="X481" s="19" t="n">
        <v>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 t="n">
        <v>6</v>
      </c>
      <c r="AI481" s="19"/>
      <c r="AJ481" s="19"/>
      <c r="AK481" s="19"/>
      <c r="AL481" s="19"/>
      <c r="AM481" s="19" t="n">
        <v>4</v>
      </c>
      <c r="AN481" s="19"/>
      <c r="AO481" s="19" t="n">
        <v>2</v>
      </c>
      <c r="AP481" s="19"/>
      <c r="AQ481" s="19"/>
      <c r="AR481" s="19"/>
      <c r="AS481" s="20" t="str">
        <f aca="false">HYPERLINK("http://www.openstreetmap.org/?mlat=32.4415&amp;mlon=44.4223&amp;zoom=12#map=12/32.4415/44.4223","Maplink1")</f>
        <v>Maplink1</v>
      </c>
      <c r="AT481" s="20" t="str">
        <f aca="false">HYPERLINK("https://www.google.iq/maps/search/+32.4415,44.4223/@32.4415,44.4223,14z?hl=en","Maplink2")</f>
        <v>Maplink2</v>
      </c>
      <c r="AU481" s="20" t="str">
        <f aca="false">HYPERLINK("http://www.bing.com/maps/?lvl=14&amp;sty=h&amp;cp=32.4415~44.4223&amp;sp=point.32.4415_44.4223","Maplink3")</f>
        <v>Maplink3</v>
      </c>
    </row>
    <row r="482" customFormat="false" ht="15" hidden="false" customHeight="true" outlineLevel="0" collapsed="false">
      <c r="A482" s="15" t="n">
        <v>25770</v>
      </c>
      <c r="B482" s="16" t="s">
        <v>16</v>
      </c>
      <c r="C482" s="16" t="s">
        <v>743</v>
      </c>
      <c r="D482" s="16" t="s">
        <v>963</v>
      </c>
      <c r="E482" s="17" t="s">
        <v>964</v>
      </c>
      <c r="F482" s="16" t="n">
        <v>32.48052418</v>
      </c>
      <c r="G482" s="16" t="n">
        <v>44.45854012</v>
      </c>
      <c r="H482" s="18" t="n">
        <v>2</v>
      </c>
      <c r="I482" s="18" t="n">
        <v>12</v>
      </c>
      <c r="J482" s="19" t="n">
        <v>1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 t="n">
        <v>1</v>
      </c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 t="n">
        <v>2</v>
      </c>
      <c r="AI482" s="19"/>
      <c r="AJ482" s="19"/>
      <c r="AK482" s="19"/>
      <c r="AL482" s="19"/>
      <c r="AM482" s="19" t="n">
        <v>1</v>
      </c>
      <c r="AN482" s="19"/>
      <c r="AO482" s="19"/>
      <c r="AP482" s="19" t="n">
        <v>1</v>
      </c>
      <c r="AQ482" s="19"/>
      <c r="AR482" s="19"/>
      <c r="AS482" s="20" t="str">
        <f aca="false">HYPERLINK("http://www.openstreetmap.org/?mlat=32.4805&amp;mlon=44.4585&amp;zoom=12#map=12/32.4805/44.4585","Maplink1")</f>
        <v>Maplink1</v>
      </c>
      <c r="AT482" s="20" t="str">
        <f aca="false">HYPERLINK("https://www.google.iq/maps/search/+32.4805,44.4585/@32.4805,44.4585,14z?hl=en","Maplink2")</f>
        <v>Maplink2</v>
      </c>
      <c r="AU482" s="20" t="str">
        <f aca="false">HYPERLINK("http://www.bing.com/maps/?lvl=14&amp;sty=h&amp;cp=32.4805~44.4585&amp;sp=point.32.4805_44.4585","Maplink3")</f>
        <v>Maplink3</v>
      </c>
    </row>
    <row r="483" customFormat="false" ht="15" hidden="false" customHeight="true" outlineLevel="0" collapsed="false">
      <c r="A483" s="15" t="n">
        <v>25606</v>
      </c>
      <c r="B483" s="16" t="s">
        <v>16</v>
      </c>
      <c r="C483" s="16" t="s">
        <v>743</v>
      </c>
      <c r="D483" s="16" t="s">
        <v>965</v>
      </c>
      <c r="E483" s="17" t="s">
        <v>966</v>
      </c>
      <c r="F483" s="16" t="n">
        <v>32.45572544</v>
      </c>
      <c r="G483" s="16" t="n">
        <v>44.40569423</v>
      </c>
      <c r="H483" s="18" t="n">
        <v>25</v>
      </c>
      <c r="I483" s="18" t="n">
        <v>150</v>
      </c>
      <c r="J483" s="19" t="n">
        <v>5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 t="n">
        <v>20</v>
      </c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 t="n">
        <v>25</v>
      </c>
      <c r="AI483" s="19"/>
      <c r="AJ483" s="19"/>
      <c r="AK483" s="19"/>
      <c r="AL483" s="19"/>
      <c r="AM483" s="19" t="n">
        <v>19</v>
      </c>
      <c r="AN483" s="19" t="n">
        <v>1</v>
      </c>
      <c r="AO483" s="19" t="n">
        <v>1</v>
      </c>
      <c r="AP483" s="19" t="n">
        <v>4</v>
      </c>
      <c r="AQ483" s="19"/>
      <c r="AR483" s="19"/>
      <c r="AS483" s="20" t="str">
        <f aca="false">HYPERLINK("http://www.openstreetmap.org/?mlat=32.4557&amp;mlon=44.4057&amp;zoom=12#map=12/32.4557/44.4057","Maplink1")</f>
        <v>Maplink1</v>
      </c>
      <c r="AT483" s="20" t="str">
        <f aca="false">HYPERLINK("https://www.google.iq/maps/search/+32.4557,44.4057/@32.4557,44.4057,14z?hl=en","Maplink2")</f>
        <v>Maplink2</v>
      </c>
      <c r="AU483" s="20" t="str">
        <f aca="false">HYPERLINK("http://www.bing.com/maps/?lvl=14&amp;sty=h&amp;cp=32.4557~44.4057&amp;sp=point.32.4557_44.4057","Maplink3")</f>
        <v>Maplink3</v>
      </c>
    </row>
    <row r="484" customFormat="false" ht="15" hidden="false" customHeight="true" outlineLevel="0" collapsed="false">
      <c r="A484" s="15" t="n">
        <v>25612</v>
      </c>
      <c r="B484" s="16" t="s">
        <v>16</v>
      </c>
      <c r="C484" s="16" t="s">
        <v>743</v>
      </c>
      <c r="D484" s="16" t="s">
        <v>967</v>
      </c>
      <c r="E484" s="17" t="s">
        <v>968</v>
      </c>
      <c r="F484" s="16" t="n">
        <v>32.47161715</v>
      </c>
      <c r="G484" s="16" t="n">
        <v>44.41467184</v>
      </c>
      <c r="H484" s="18" t="n">
        <v>8</v>
      </c>
      <c r="I484" s="18" t="n">
        <v>48</v>
      </c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 t="n">
        <v>8</v>
      </c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 t="n">
        <v>8</v>
      </c>
      <c r="AK484" s="19"/>
      <c r="AL484" s="19"/>
      <c r="AM484" s="19" t="n">
        <v>8</v>
      </c>
      <c r="AN484" s="19"/>
      <c r="AO484" s="19"/>
      <c r="AP484" s="19"/>
      <c r="AQ484" s="19"/>
      <c r="AR484" s="19"/>
      <c r="AS484" s="20" t="str">
        <f aca="false">HYPERLINK("http://www.openstreetmap.org/?mlat=32.4716&amp;mlon=44.4147&amp;zoom=12#map=12/32.4716/44.4147","Maplink1")</f>
        <v>Maplink1</v>
      </c>
      <c r="AT484" s="20" t="str">
        <f aca="false">HYPERLINK("https://www.google.iq/maps/search/+32.4716,44.4147/@32.4716,44.4147,14z?hl=en","Maplink2")</f>
        <v>Maplink2</v>
      </c>
      <c r="AU484" s="20" t="str">
        <f aca="false">HYPERLINK("http://www.bing.com/maps/?lvl=14&amp;sty=h&amp;cp=32.4716~44.4147&amp;sp=point.32.4716_44.4147","Maplink3")</f>
        <v>Maplink3</v>
      </c>
    </row>
    <row r="485" customFormat="false" ht="15" hidden="false" customHeight="true" outlineLevel="0" collapsed="false">
      <c r="A485" s="15" t="n">
        <v>25608</v>
      </c>
      <c r="B485" s="16" t="s">
        <v>16</v>
      </c>
      <c r="C485" s="16" t="s">
        <v>743</v>
      </c>
      <c r="D485" s="16" t="s">
        <v>969</v>
      </c>
      <c r="E485" s="17" t="s">
        <v>970</v>
      </c>
      <c r="F485" s="16" t="n">
        <v>32.44430405</v>
      </c>
      <c r="G485" s="16" t="n">
        <v>44.42188798</v>
      </c>
      <c r="H485" s="18" t="n">
        <v>8</v>
      </c>
      <c r="I485" s="18" t="n">
        <v>48</v>
      </c>
      <c r="J485" s="19" t="n">
        <v>1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 t="n">
        <v>7</v>
      </c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 t="n">
        <v>8</v>
      </c>
      <c r="AI485" s="19"/>
      <c r="AJ485" s="19"/>
      <c r="AK485" s="19"/>
      <c r="AL485" s="19"/>
      <c r="AM485" s="19" t="n">
        <v>7</v>
      </c>
      <c r="AN485" s="19"/>
      <c r="AO485" s="19" t="n">
        <v>1</v>
      </c>
      <c r="AP485" s="19"/>
      <c r="AQ485" s="19"/>
      <c r="AR485" s="19"/>
      <c r="AS485" s="20" t="str">
        <f aca="false">HYPERLINK("http://www.openstreetmap.org/?mlat=32.4443&amp;mlon=44.4219&amp;zoom=12#map=12/32.4443/44.4219","Maplink1")</f>
        <v>Maplink1</v>
      </c>
      <c r="AT485" s="20" t="str">
        <f aca="false">HYPERLINK("https://www.google.iq/maps/search/+32.4443,44.4219/@32.4443,44.4219,14z?hl=en","Maplink2")</f>
        <v>Maplink2</v>
      </c>
      <c r="AU485" s="20" t="str">
        <f aca="false">HYPERLINK("http://www.bing.com/maps/?lvl=14&amp;sty=h&amp;cp=32.4443~44.4219&amp;sp=point.32.4443_44.4219","Maplink3")</f>
        <v>Maplink3</v>
      </c>
    </row>
    <row r="486" customFormat="false" ht="15" hidden="false" customHeight="true" outlineLevel="0" collapsed="false">
      <c r="A486" s="15" t="n">
        <v>25828</v>
      </c>
      <c r="B486" s="16" t="s">
        <v>16</v>
      </c>
      <c r="C486" s="16" t="s">
        <v>743</v>
      </c>
      <c r="D486" s="16" t="s">
        <v>971</v>
      </c>
      <c r="E486" s="17" t="s">
        <v>972</v>
      </c>
      <c r="F486" s="16" t="n">
        <v>32.4415039</v>
      </c>
      <c r="G486" s="16" t="n">
        <v>44.42111207</v>
      </c>
      <c r="H486" s="18" t="n">
        <v>8</v>
      </c>
      <c r="I486" s="18" t="n">
        <v>48</v>
      </c>
      <c r="J486" s="19" t="n">
        <v>2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 t="n">
        <v>6</v>
      </c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 t="n">
        <v>8</v>
      </c>
      <c r="AI486" s="19"/>
      <c r="AJ486" s="19"/>
      <c r="AK486" s="19"/>
      <c r="AL486" s="19"/>
      <c r="AM486" s="19" t="n">
        <v>6</v>
      </c>
      <c r="AN486" s="19"/>
      <c r="AO486" s="19" t="n">
        <v>2</v>
      </c>
      <c r="AP486" s="19"/>
      <c r="AQ486" s="19"/>
      <c r="AR486" s="19"/>
      <c r="AS486" s="20" t="str">
        <f aca="false">HYPERLINK("http://www.openstreetmap.org/?mlat=32.4415&amp;mlon=44.4211&amp;zoom=12#map=12/32.4415/44.4211","Maplink1")</f>
        <v>Maplink1</v>
      </c>
      <c r="AT486" s="20" t="str">
        <f aca="false">HYPERLINK("https://www.google.iq/maps/search/+32.4415,44.4211/@32.4415,44.4211,14z?hl=en","Maplink2")</f>
        <v>Maplink2</v>
      </c>
      <c r="AU486" s="20" t="str">
        <f aca="false">HYPERLINK("http://www.bing.com/maps/?lvl=14&amp;sty=h&amp;cp=32.4415~44.4211&amp;sp=point.32.4415_44.4211","Maplink3")</f>
        <v>Maplink3</v>
      </c>
    </row>
    <row r="487" customFormat="false" ht="15" hidden="false" customHeight="true" outlineLevel="0" collapsed="false">
      <c r="A487" s="15" t="n">
        <v>24275</v>
      </c>
      <c r="B487" s="16" t="s">
        <v>16</v>
      </c>
      <c r="C487" s="16" t="s">
        <v>743</v>
      </c>
      <c r="D487" s="16" t="s">
        <v>973</v>
      </c>
      <c r="E487" s="17" t="s">
        <v>974</v>
      </c>
      <c r="F487" s="16" t="n">
        <v>32.45410488</v>
      </c>
      <c r="G487" s="16" t="n">
        <v>44.43024407</v>
      </c>
      <c r="H487" s="18" t="n">
        <v>22</v>
      </c>
      <c r="I487" s="18" t="n">
        <v>132</v>
      </c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 t="n">
        <v>22</v>
      </c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 t="n">
        <v>22</v>
      </c>
      <c r="AI487" s="19"/>
      <c r="AJ487" s="19"/>
      <c r="AK487" s="19"/>
      <c r="AL487" s="19"/>
      <c r="AM487" s="19" t="n">
        <v>22</v>
      </c>
      <c r="AN487" s="19"/>
      <c r="AO487" s="19"/>
      <c r="AP487" s="19"/>
      <c r="AQ487" s="19"/>
      <c r="AR487" s="19"/>
      <c r="AS487" s="20" t="str">
        <f aca="false">HYPERLINK("http://www.openstreetmap.org/?mlat=32.4541&amp;mlon=44.4302&amp;zoom=12#map=12/32.4541/44.4302","Maplink1")</f>
        <v>Maplink1</v>
      </c>
      <c r="AT487" s="20" t="str">
        <f aca="false">HYPERLINK("https://www.google.iq/maps/search/+32.4541,44.4302/@32.4541,44.4302,14z?hl=en","Maplink2")</f>
        <v>Maplink2</v>
      </c>
      <c r="AU487" s="20" t="str">
        <f aca="false">HYPERLINK("http://www.bing.com/maps/?lvl=14&amp;sty=h&amp;cp=32.4541~44.4302&amp;sp=point.32.4541_44.4302","Maplink3")</f>
        <v>Maplink3</v>
      </c>
    </row>
    <row r="488" customFormat="false" ht="15" hidden="false" customHeight="true" outlineLevel="0" collapsed="false">
      <c r="A488" s="15" t="n">
        <v>23951</v>
      </c>
      <c r="B488" s="16" t="s">
        <v>16</v>
      </c>
      <c r="C488" s="16" t="s">
        <v>743</v>
      </c>
      <c r="D488" s="16" t="s">
        <v>975</v>
      </c>
      <c r="E488" s="17" t="s">
        <v>976</v>
      </c>
      <c r="F488" s="16" t="n">
        <v>32.47500075</v>
      </c>
      <c r="G488" s="16" t="n">
        <v>44.44090141</v>
      </c>
      <c r="H488" s="18" t="n">
        <v>120</v>
      </c>
      <c r="I488" s="18" t="n">
        <v>720</v>
      </c>
      <c r="J488" s="19" t="n">
        <v>70</v>
      </c>
      <c r="K488" s="19"/>
      <c r="L488" s="19"/>
      <c r="M488" s="19"/>
      <c r="N488" s="19"/>
      <c r="O488" s="19"/>
      <c r="P488" s="19"/>
      <c r="Q488" s="19"/>
      <c r="R488" s="19" t="n">
        <v>1</v>
      </c>
      <c r="S488" s="19"/>
      <c r="T488" s="19"/>
      <c r="U488" s="19"/>
      <c r="V488" s="19" t="n">
        <v>46</v>
      </c>
      <c r="W488" s="19"/>
      <c r="X488" s="19" t="n">
        <v>3</v>
      </c>
      <c r="Y488" s="19"/>
      <c r="Z488" s="19"/>
      <c r="AA488" s="19"/>
      <c r="AB488" s="19"/>
      <c r="AC488" s="19" t="n">
        <v>29</v>
      </c>
      <c r="AD488" s="19"/>
      <c r="AE488" s="19"/>
      <c r="AF488" s="19"/>
      <c r="AG488" s="19"/>
      <c r="AH488" s="19" t="n">
        <v>91</v>
      </c>
      <c r="AI488" s="19"/>
      <c r="AJ488" s="19"/>
      <c r="AK488" s="19"/>
      <c r="AL488" s="19" t="n">
        <v>1</v>
      </c>
      <c r="AM488" s="19" t="n">
        <v>16</v>
      </c>
      <c r="AN488" s="19" t="n">
        <v>32</v>
      </c>
      <c r="AO488" s="19" t="n">
        <v>50</v>
      </c>
      <c r="AP488" s="19" t="n">
        <v>21</v>
      </c>
      <c r="AQ488" s="19"/>
      <c r="AR488" s="19"/>
      <c r="AS488" s="20" t="str">
        <f aca="false">HYPERLINK("http://www.openstreetmap.org/?mlat=32.475&amp;mlon=44.4409&amp;zoom=12#map=12/32.475/44.4409","Maplink1")</f>
        <v>Maplink1</v>
      </c>
      <c r="AT488" s="20" t="str">
        <f aca="false">HYPERLINK("https://www.google.iq/maps/search/+32.475,44.4409/@32.475,44.4409,14z?hl=en","Maplink2")</f>
        <v>Maplink2</v>
      </c>
      <c r="AU488" s="20" t="str">
        <f aca="false">HYPERLINK("http://www.bing.com/maps/?lvl=14&amp;sty=h&amp;cp=32.475~44.4409&amp;sp=point.32.475_44.4409","Maplink3")</f>
        <v>Maplink3</v>
      </c>
    </row>
    <row r="489" customFormat="false" ht="15" hidden="false" customHeight="true" outlineLevel="0" collapsed="false">
      <c r="A489" s="15" t="n">
        <v>24454</v>
      </c>
      <c r="B489" s="16" t="s">
        <v>16</v>
      </c>
      <c r="C489" s="16" t="s">
        <v>743</v>
      </c>
      <c r="D489" s="16" t="s">
        <v>977</v>
      </c>
      <c r="E489" s="17" t="s">
        <v>978</v>
      </c>
      <c r="F489" s="16" t="n">
        <v>32.51064513</v>
      </c>
      <c r="G489" s="16" t="n">
        <v>44.39743102</v>
      </c>
      <c r="H489" s="18" t="n">
        <v>30</v>
      </c>
      <c r="I489" s="18" t="n">
        <v>180</v>
      </c>
      <c r="J489" s="19" t="n">
        <v>2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 t="n">
        <v>28</v>
      </c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 t="n">
        <v>9</v>
      </c>
      <c r="AH489" s="19" t="n">
        <v>21</v>
      </c>
      <c r="AI489" s="19"/>
      <c r="AJ489" s="19"/>
      <c r="AK489" s="19"/>
      <c r="AL489" s="19"/>
      <c r="AM489" s="19" t="n">
        <v>28</v>
      </c>
      <c r="AN489" s="19"/>
      <c r="AO489" s="19" t="n">
        <v>2</v>
      </c>
      <c r="AP489" s="19"/>
      <c r="AQ489" s="19"/>
      <c r="AR489" s="19"/>
      <c r="AS489" s="20" t="str">
        <f aca="false">HYPERLINK("http://www.openstreetmap.org/?mlat=32.5106&amp;mlon=44.3974&amp;zoom=12#map=12/32.5106/44.3974","Maplink1")</f>
        <v>Maplink1</v>
      </c>
      <c r="AT489" s="20" t="str">
        <f aca="false">HYPERLINK("https://www.google.iq/maps/search/+32.5106,44.3974/@32.5106,44.3974,14z?hl=en","Maplink2")</f>
        <v>Maplink2</v>
      </c>
      <c r="AU489" s="20" t="str">
        <f aca="false">HYPERLINK("http://www.bing.com/maps/?lvl=14&amp;sty=h&amp;cp=32.5106~44.3974&amp;sp=point.32.5106_44.3974","Maplink3")</f>
        <v>Maplink3</v>
      </c>
    </row>
    <row r="490" customFormat="false" ht="15" hidden="false" customHeight="true" outlineLevel="0" collapsed="false">
      <c r="A490" s="15" t="n">
        <v>27373</v>
      </c>
      <c r="B490" s="16" t="s">
        <v>16</v>
      </c>
      <c r="C490" s="16" t="s">
        <v>743</v>
      </c>
      <c r="D490" s="16" t="s">
        <v>979</v>
      </c>
      <c r="E490" s="17" t="s">
        <v>980</v>
      </c>
      <c r="F490" s="16" t="n">
        <v>32.51031556</v>
      </c>
      <c r="G490" s="16" t="n">
        <v>44.40046166</v>
      </c>
      <c r="H490" s="18" t="n">
        <v>17</v>
      </c>
      <c r="I490" s="18" t="n">
        <v>102</v>
      </c>
      <c r="J490" s="19" t="n">
        <v>1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 t="n">
        <v>16</v>
      </c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 t="n">
        <v>17</v>
      </c>
      <c r="AI490" s="19"/>
      <c r="AJ490" s="19"/>
      <c r="AK490" s="19"/>
      <c r="AL490" s="19"/>
      <c r="AM490" s="19" t="n">
        <v>16</v>
      </c>
      <c r="AN490" s="19"/>
      <c r="AO490" s="19" t="n">
        <v>1</v>
      </c>
      <c r="AP490" s="19"/>
      <c r="AQ490" s="19"/>
      <c r="AR490" s="19"/>
      <c r="AS490" s="20" t="str">
        <f aca="false">HYPERLINK("http://www.openstreetmap.org/?mlat=32.5103&amp;mlon=44.4005&amp;zoom=12#map=12/32.5103/44.4005","Maplink1")</f>
        <v>Maplink1</v>
      </c>
      <c r="AT490" s="20" t="str">
        <f aca="false">HYPERLINK("https://www.google.iq/maps/search/+32.5103,44.4005/@32.5103,44.4005,14z?hl=en","Maplink2")</f>
        <v>Maplink2</v>
      </c>
      <c r="AU490" s="20" t="str">
        <f aca="false">HYPERLINK("http://www.bing.com/maps/?lvl=14&amp;sty=h&amp;cp=32.5103~44.4005&amp;sp=point.32.5103_44.4005","Maplink3")</f>
        <v>Maplink3</v>
      </c>
    </row>
    <row r="491" customFormat="false" ht="15" hidden="false" customHeight="true" outlineLevel="0" collapsed="false">
      <c r="A491" s="15" t="n">
        <v>24754</v>
      </c>
      <c r="B491" s="16" t="s">
        <v>16</v>
      </c>
      <c r="C491" s="16" t="s">
        <v>743</v>
      </c>
      <c r="D491" s="16" t="s">
        <v>981</v>
      </c>
      <c r="E491" s="17" t="s">
        <v>982</v>
      </c>
      <c r="F491" s="16" t="n">
        <v>32.47536155</v>
      </c>
      <c r="G491" s="16" t="n">
        <v>44.42562221</v>
      </c>
      <c r="H491" s="18" t="n">
        <v>12</v>
      </c>
      <c r="I491" s="18" t="n">
        <v>72</v>
      </c>
      <c r="J491" s="19" t="n">
        <v>3</v>
      </c>
      <c r="K491" s="19"/>
      <c r="L491" s="19"/>
      <c r="M491" s="19"/>
      <c r="N491" s="19"/>
      <c r="O491" s="19" t="n">
        <v>1</v>
      </c>
      <c r="P491" s="19"/>
      <c r="Q491" s="19"/>
      <c r="R491" s="19"/>
      <c r="S491" s="19"/>
      <c r="T491" s="19"/>
      <c r="U491" s="19"/>
      <c r="V491" s="19" t="n">
        <v>8</v>
      </c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 t="n">
        <v>12</v>
      </c>
      <c r="AI491" s="19"/>
      <c r="AJ491" s="19"/>
      <c r="AK491" s="19"/>
      <c r="AL491" s="19"/>
      <c r="AM491" s="19" t="n">
        <v>8</v>
      </c>
      <c r="AN491" s="19" t="n">
        <v>1</v>
      </c>
      <c r="AO491" s="19"/>
      <c r="AP491" s="19" t="n">
        <v>3</v>
      </c>
      <c r="AQ491" s="19"/>
      <c r="AR491" s="19"/>
      <c r="AS491" s="20" t="str">
        <f aca="false">HYPERLINK("http://www.openstreetmap.org/?mlat=32.4754&amp;mlon=44.4256&amp;zoom=12#map=12/32.4754/44.4256","Maplink1")</f>
        <v>Maplink1</v>
      </c>
      <c r="AT491" s="20" t="str">
        <f aca="false">HYPERLINK("https://www.google.iq/maps/search/+32.4754,44.4256/@32.4754,44.4256,14z?hl=en","Maplink2")</f>
        <v>Maplink2</v>
      </c>
      <c r="AU491" s="20" t="str">
        <f aca="false">HYPERLINK("http://www.bing.com/maps/?lvl=14&amp;sty=h&amp;cp=32.4754~44.4256&amp;sp=point.32.4754_44.4256","Maplink3")</f>
        <v>Maplink3</v>
      </c>
    </row>
    <row r="492" customFormat="false" ht="15" hidden="false" customHeight="true" outlineLevel="0" collapsed="false">
      <c r="A492" s="15" t="n">
        <v>25330</v>
      </c>
      <c r="B492" s="16" t="s">
        <v>16</v>
      </c>
      <c r="C492" s="16" t="s">
        <v>743</v>
      </c>
      <c r="D492" s="16" t="s">
        <v>983</v>
      </c>
      <c r="E492" s="17" t="s">
        <v>984</v>
      </c>
      <c r="F492" s="16" t="n">
        <v>32.44046807</v>
      </c>
      <c r="G492" s="16" t="n">
        <v>44.42369747</v>
      </c>
      <c r="H492" s="18" t="n">
        <v>7</v>
      </c>
      <c r="I492" s="18" t="n">
        <v>42</v>
      </c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 t="n">
        <v>7</v>
      </c>
      <c r="W492" s="19"/>
      <c r="X492" s="19"/>
      <c r="Y492" s="19"/>
      <c r="Z492" s="19"/>
      <c r="AA492" s="19"/>
      <c r="AB492" s="19"/>
      <c r="AC492" s="19" t="n">
        <v>7</v>
      </c>
      <c r="AD492" s="19"/>
      <c r="AE492" s="19"/>
      <c r="AF492" s="19"/>
      <c r="AG492" s="19"/>
      <c r="AH492" s="19"/>
      <c r="AI492" s="19"/>
      <c r="AJ492" s="19"/>
      <c r="AK492" s="19"/>
      <c r="AL492" s="19"/>
      <c r="AM492" s="19" t="n">
        <v>7</v>
      </c>
      <c r="AN492" s="19"/>
      <c r="AO492" s="19"/>
      <c r="AP492" s="19"/>
      <c r="AQ492" s="19"/>
      <c r="AR492" s="19"/>
      <c r="AS492" s="20" t="str">
        <f aca="false">HYPERLINK("http://www.openstreetmap.org/?mlat=32.4405&amp;mlon=44.4237&amp;zoom=12#map=12/32.4405/44.4237","Maplink1")</f>
        <v>Maplink1</v>
      </c>
      <c r="AT492" s="20" t="str">
        <f aca="false">HYPERLINK("https://www.google.iq/maps/search/+32.4405,44.4237/@32.4405,44.4237,14z?hl=en","Maplink2")</f>
        <v>Maplink2</v>
      </c>
      <c r="AU492" s="20" t="str">
        <f aca="false">HYPERLINK("http://www.bing.com/maps/?lvl=14&amp;sty=h&amp;cp=32.4405~44.4237&amp;sp=point.32.4405_44.4237","Maplink3")</f>
        <v>Maplink3</v>
      </c>
    </row>
    <row r="493" customFormat="false" ht="15" hidden="false" customHeight="true" outlineLevel="0" collapsed="false">
      <c r="A493" s="15" t="n">
        <v>21673</v>
      </c>
      <c r="B493" s="16" t="s">
        <v>16</v>
      </c>
      <c r="C493" s="16" t="s">
        <v>743</v>
      </c>
      <c r="D493" s="16" t="s">
        <v>985</v>
      </c>
      <c r="E493" s="17" t="s">
        <v>986</v>
      </c>
      <c r="F493" s="16" t="n">
        <v>32.45811717</v>
      </c>
      <c r="G493" s="16" t="n">
        <v>44.42749481</v>
      </c>
      <c r="H493" s="18" t="n">
        <v>7</v>
      </c>
      <c r="I493" s="18" t="n">
        <v>42</v>
      </c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 t="n">
        <v>7</v>
      </c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 t="n">
        <v>7</v>
      </c>
      <c r="AI493" s="19"/>
      <c r="AJ493" s="19"/>
      <c r="AK493" s="19"/>
      <c r="AL493" s="19"/>
      <c r="AM493" s="19" t="n">
        <v>7</v>
      </c>
      <c r="AN493" s="19"/>
      <c r="AO493" s="19"/>
      <c r="AP493" s="19"/>
      <c r="AQ493" s="19"/>
      <c r="AR493" s="19"/>
      <c r="AS493" s="20" t="str">
        <f aca="false">HYPERLINK("http://www.openstreetmap.org/?mlat=32.4581&amp;mlon=44.4275&amp;zoom=12#map=12/32.4581/44.4275","Maplink1")</f>
        <v>Maplink1</v>
      </c>
      <c r="AT493" s="20" t="str">
        <f aca="false">HYPERLINK("https://www.google.iq/maps/search/+32.4581,44.4275/@32.4581,44.4275,14z?hl=en","Maplink2")</f>
        <v>Maplink2</v>
      </c>
      <c r="AU493" s="20" t="str">
        <f aca="false">HYPERLINK("http://www.bing.com/maps/?lvl=14&amp;sty=h&amp;cp=32.4581~44.4275&amp;sp=point.32.4581_44.4275","Maplink3")</f>
        <v>Maplink3</v>
      </c>
    </row>
    <row r="494" customFormat="false" ht="15" hidden="false" customHeight="true" outlineLevel="0" collapsed="false">
      <c r="A494" s="15" t="n">
        <v>24975</v>
      </c>
      <c r="B494" s="16" t="s">
        <v>16</v>
      </c>
      <c r="C494" s="16" t="s">
        <v>743</v>
      </c>
      <c r="D494" s="16" t="s">
        <v>987</v>
      </c>
      <c r="E494" s="17" t="s">
        <v>988</v>
      </c>
      <c r="F494" s="16" t="n">
        <v>32.43279511</v>
      </c>
      <c r="G494" s="16" t="n">
        <v>44.30778916</v>
      </c>
      <c r="H494" s="18" t="n">
        <v>8</v>
      </c>
      <c r="I494" s="18" t="n">
        <v>48</v>
      </c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 t="n">
        <v>8</v>
      </c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 t="n">
        <v>4</v>
      </c>
      <c r="AH494" s="19" t="n">
        <v>4</v>
      </c>
      <c r="AI494" s="19"/>
      <c r="AJ494" s="19"/>
      <c r="AK494" s="19"/>
      <c r="AL494" s="19"/>
      <c r="AM494" s="19"/>
      <c r="AN494" s="19" t="n">
        <v>8</v>
      </c>
      <c r="AO494" s="19"/>
      <c r="AP494" s="19"/>
      <c r="AQ494" s="19"/>
      <c r="AR494" s="19"/>
      <c r="AS494" s="20" t="str">
        <f aca="false">HYPERLINK("http://www.openstreetmap.org/?mlat=32.4328&amp;mlon=44.3078&amp;zoom=12#map=12/32.4328/44.3078","Maplink1")</f>
        <v>Maplink1</v>
      </c>
      <c r="AT494" s="20" t="str">
        <f aca="false">HYPERLINK("https://www.google.iq/maps/search/+32.4328,44.3078/@32.4328,44.3078,14z?hl=en","Maplink2")</f>
        <v>Maplink2</v>
      </c>
      <c r="AU494" s="20" t="str">
        <f aca="false">HYPERLINK("http://www.bing.com/maps/?lvl=14&amp;sty=h&amp;cp=32.4328~44.3078&amp;sp=point.32.4328_44.3078","Maplink3")</f>
        <v>Maplink3</v>
      </c>
    </row>
    <row r="495" customFormat="false" ht="15" hidden="false" customHeight="true" outlineLevel="0" collapsed="false">
      <c r="A495" s="15" t="n">
        <v>24976</v>
      </c>
      <c r="B495" s="16" t="s">
        <v>16</v>
      </c>
      <c r="C495" s="16" t="s">
        <v>743</v>
      </c>
      <c r="D495" s="16" t="s">
        <v>989</v>
      </c>
      <c r="E495" s="17" t="s">
        <v>990</v>
      </c>
      <c r="F495" s="16" t="n">
        <v>32.21294143</v>
      </c>
      <c r="G495" s="16" t="n">
        <v>44.35600631</v>
      </c>
      <c r="H495" s="18" t="n">
        <v>17</v>
      </c>
      <c r="I495" s="18" t="n">
        <v>102</v>
      </c>
      <c r="J495" s="19" t="n">
        <v>3</v>
      </c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 t="n">
        <v>14</v>
      </c>
      <c r="W495" s="19"/>
      <c r="X495" s="19"/>
      <c r="Y495" s="19"/>
      <c r="Z495" s="19"/>
      <c r="AA495" s="19"/>
      <c r="AB495" s="19"/>
      <c r="AC495" s="19" t="n">
        <v>10</v>
      </c>
      <c r="AD495" s="19"/>
      <c r="AE495" s="19"/>
      <c r="AF495" s="19"/>
      <c r="AG495" s="19" t="n">
        <v>4</v>
      </c>
      <c r="AH495" s="19" t="n">
        <v>3</v>
      </c>
      <c r="AI495" s="19"/>
      <c r="AJ495" s="19"/>
      <c r="AK495" s="19"/>
      <c r="AL495" s="19"/>
      <c r="AM495" s="19"/>
      <c r="AN495" s="19" t="n">
        <v>14</v>
      </c>
      <c r="AO495" s="19"/>
      <c r="AP495" s="19" t="n">
        <v>3</v>
      </c>
      <c r="AQ495" s="19"/>
      <c r="AR495" s="19"/>
      <c r="AS495" s="20" t="str">
        <f aca="false">HYPERLINK("http://www.openstreetmap.org/?mlat=32.2129&amp;mlon=44.356&amp;zoom=12#map=12/32.2129/44.356","Maplink1")</f>
        <v>Maplink1</v>
      </c>
      <c r="AT495" s="20" t="str">
        <f aca="false">HYPERLINK("https://www.google.iq/maps/search/+32.2129,44.356/@32.2129,44.356,14z?hl=en","Maplink2")</f>
        <v>Maplink2</v>
      </c>
      <c r="AU495" s="20" t="str">
        <f aca="false">HYPERLINK("http://www.bing.com/maps/?lvl=14&amp;sty=h&amp;cp=32.2129~44.356&amp;sp=point.32.2129_44.356","Maplink3")</f>
        <v>Maplink3</v>
      </c>
    </row>
    <row r="496" customFormat="false" ht="15" hidden="false" customHeight="true" outlineLevel="0" collapsed="false">
      <c r="A496" s="15" t="n">
        <v>23950</v>
      </c>
      <c r="B496" s="16" t="s">
        <v>16</v>
      </c>
      <c r="C496" s="16" t="s">
        <v>743</v>
      </c>
      <c r="D496" s="16" t="s">
        <v>991</v>
      </c>
      <c r="E496" s="17" t="s">
        <v>992</v>
      </c>
      <c r="F496" s="16" t="n">
        <v>32.41762009</v>
      </c>
      <c r="G496" s="16" t="n">
        <v>44.40726508</v>
      </c>
      <c r="H496" s="18" t="n">
        <v>373</v>
      </c>
      <c r="I496" s="18" t="n">
        <v>2238</v>
      </c>
      <c r="J496" s="19" t="n">
        <v>17</v>
      </c>
      <c r="K496" s="19" t="n">
        <v>5</v>
      </c>
      <c r="L496" s="19" t="n">
        <v>3</v>
      </c>
      <c r="M496" s="19"/>
      <c r="N496" s="19"/>
      <c r="O496" s="19" t="n">
        <v>2</v>
      </c>
      <c r="P496" s="19"/>
      <c r="Q496" s="19"/>
      <c r="R496" s="19"/>
      <c r="S496" s="19"/>
      <c r="T496" s="19"/>
      <c r="U496" s="19"/>
      <c r="V496" s="19" t="n">
        <v>345</v>
      </c>
      <c r="W496" s="19"/>
      <c r="X496" s="19" t="n">
        <v>1</v>
      </c>
      <c r="Y496" s="19"/>
      <c r="Z496" s="19"/>
      <c r="AA496" s="19"/>
      <c r="AB496" s="19"/>
      <c r="AC496" s="19"/>
      <c r="AD496" s="19"/>
      <c r="AE496" s="19" t="n">
        <v>373</v>
      </c>
      <c r="AF496" s="19"/>
      <c r="AG496" s="19"/>
      <c r="AH496" s="19"/>
      <c r="AI496" s="19"/>
      <c r="AJ496" s="19"/>
      <c r="AK496" s="19"/>
      <c r="AL496" s="19"/>
      <c r="AM496" s="19" t="n">
        <v>239</v>
      </c>
      <c r="AN496" s="19" t="n">
        <v>117</v>
      </c>
      <c r="AO496" s="19" t="n">
        <v>17</v>
      </c>
      <c r="AP496" s="19"/>
      <c r="AQ496" s="19"/>
      <c r="AR496" s="19"/>
      <c r="AS496" s="20" t="str">
        <f aca="false">HYPERLINK("http://www.openstreetmap.org/?mlat=32.4176&amp;mlon=44.4073&amp;zoom=12#map=12/32.4176/44.4073","Maplink1")</f>
        <v>Maplink1</v>
      </c>
      <c r="AT496" s="20" t="str">
        <f aca="false">HYPERLINK("https://www.google.iq/maps/search/+32.4176,44.4073/@32.4176,44.4073,14z?hl=en","Maplink2")</f>
        <v>Maplink2</v>
      </c>
      <c r="AU496" s="20" t="str">
        <f aca="false">HYPERLINK("http://www.bing.com/maps/?lvl=14&amp;sty=h&amp;cp=32.4176~44.4073&amp;sp=point.32.4176_44.4073","Maplink3")</f>
        <v>Maplink3</v>
      </c>
    </row>
    <row r="497" customFormat="false" ht="15" hidden="false" customHeight="true" outlineLevel="0" collapsed="false">
      <c r="A497" s="15" t="n">
        <v>24462</v>
      </c>
      <c r="B497" s="16" t="s">
        <v>16</v>
      </c>
      <c r="C497" s="16" t="s">
        <v>743</v>
      </c>
      <c r="D497" s="16" t="s">
        <v>993</v>
      </c>
      <c r="E497" s="17" t="s">
        <v>994</v>
      </c>
      <c r="F497" s="16" t="n">
        <v>32.48071285</v>
      </c>
      <c r="G497" s="16" t="n">
        <v>44.47923361</v>
      </c>
      <c r="H497" s="18" t="n">
        <v>33</v>
      </c>
      <c r="I497" s="18" t="n">
        <v>198</v>
      </c>
      <c r="J497" s="19" t="n">
        <v>10</v>
      </c>
      <c r="K497" s="19"/>
      <c r="L497" s="19" t="n">
        <v>1</v>
      </c>
      <c r="M497" s="19"/>
      <c r="N497" s="19"/>
      <c r="O497" s="19"/>
      <c r="P497" s="19"/>
      <c r="Q497" s="19"/>
      <c r="R497" s="19" t="n">
        <v>1</v>
      </c>
      <c r="S497" s="19"/>
      <c r="T497" s="19"/>
      <c r="U497" s="19"/>
      <c r="V497" s="19" t="n">
        <v>21</v>
      </c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 t="n">
        <v>33</v>
      </c>
      <c r="AI497" s="19"/>
      <c r="AJ497" s="19"/>
      <c r="AK497" s="19"/>
      <c r="AL497" s="19"/>
      <c r="AM497" s="19" t="n">
        <v>19</v>
      </c>
      <c r="AN497" s="19" t="n">
        <v>4</v>
      </c>
      <c r="AO497" s="19" t="n">
        <v>10</v>
      </c>
      <c r="AP497" s="19"/>
      <c r="AQ497" s="19"/>
      <c r="AR497" s="19"/>
      <c r="AS497" s="20" t="str">
        <f aca="false">HYPERLINK("http://www.openstreetmap.org/?mlat=32.4807&amp;mlon=44.4792&amp;zoom=12#map=12/32.4807/44.4792","Maplink1")</f>
        <v>Maplink1</v>
      </c>
      <c r="AT497" s="20" t="str">
        <f aca="false">HYPERLINK("https://www.google.iq/maps/search/+32.4807,44.4792/@32.4807,44.4792,14z?hl=en","Maplink2")</f>
        <v>Maplink2</v>
      </c>
      <c r="AU497" s="20" t="str">
        <f aca="false">HYPERLINK("http://www.bing.com/maps/?lvl=14&amp;sty=h&amp;cp=32.4807~44.4792&amp;sp=point.32.4807_44.4792","Maplink3")</f>
        <v>Maplink3</v>
      </c>
    </row>
    <row r="498" customFormat="false" ht="15" hidden="false" customHeight="true" outlineLevel="0" collapsed="false">
      <c r="A498" s="15" t="n">
        <v>7166</v>
      </c>
      <c r="B498" s="16" t="s">
        <v>16</v>
      </c>
      <c r="C498" s="16" t="s">
        <v>743</v>
      </c>
      <c r="D498" s="16" t="s">
        <v>995</v>
      </c>
      <c r="E498" s="17" t="s">
        <v>996</v>
      </c>
      <c r="F498" s="16" t="n">
        <v>32.53133364</v>
      </c>
      <c r="G498" s="16" t="n">
        <v>44.40923139</v>
      </c>
      <c r="H498" s="18" t="n">
        <v>22</v>
      </c>
      <c r="I498" s="18" t="n">
        <v>132</v>
      </c>
      <c r="J498" s="19" t="n">
        <v>8</v>
      </c>
      <c r="K498" s="19" t="n">
        <v>3</v>
      </c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 t="n">
        <v>11</v>
      </c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 t="n">
        <v>22</v>
      </c>
      <c r="AI498" s="19"/>
      <c r="AJ498" s="19"/>
      <c r="AK498" s="19"/>
      <c r="AL498" s="19"/>
      <c r="AM498" s="19" t="n">
        <v>11</v>
      </c>
      <c r="AN498" s="19" t="n">
        <v>3</v>
      </c>
      <c r="AO498" s="19"/>
      <c r="AP498" s="19" t="n">
        <v>8</v>
      </c>
      <c r="AQ498" s="19"/>
      <c r="AR498" s="19"/>
      <c r="AS498" s="20" t="str">
        <f aca="false">HYPERLINK("http://www.openstreetmap.org/?mlat=32.5313&amp;mlon=44.4092&amp;zoom=12#map=12/32.5313/44.4092","Maplink1")</f>
        <v>Maplink1</v>
      </c>
      <c r="AT498" s="20" t="str">
        <f aca="false">HYPERLINK("https://www.google.iq/maps/search/+32.5313,44.4092/@32.5313,44.4092,14z?hl=en","Maplink2")</f>
        <v>Maplink2</v>
      </c>
      <c r="AU498" s="20" t="str">
        <f aca="false">HYPERLINK("http://www.bing.com/maps/?lvl=14&amp;sty=h&amp;cp=32.5313~44.4092&amp;sp=point.32.5313_44.4092","Maplink3")</f>
        <v>Maplink3</v>
      </c>
    </row>
    <row r="499" customFormat="false" ht="15" hidden="false" customHeight="true" outlineLevel="0" collapsed="false">
      <c r="A499" s="15" t="n">
        <v>7139</v>
      </c>
      <c r="B499" s="16" t="s">
        <v>16</v>
      </c>
      <c r="C499" s="16" t="s">
        <v>743</v>
      </c>
      <c r="D499" s="16" t="s">
        <v>997</v>
      </c>
      <c r="E499" s="17" t="s">
        <v>998</v>
      </c>
      <c r="F499" s="16" t="n">
        <v>32.41695557</v>
      </c>
      <c r="G499" s="16" t="n">
        <v>44.41467318</v>
      </c>
      <c r="H499" s="18" t="n">
        <v>9</v>
      </c>
      <c r="I499" s="18" t="n">
        <v>54</v>
      </c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 t="n">
        <v>9</v>
      </c>
      <c r="W499" s="19"/>
      <c r="X499" s="19"/>
      <c r="Y499" s="19"/>
      <c r="Z499" s="19"/>
      <c r="AA499" s="19"/>
      <c r="AB499" s="19"/>
      <c r="AC499" s="19" t="n">
        <v>9</v>
      </c>
      <c r="AD499" s="19"/>
      <c r="AE499" s="19"/>
      <c r="AF499" s="19"/>
      <c r="AG499" s="19"/>
      <c r="AH499" s="19"/>
      <c r="AI499" s="19"/>
      <c r="AJ499" s="19"/>
      <c r="AK499" s="19"/>
      <c r="AL499" s="19"/>
      <c r="AM499" s="19" t="n">
        <v>9</v>
      </c>
      <c r="AN499" s="19"/>
      <c r="AO499" s="19"/>
      <c r="AP499" s="19"/>
      <c r="AQ499" s="19"/>
      <c r="AR499" s="19"/>
      <c r="AS499" s="20" t="str">
        <f aca="false">HYPERLINK("http://www.openstreetmap.org/?mlat=32.417&amp;mlon=44.4147&amp;zoom=12#map=12/32.417/44.4147","Maplink1")</f>
        <v>Maplink1</v>
      </c>
      <c r="AT499" s="20" t="str">
        <f aca="false">HYPERLINK("https://www.google.iq/maps/search/+32.417,44.4147/@32.417,44.4147,14z?hl=en","Maplink2")</f>
        <v>Maplink2</v>
      </c>
      <c r="AU499" s="20" t="str">
        <f aca="false">HYPERLINK("http://www.bing.com/maps/?lvl=14&amp;sty=h&amp;cp=32.417~44.4147&amp;sp=point.32.417_44.4147","Maplink3")</f>
        <v>Maplink3</v>
      </c>
    </row>
    <row r="500" customFormat="false" ht="15" hidden="false" customHeight="true" outlineLevel="0" collapsed="false">
      <c r="A500" s="15" t="n">
        <v>25968</v>
      </c>
      <c r="B500" s="16" t="s">
        <v>16</v>
      </c>
      <c r="C500" s="16" t="s">
        <v>743</v>
      </c>
      <c r="D500" s="16" t="s">
        <v>999</v>
      </c>
      <c r="E500" s="17" t="s">
        <v>1000</v>
      </c>
      <c r="F500" s="16" t="n">
        <v>32.40249113</v>
      </c>
      <c r="G500" s="16" t="n">
        <v>44.29553817</v>
      </c>
      <c r="H500" s="18" t="n">
        <v>6</v>
      </c>
      <c r="I500" s="18" t="n">
        <v>36</v>
      </c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 t="n">
        <v>6</v>
      </c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 t="n">
        <v>6</v>
      </c>
      <c r="AI500" s="19"/>
      <c r="AJ500" s="19"/>
      <c r="AK500" s="19"/>
      <c r="AL500" s="19"/>
      <c r="AM500" s="19"/>
      <c r="AN500" s="19" t="n">
        <v>6</v>
      </c>
      <c r="AO500" s="19"/>
      <c r="AP500" s="19"/>
      <c r="AQ500" s="19"/>
      <c r="AR500" s="19"/>
      <c r="AS500" s="20" t="str">
        <f aca="false">HYPERLINK("http://www.openstreetmap.org/?mlat=32.4025&amp;mlon=44.2955&amp;zoom=12#map=12/32.4025/44.2955","Maplink1")</f>
        <v>Maplink1</v>
      </c>
      <c r="AT500" s="20" t="str">
        <f aca="false">HYPERLINK("https://www.google.iq/maps/search/+32.4025,44.2955/@32.4025,44.2955,14z?hl=en","Maplink2")</f>
        <v>Maplink2</v>
      </c>
      <c r="AU500" s="20" t="str">
        <f aca="false">HYPERLINK("http://www.bing.com/maps/?lvl=14&amp;sty=h&amp;cp=32.4025~44.2955&amp;sp=point.32.4025_44.2955","Maplink3")</f>
        <v>Maplink3</v>
      </c>
    </row>
    <row r="501" customFormat="false" ht="15" hidden="false" customHeight="true" outlineLevel="0" collapsed="false">
      <c r="A501" s="15" t="n">
        <v>7097</v>
      </c>
      <c r="B501" s="16" t="s">
        <v>16</v>
      </c>
      <c r="C501" s="16" t="s">
        <v>743</v>
      </c>
      <c r="D501" s="16" t="s">
        <v>1001</v>
      </c>
      <c r="E501" s="17" t="s">
        <v>1002</v>
      </c>
      <c r="F501" s="16" t="n">
        <v>32.52221</v>
      </c>
      <c r="G501" s="16" t="n">
        <v>44.27071</v>
      </c>
      <c r="H501" s="18" t="n">
        <v>8</v>
      </c>
      <c r="I501" s="18" t="n">
        <v>48</v>
      </c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 t="n">
        <v>8</v>
      </c>
      <c r="W501" s="19"/>
      <c r="X501" s="19"/>
      <c r="Y501" s="19"/>
      <c r="Z501" s="19"/>
      <c r="AA501" s="19"/>
      <c r="AB501" s="19"/>
      <c r="AC501" s="19" t="n">
        <v>3</v>
      </c>
      <c r="AD501" s="19"/>
      <c r="AE501" s="19"/>
      <c r="AF501" s="19"/>
      <c r="AG501" s="19" t="n">
        <v>5</v>
      </c>
      <c r="AH501" s="19"/>
      <c r="AI501" s="19"/>
      <c r="AJ501" s="19"/>
      <c r="AK501" s="19"/>
      <c r="AL501" s="19"/>
      <c r="AM501" s="19" t="n">
        <v>8</v>
      </c>
      <c r="AN501" s="19"/>
      <c r="AO501" s="19"/>
      <c r="AP501" s="19"/>
      <c r="AQ501" s="19"/>
      <c r="AR501" s="19"/>
      <c r="AS501" s="20" t="str">
        <f aca="false">HYPERLINK("http://www.openstreetmap.org/?mlat=32.5222&amp;mlon=44.2707&amp;zoom=12#map=12/32.5222/44.2707","Maplink1")</f>
        <v>Maplink1</v>
      </c>
      <c r="AT501" s="20" t="str">
        <f aca="false">HYPERLINK("https://www.google.iq/maps/search/+32.5222,44.2707/@32.5222,44.2707,14z?hl=en","Maplink2")</f>
        <v>Maplink2</v>
      </c>
      <c r="AU501" s="20" t="str">
        <f aca="false">HYPERLINK("http://www.bing.com/maps/?lvl=14&amp;sty=h&amp;cp=32.5222~44.2707&amp;sp=point.32.5222_44.2707","Maplink3")</f>
        <v>Maplink3</v>
      </c>
    </row>
    <row r="502" customFormat="false" ht="15" hidden="false" customHeight="true" outlineLevel="0" collapsed="false">
      <c r="A502" s="15" t="n">
        <v>24420</v>
      </c>
      <c r="B502" s="16" t="s">
        <v>16</v>
      </c>
      <c r="C502" s="16" t="s">
        <v>743</v>
      </c>
      <c r="D502" s="16" t="s">
        <v>1003</v>
      </c>
      <c r="E502" s="17" t="s">
        <v>1004</v>
      </c>
      <c r="F502" s="16" t="n">
        <v>32.52028797</v>
      </c>
      <c r="G502" s="16" t="n">
        <v>44.41629516</v>
      </c>
      <c r="H502" s="18" t="n">
        <v>20</v>
      </c>
      <c r="I502" s="18" t="n">
        <v>120</v>
      </c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 t="n">
        <v>20</v>
      </c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 t="n">
        <v>20</v>
      </c>
      <c r="AI502" s="19"/>
      <c r="AJ502" s="19"/>
      <c r="AK502" s="19"/>
      <c r="AL502" s="19"/>
      <c r="AM502" s="19" t="n">
        <v>20</v>
      </c>
      <c r="AN502" s="19"/>
      <c r="AO502" s="19"/>
      <c r="AP502" s="19"/>
      <c r="AQ502" s="19"/>
      <c r="AR502" s="19"/>
      <c r="AS502" s="20" t="str">
        <f aca="false">HYPERLINK("http://www.openstreetmap.org/?mlat=32.5203&amp;mlon=44.4163&amp;zoom=12#map=12/32.5203/44.4163","Maplink1")</f>
        <v>Maplink1</v>
      </c>
      <c r="AT502" s="20" t="str">
        <f aca="false">HYPERLINK("https://www.google.iq/maps/search/+32.5203,44.4163/@32.5203,44.4163,14z?hl=en","Maplink2")</f>
        <v>Maplink2</v>
      </c>
      <c r="AU502" s="20" t="str">
        <f aca="false">HYPERLINK("http://www.bing.com/maps/?lvl=14&amp;sty=h&amp;cp=32.5203~44.4163&amp;sp=point.32.5203_44.4163","Maplink3")</f>
        <v>Maplink3</v>
      </c>
    </row>
    <row r="503" customFormat="false" ht="15" hidden="false" customHeight="true" outlineLevel="0" collapsed="false">
      <c r="A503" s="15" t="n">
        <v>21173</v>
      </c>
      <c r="B503" s="16" t="s">
        <v>17</v>
      </c>
      <c r="C503" s="16" t="s">
        <v>1005</v>
      </c>
      <c r="D503" s="16" t="s">
        <v>1006</v>
      </c>
      <c r="E503" s="16" t="s">
        <v>1007</v>
      </c>
      <c r="F503" s="16" t="n">
        <v>33.30247</v>
      </c>
      <c r="G503" s="16" t="n">
        <v>44.17855</v>
      </c>
      <c r="H503" s="18" t="n">
        <v>597</v>
      </c>
      <c r="I503" s="18" t="n">
        <v>3582</v>
      </c>
      <c r="J503" s="19" t="n">
        <v>597</v>
      </c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 t="n">
        <v>176</v>
      </c>
      <c r="AD503" s="19"/>
      <c r="AE503" s="19"/>
      <c r="AF503" s="19" t="n">
        <v>8</v>
      </c>
      <c r="AG503" s="19"/>
      <c r="AH503" s="19" t="n">
        <v>401</v>
      </c>
      <c r="AI503" s="19"/>
      <c r="AJ503" s="19" t="n">
        <v>12</v>
      </c>
      <c r="AK503" s="19"/>
      <c r="AL503" s="19" t="n">
        <v>70</v>
      </c>
      <c r="AM503" s="19" t="n">
        <v>249</v>
      </c>
      <c r="AN503" s="19"/>
      <c r="AO503" s="19"/>
      <c r="AP503" s="19" t="n">
        <v>278</v>
      </c>
      <c r="AQ503" s="19"/>
      <c r="AR503" s="19"/>
      <c r="AS503" s="20" t="str">
        <f aca="false">HYPERLINK("http://www.openstreetmap.org/?mlat=33.3025&amp;mlon=44.1786&amp;zoom=12#map=12/33.3025/44.1786","Maplink1")</f>
        <v>Maplink1</v>
      </c>
      <c r="AT503" s="20" t="str">
        <f aca="false">HYPERLINK("https://www.google.iq/maps/search/+33.3025,44.1786/@33.3025,44.1786,14z?hl=en","Maplink2")</f>
        <v>Maplink2</v>
      </c>
      <c r="AU503" s="20" t="str">
        <f aca="false">HYPERLINK("http://www.bing.com/maps/?lvl=14&amp;sty=h&amp;cp=33.3025~44.1786&amp;sp=point.33.3025_44.1786","Maplink3")</f>
        <v>Maplink3</v>
      </c>
    </row>
    <row r="504" customFormat="false" ht="15" hidden="false" customHeight="true" outlineLevel="0" collapsed="false">
      <c r="A504" s="15" t="n">
        <v>7671</v>
      </c>
      <c r="B504" s="16" t="s">
        <v>17</v>
      </c>
      <c r="C504" s="16" t="s">
        <v>1005</v>
      </c>
      <c r="D504" s="16" t="s">
        <v>1008</v>
      </c>
      <c r="E504" s="16" t="s">
        <v>1009</v>
      </c>
      <c r="F504" s="16" t="n">
        <v>33.30302521</v>
      </c>
      <c r="G504" s="16" t="n">
        <v>44.14079315</v>
      </c>
      <c r="H504" s="18" t="n">
        <v>153</v>
      </c>
      <c r="I504" s="18" t="n">
        <v>918</v>
      </c>
      <c r="J504" s="19" t="n">
        <v>153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 t="n">
        <v>50</v>
      </c>
      <c r="AD504" s="19"/>
      <c r="AE504" s="19"/>
      <c r="AF504" s="19"/>
      <c r="AG504" s="19"/>
      <c r="AH504" s="19" t="n">
        <v>103</v>
      </c>
      <c r="AI504" s="19"/>
      <c r="AJ504" s="19"/>
      <c r="AK504" s="19"/>
      <c r="AL504" s="19" t="n">
        <v>43</v>
      </c>
      <c r="AM504" s="19"/>
      <c r="AN504" s="19"/>
      <c r="AO504" s="19"/>
      <c r="AP504" s="19" t="n">
        <v>96</v>
      </c>
      <c r="AQ504" s="19" t="n">
        <v>14</v>
      </c>
      <c r="AR504" s="19"/>
      <c r="AS504" s="20" t="str">
        <f aca="false">HYPERLINK("http://www.openstreetmap.org/?mlat=33.303&amp;mlon=44.1408&amp;zoom=12#map=12/33.303/44.1408","Maplink1")</f>
        <v>Maplink1</v>
      </c>
      <c r="AT504" s="20" t="str">
        <f aca="false">HYPERLINK("https://www.google.iq/maps/search/+33.303,44.1408/@33.303,44.1408,14z?hl=en","Maplink2")</f>
        <v>Maplink2</v>
      </c>
      <c r="AU504" s="20" t="str">
        <f aca="false">HYPERLINK("http://www.bing.com/maps/?lvl=14&amp;sty=h&amp;cp=33.303~44.1408&amp;sp=point.33.303_44.1408","Maplink3")</f>
        <v>Maplink3</v>
      </c>
    </row>
    <row r="505" customFormat="false" ht="15" hidden="false" customHeight="true" outlineLevel="0" collapsed="false">
      <c r="A505" s="15" t="n">
        <v>24047</v>
      </c>
      <c r="B505" s="16" t="s">
        <v>17</v>
      </c>
      <c r="C505" s="16" t="s">
        <v>1005</v>
      </c>
      <c r="D505" s="16" t="s">
        <v>1010</v>
      </c>
      <c r="E505" s="17" t="s">
        <v>1011</v>
      </c>
      <c r="F505" s="16" t="n">
        <v>33.29851787</v>
      </c>
      <c r="G505" s="16" t="n">
        <v>44.1036375</v>
      </c>
      <c r="H505" s="18" t="n">
        <v>861</v>
      </c>
      <c r="I505" s="18" t="n">
        <v>5166</v>
      </c>
      <c r="J505" s="19" t="n">
        <v>499</v>
      </c>
      <c r="K505" s="19"/>
      <c r="L505" s="19" t="n">
        <v>362</v>
      </c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 t="n">
        <v>220</v>
      </c>
      <c r="AD505" s="19"/>
      <c r="AE505" s="19"/>
      <c r="AF505" s="19"/>
      <c r="AG505" s="19"/>
      <c r="AH505" s="19" t="n">
        <v>407</v>
      </c>
      <c r="AI505" s="19"/>
      <c r="AJ505" s="19" t="n">
        <v>234</v>
      </c>
      <c r="AK505" s="19"/>
      <c r="AL505" s="19" t="n">
        <v>200</v>
      </c>
      <c r="AM505" s="19"/>
      <c r="AN505" s="19" t="n">
        <v>488</v>
      </c>
      <c r="AO505" s="19" t="n">
        <v>76</v>
      </c>
      <c r="AP505" s="19" t="n">
        <v>97</v>
      </c>
      <c r="AQ505" s="19"/>
      <c r="AR505" s="19"/>
      <c r="AS505" s="20" t="str">
        <f aca="false">HYPERLINK("http://www.openstreetmap.org/?mlat=33.2985&amp;mlon=44.1036&amp;zoom=12#map=12/33.2985/44.1036","Maplink1")</f>
        <v>Maplink1</v>
      </c>
      <c r="AT505" s="20" t="str">
        <f aca="false">HYPERLINK("https://www.google.iq/maps/search/+33.2985,44.1036/@33.2985,44.1036,14z?hl=en","Maplink2")</f>
        <v>Maplink2</v>
      </c>
      <c r="AU505" s="20" t="str">
        <f aca="false">HYPERLINK("http://www.bing.com/maps/?lvl=14&amp;sty=h&amp;cp=33.2985~44.1036&amp;sp=point.33.2985_44.1036","Maplink3")</f>
        <v>Maplink3</v>
      </c>
    </row>
    <row r="506" customFormat="false" ht="15" hidden="false" customHeight="true" outlineLevel="0" collapsed="false">
      <c r="A506" s="15" t="n">
        <v>24041</v>
      </c>
      <c r="B506" s="16" t="s">
        <v>17</v>
      </c>
      <c r="C506" s="16" t="s">
        <v>1005</v>
      </c>
      <c r="D506" s="16" t="s">
        <v>1012</v>
      </c>
      <c r="E506" s="17" t="s">
        <v>1013</v>
      </c>
      <c r="F506" s="16" t="n">
        <v>33.36826006</v>
      </c>
      <c r="G506" s="16" t="n">
        <v>44.16739127</v>
      </c>
      <c r="H506" s="18" t="n">
        <v>489</v>
      </c>
      <c r="I506" s="18" t="n">
        <v>2934</v>
      </c>
      <c r="J506" s="19" t="n">
        <v>398</v>
      </c>
      <c r="K506" s="19"/>
      <c r="L506" s="19" t="n">
        <v>90</v>
      </c>
      <c r="M506" s="19"/>
      <c r="N506" s="19"/>
      <c r="O506" s="19"/>
      <c r="P506" s="19"/>
      <c r="Q506" s="19"/>
      <c r="R506" s="19"/>
      <c r="S506" s="19"/>
      <c r="T506" s="19"/>
      <c r="U506" s="19"/>
      <c r="V506" s="19" t="n">
        <v>1</v>
      </c>
      <c r="W506" s="19"/>
      <c r="X506" s="19"/>
      <c r="Y506" s="19"/>
      <c r="Z506" s="19"/>
      <c r="AA506" s="19"/>
      <c r="AB506" s="19"/>
      <c r="AC506" s="19" t="n">
        <v>151</v>
      </c>
      <c r="AD506" s="19"/>
      <c r="AE506" s="19"/>
      <c r="AF506" s="19"/>
      <c r="AG506" s="19"/>
      <c r="AH506" s="19" t="n">
        <v>338</v>
      </c>
      <c r="AI506" s="19"/>
      <c r="AJ506" s="19"/>
      <c r="AK506" s="19"/>
      <c r="AL506" s="19" t="n">
        <v>100</v>
      </c>
      <c r="AM506" s="19"/>
      <c r="AN506" s="19"/>
      <c r="AO506" s="19" t="n">
        <v>310</v>
      </c>
      <c r="AP506" s="19" t="n">
        <v>36</v>
      </c>
      <c r="AQ506" s="19" t="n">
        <v>16</v>
      </c>
      <c r="AR506" s="19" t="n">
        <v>27</v>
      </c>
      <c r="AS506" s="20" t="str">
        <f aca="false">HYPERLINK("http://www.openstreetmap.org/?mlat=33.3683&amp;mlon=44.1674&amp;zoom=12#map=12/33.3683/44.1674","Maplink1")</f>
        <v>Maplink1</v>
      </c>
      <c r="AT506" s="20" t="str">
        <f aca="false">HYPERLINK("https://www.google.iq/maps/search/+33.3683,44.1674/@33.3683,44.1674,14z?hl=en","Maplink2")</f>
        <v>Maplink2</v>
      </c>
      <c r="AU506" s="20" t="str">
        <f aca="false">HYPERLINK("http://www.bing.com/maps/?lvl=14&amp;sty=h&amp;cp=33.3683~44.1674&amp;sp=point.33.3683_44.1674","Maplink3")</f>
        <v>Maplink3</v>
      </c>
    </row>
    <row r="507" customFormat="false" ht="15" hidden="false" customHeight="true" outlineLevel="0" collapsed="false">
      <c r="A507" s="15" t="n">
        <v>24051</v>
      </c>
      <c r="B507" s="16" t="s">
        <v>17</v>
      </c>
      <c r="C507" s="16" t="s">
        <v>1005</v>
      </c>
      <c r="D507" s="16" t="s">
        <v>1014</v>
      </c>
      <c r="E507" s="17" t="s">
        <v>1015</v>
      </c>
      <c r="F507" s="16" t="n">
        <v>33.2709</v>
      </c>
      <c r="G507" s="16" t="n">
        <v>44.1126</v>
      </c>
      <c r="H507" s="18" t="n">
        <v>61</v>
      </c>
      <c r="I507" s="18" t="n">
        <v>366</v>
      </c>
      <c r="J507" s="19" t="n">
        <v>54</v>
      </c>
      <c r="K507" s="19"/>
      <c r="L507" s="19" t="n">
        <v>7</v>
      </c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 t="n">
        <v>45</v>
      </c>
      <c r="AD507" s="19"/>
      <c r="AE507" s="19"/>
      <c r="AF507" s="19"/>
      <c r="AG507" s="19"/>
      <c r="AH507" s="19" t="n">
        <v>16</v>
      </c>
      <c r="AI507" s="19"/>
      <c r="AJ507" s="19"/>
      <c r="AK507" s="19"/>
      <c r="AL507" s="19" t="n">
        <v>13</v>
      </c>
      <c r="AM507" s="19"/>
      <c r="AN507" s="19"/>
      <c r="AO507" s="19" t="n">
        <v>6</v>
      </c>
      <c r="AP507" s="19" t="n">
        <v>42</v>
      </c>
      <c r="AQ507" s="19"/>
      <c r="AR507" s="19"/>
      <c r="AS507" s="20" t="str">
        <f aca="false">HYPERLINK("http://www.openstreetmap.org/?mlat=33.2709&amp;mlon=44.1126&amp;zoom=12#map=12/33.2709/44.1126","Maplink1")</f>
        <v>Maplink1</v>
      </c>
      <c r="AT507" s="20" t="str">
        <f aca="false">HYPERLINK("https://www.google.iq/maps/search/+33.2709,44.1126/@33.2709,44.1126,14z?hl=en","Maplink2")</f>
        <v>Maplink2</v>
      </c>
      <c r="AU507" s="20" t="str">
        <f aca="false">HYPERLINK("http://www.bing.com/maps/?lvl=14&amp;sty=h&amp;cp=33.2709~44.1126&amp;sp=point.33.2709_44.1126","Maplink3")</f>
        <v>Maplink3</v>
      </c>
    </row>
    <row r="508" customFormat="false" ht="15" hidden="false" customHeight="true" outlineLevel="0" collapsed="false">
      <c r="A508" s="15" t="n">
        <v>24058</v>
      </c>
      <c r="B508" s="16" t="s">
        <v>17</v>
      </c>
      <c r="C508" s="16" t="s">
        <v>1005</v>
      </c>
      <c r="D508" s="16" t="s">
        <v>1016</v>
      </c>
      <c r="E508" s="17" t="s">
        <v>1017</v>
      </c>
      <c r="F508" s="16" t="n">
        <v>33.36743408</v>
      </c>
      <c r="G508" s="16" t="n">
        <v>44.16366243</v>
      </c>
      <c r="H508" s="18" t="n">
        <v>106</v>
      </c>
      <c r="I508" s="18" t="n">
        <v>636</v>
      </c>
      <c r="J508" s="19" t="n">
        <v>86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 t="n">
        <v>20</v>
      </c>
      <c r="Y508" s="19"/>
      <c r="Z508" s="19"/>
      <c r="AA508" s="19"/>
      <c r="AB508" s="19"/>
      <c r="AC508" s="19" t="n">
        <v>8</v>
      </c>
      <c r="AD508" s="19"/>
      <c r="AE508" s="19" t="n">
        <v>42</v>
      </c>
      <c r="AF508" s="19"/>
      <c r="AG508" s="19"/>
      <c r="AH508" s="19"/>
      <c r="AI508" s="19"/>
      <c r="AJ508" s="19" t="n">
        <v>56</v>
      </c>
      <c r="AK508" s="19"/>
      <c r="AL508" s="19" t="n">
        <v>9</v>
      </c>
      <c r="AM508" s="19"/>
      <c r="AN508" s="19"/>
      <c r="AO508" s="19" t="n">
        <v>11</v>
      </c>
      <c r="AP508" s="19" t="n">
        <v>72</v>
      </c>
      <c r="AQ508" s="19" t="n">
        <v>8</v>
      </c>
      <c r="AR508" s="19" t="n">
        <v>6</v>
      </c>
      <c r="AS508" s="20" t="str">
        <f aca="false">HYPERLINK("http://www.openstreetmap.org/?mlat=33.3674&amp;mlon=44.1637&amp;zoom=12#map=12/33.3674/44.1637","Maplink1")</f>
        <v>Maplink1</v>
      </c>
      <c r="AT508" s="20" t="str">
        <f aca="false">HYPERLINK("https://www.google.iq/maps/search/+33.3674,44.1637/@33.3674,44.1637,14z?hl=en","Maplink2")</f>
        <v>Maplink2</v>
      </c>
      <c r="AU508" s="20" t="str">
        <f aca="false">HYPERLINK("http://www.bing.com/maps/?lvl=14&amp;sty=h&amp;cp=33.3674~44.1637&amp;sp=point.33.3674_44.1637","Maplink3")</f>
        <v>Maplink3</v>
      </c>
    </row>
    <row r="509" customFormat="false" ht="15" hidden="false" customHeight="true" outlineLevel="0" collapsed="false">
      <c r="A509" s="15" t="n">
        <v>24038</v>
      </c>
      <c r="B509" s="16" t="s">
        <v>17</v>
      </c>
      <c r="C509" s="16" t="s">
        <v>1005</v>
      </c>
      <c r="D509" s="16" t="s">
        <v>1018</v>
      </c>
      <c r="E509" s="17" t="s">
        <v>1019</v>
      </c>
      <c r="F509" s="16" t="n">
        <v>33.31298936</v>
      </c>
      <c r="G509" s="16" t="n">
        <v>44.17408079</v>
      </c>
      <c r="H509" s="18" t="n">
        <v>378</v>
      </c>
      <c r="I509" s="18" t="n">
        <v>2268</v>
      </c>
      <c r="J509" s="19" t="n">
        <v>378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 t="n">
        <v>50</v>
      </c>
      <c r="AD509" s="19"/>
      <c r="AE509" s="19"/>
      <c r="AF509" s="19"/>
      <c r="AG509" s="19"/>
      <c r="AH509" s="19" t="n">
        <v>317</v>
      </c>
      <c r="AI509" s="19"/>
      <c r="AJ509" s="19" t="n">
        <v>11</v>
      </c>
      <c r="AK509" s="19"/>
      <c r="AL509" s="19" t="n">
        <v>31</v>
      </c>
      <c r="AM509" s="19"/>
      <c r="AN509" s="19"/>
      <c r="AO509" s="19" t="n">
        <v>242</v>
      </c>
      <c r="AP509" s="19" t="n">
        <v>105</v>
      </c>
      <c r="AQ509" s="19"/>
      <c r="AR509" s="19"/>
      <c r="AS509" s="20" t="str">
        <f aca="false">HYPERLINK("http://www.openstreetmap.org/?mlat=33.313&amp;mlon=44.1741&amp;zoom=12#map=12/33.313/44.1741","Maplink1")</f>
        <v>Maplink1</v>
      </c>
      <c r="AT509" s="20" t="str">
        <f aca="false">HYPERLINK("https://www.google.iq/maps/search/+33.313,44.1741/@33.313,44.1741,14z?hl=en","Maplink2")</f>
        <v>Maplink2</v>
      </c>
      <c r="AU509" s="20" t="str">
        <f aca="false">HYPERLINK("http://www.bing.com/maps/?lvl=14&amp;sty=h&amp;cp=33.313~44.1741&amp;sp=point.33.313_44.1741","Maplink3")</f>
        <v>Maplink3</v>
      </c>
    </row>
    <row r="510" customFormat="false" ht="15" hidden="false" customHeight="true" outlineLevel="0" collapsed="false">
      <c r="A510" s="15" t="n">
        <v>24048</v>
      </c>
      <c r="B510" s="16" t="s">
        <v>17</v>
      </c>
      <c r="C510" s="16" t="s">
        <v>1005</v>
      </c>
      <c r="D510" s="16" t="s">
        <v>1020</v>
      </c>
      <c r="E510" s="17" t="s">
        <v>1021</v>
      </c>
      <c r="F510" s="16" t="n">
        <v>33.35866</v>
      </c>
      <c r="G510" s="16" t="n">
        <v>44.09154</v>
      </c>
      <c r="H510" s="18" t="n">
        <v>350</v>
      </c>
      <c r="I510" s="18" t="n">
        <v>2100</v>
      </c>
      <c r="J510" s="19" t="n">
        <v>85</v>
      </c>
      <c r="K510" s="19"/>
      <c r="L510" s="19" t="n">
        <v>204</v>
      </c>
      <c r="M510" s="19"/>
      <c r="N510" s="19"/>
      <c r="O510" s="19" t="n">
        <v>15</v>
      </c>
      <c r="P510" s="19"/>
      <c r="Q510" s="19"/>
      <c r="R510" s="19"/>
      <c r="S510" s="19"/>
      <c r="T510" s="19"/>
      <c r="U510" s="19"/>
      <c r="V510" s="19"/>
      <c r="W510" s="19"/>
      <c r="X510" s="19" t="n">
        <v>46</v>
      </c>
      <c r="Y510" s="19"/>
      <c r="Z510" s="19"/>
      <c r="AA510" s="19"/>
      <c r="AB510" s="19"/>
      <c r="AC510" s="19" t="n">
        <v>182</v>
      </c>
      <c r="AD510" s="19"/>
      <c r="AE510" s="19"/>
      <c r="AF510" s="19"/>
      <c r="AG510" s="19"/>
      <c r="AH510" s="19" t="n">
        <v>95</v>
      </c>
      <c r="AI510" s="19"/>
      <c r="AJ510" s="19" t="n">
        <v>73</v>
      </c>
      <c r="AK510" s="19"/>
      <c r="AL510" s="19" t="n">
        <v>52</v>
      </c>
      <c r="AM510" s="19"/>
      <c r="AN510" s="19"/>
      <c r="AO510" s="19" t="n">
        <v>179</v>
      </c>
      <c r="AP510" s="19" t="n">
        <v>119</v>
      </c>
      <c r="AQ510" s="19"/>
      <c r="AR510" s="19"/>
      <c r="AS510" s="20" t="str">
        <f aca="false">HYPERLINK("http://www.openstreetmap.org/?mlat=33.3587&amp;mlon=44.0915&amp;zoom=12#map=12/33.3587/44.0915","Maplink1")</f>
        <v>Maplink1</v>
      </c>
      <c r="AT510" s="20" t="str">
        <f aca="false">HYPERLINK("https://www.google.iq/maps/search/+33.3587,44.0915/@33.3587,44.0915,14z?hl=en","Maplink2")</f>
        <v>Maplink2</v>
      </c>
      <c r="AU510" s="20" t="str">
        <f aca="false">HYPERLINK("http://www.bing.com/maps/?lvl=14&amp;sty=h&amp;cp=33.3587~44.0915&amp;sp=point.33.3587_44.0915","Maplink3")</f>
        <v>Maplink3</v>
      </c>
    </row>
    <row r="511" customFormat="false" ht="15" hidden="false" customHeight="true" outlineLevel="0" collapsed="false">
      <c r="A511" s="15" t="n">
        <v>27247</v>
      </c>
      <c r="B511" s="16" t="s">
        <v>17</v>
      </c>
      <c r="C511" s="16" t="s">
        <v>1005</v>
      </c>
      <c r="D511" s="16" t="s">
        <v>1022</v>
      </c>
      <c r="E511" s="17" t="s">
        <v>1023</v>
      </c>
      <c r="F511" s="16" t="n">
        <v>33.31458335</v>
      </c>
      <c r="G511" s="16" t="n">
        <v>44.02126413</v>
      </c>
      <c r="H511" s="18" t="n">
        <v>360</v>
      </c>
      <c r="I511" s="18" t="n">
        <v>2160</v>
      </c>
      <c r="J511" s="19" t="n">
        <v>360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 t="n">
        <v>360</v>
      </c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 t="n">
        <v>297</v>
      </c>
      <c r="AQ511" s="19"/>
      <c r="AR511" s="19" t="n">
        <v>63</v>
      </c>
      <c r="AS511" s="20" t="str">
        <f aca="false">HYPERLINK("http://www.openstreetmap.org/?mlat=33.3146&amp;mlon=44.0213&amp;zoom=12#map=12/33.3146/44.0213","Maplink1")</f>
        <v>Maplink1</v>
      </c>
      <c r="AT511" s="20" t="str">
        <f aca="false">HYPERLINK("https://www.google.iq/maps/search/+33.3146,44.0213/@33.3146,44.0213,14z?hl=en","Maplink2")</f>
        <v>Maplink2</v>
      </c>
      <c r="AU511" s="20" t="str">
        <f aca="false">HYPERLINK("http://www.bing.com/maps/?lvl=14&amp;sty=h&amp;cp=33.3146~44.0213&amp;sp=point.33.3146_44.0213","Maplink3")</f>
        <v>Maplink3</v>
      </c>
    </row>
    <row r="512" customFormat="false" ht="15" hidden="false" customHeight="true" outlineLevel="0" collapsed="false">
      <c r="A512" s="15" t="n">
        <v>27291</v>
      </c>
      <c r="B512" s="16" t="s">
        <v>17</v>
      </c>
      <c r="C512" s="16" t="s">
        <v>1005</v>
      </c>
      <c r="D512" s="16" t="s">
        <v>1024</v>
      </c>
      <c r="E512" s="17" t="s">
        <v>1025</v>
      </c>
      <c r="F512" s="16" t="n">
        <v>33.4104</v>
      </c>
      <c r="G512" s="16" t="n">
        <v>44.0481</v>
      </c>
      <c r="H512" s="18" t="n">
        <v>108</v>
      </c>
      <c r="I512" s="18" t="n">
        <v>648</v>
      </c>
      <c r="J512" s="19" t="n">
        <v>88</v>
      </c>
      <c r="K512" s="19"/>
      <c r="L512" s="19" t="n">
        <v>9</v>
      </c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 t="n">
        <v>11</v>
      </c>
      <c r="Y512" s="19"/>
      <c r="Z512" s="19"/>
      <c r="AA512" s="19"/>
      <c r="AB512" s="19"/>
      <c r="AC512" s="19" t="n">
        <v>14</v>
      </c>
      <c r="AD512" s="19"/>
      <c r="AE512" s="19" t="n">
        <v>15</v>
      </c>
      <c r="AF512" s="19"/>
      <c r="AG512" s="19"/>
      <c r="AH512" s="19" t="n">
        <v>18</v>
      </c>
      <c r="AI512" s="19"/>
      <c r="AJ512" s="19" t="n">
        <v>61</v>
      </c>
      <c r="AK512" s="19"/>
      <c r="AL512" s="19"/>
      <c r="AM512" s="19"/>
      <c r="AN512" s="19"/>
      <c r="AO512" s="19" t="n">
        <v>20</v>
      </c>
      <c r="AP512" s="19" t="n">
        <v>47</v>
      </c>
      <c r="AQ512" s="19" t="n">
        <v>24</v>
      </c>
      <c r="AR512" s="19" t="n">
        <v>17</v>
      </c>
      <c r="AS512" s="20" t="str">
        <f aca="false">HYPERLINK("http://www.openstreetmap.org/?mlat=33.4104&amp;mlon=44.0481&amp;zoom=12#map=12/33.4104/44.0481","Maplink1")</f>
        <v>Maplink1</v>
      </c>
      <c r="AT512" s="20" t="str">
        <f aca="false">HYPERLINK("https://www.google.iq/maps/search/+33.4104,44.0481/@33.4104,44.0481,14z?hl=en","Maplink2")</f>
        <v>Maplink2</v>
      </c>
      <c r="AU512" s="20" t="str">
        <f aca="false">HYPERLINK("http://www.bing.com/maps/?lvl=14&amp;sty=h&amp;cp=33.4104~44.0481&amp;sp=point.33.4104_44.0481","Maplink3")</f>
        <v>Maplink3</v>
      </c>
    </row>
    <row r="513" customFormat="false" ht="15" hidden="false" customHeight="true" outlineLevel="0" collapsed="false">
      <c r="A513" s="15" t="n">
        <v>7623</v>
      </c>
      <c r="B513" s="16" t="s">
        <v>17</v>
      </c>
      <c r="C513" s="16" t="s">
        <v>1005</v>
      </c>
      <c r="D513" s="16" t="s">
        <v>1026</v>
      </c>
      <c r="E513" s="17" t="s">
        <v>1027</v>
      </c>
      <c r="F513" s="16" t="n">
        <v>33.31060469</v>
      </c>
      <c r="G513" s="16" t="n">
        <v>44.20017311</v>
      </c>
      <c r="H513" s="18" t="n">
        <v>269</v>
      </c>
      <c r="I513" s="18" t="n">
        <v>1614</v>
      </c>
      <c r="J513" s="19" t="n">
        <v>240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 t="n">
        <v>29</v>
      </c>
      <c r="Y513" s="19"/>
      <c r="Z513" s="19"/>
      <c r="AA513" s="19"/>
      <c r="AB513" s="19"/>
      <c r="AC513" s="19" t="n">
        <v>164</v>
      </c>
      <c r="AD513" s="19"/>
      <c r="AE513" s="19"/>
      <c r="AF513" s="19"/>
      <c r="AG513" s="19"/>
      <c r="AH513" s="19" t="n">
        <v>85</v>
      </c>
      <c r="AI513" s="19"/>
      <c r="AJ513" s="19" t="n">
        <v>20</v>
      </c>
      <c r="AK513" s="19"/>
      <c r="AL513" s="19" t="n">
        <v>66</v>
      </c>
      <c r="AM513" s="19"/>
      <c r="AN513" s="19"/>
      <c r="AO513" s="19" t="n">
        <v>118</v>
      </c>
      <c r="AP513" s="19" t="n">
        <v>85</v>
      </c>
      <c r="AQ513" s="19"/>
      <c r="AR513" s="19"/>
      <c r="AS513" s="20" t="str">
        <f aca="false">HYPERLINK("http://www.openstreetmap.org/?mlat=33.3106&amp;mlon=44.2002&amp;zoom=12#map=12/33.3106/44.2002","Maplink1")</f>
        <v>Maplink1</v>
      </c>
      <c r="AT513" s="20" t="str">
        <f aca="false">HYPERLINK("https://www.google.iq/maps/search/+33.3106,44.2002/@33.3106,44.2002,14z?hl=en","Maplink2")</f>
        <v>Maplink2</v>
      </c>
      <c r="AU513" s="20" t="str">
        <f aca="false">HYPERLINK("http://www.bing.com/maps/?lvl=14&amp;sty=h&amp;cp=33.3106~44.2002&amp;sp=point.33.3106_44.2002","Maplink3")</f>
        <v>Maplink3</v>
      </c>
    </row>
    <row r="514" customFormat="false" ht="15" hidden="false" customHeight="true" outlineLevel="0" collapsed="false">
      <c r="A514" s="15" t="n">
        <v>24049</v>
      </c>
      <c r="B514" s="16" t="s">
        <v>17</v>
      </c>
      <c r="C514" s="16" t="s">
        <v>1005</v>
      </c>
      <c r="D514" s="16" t="s">
        <v>1028</v>
      </c>
      <c r="E514" s="17" t="s">
        <v>1029</v>
      </c>
      <c r="F514" s="16" t="n">
        <v>33.2492</v>
      </c>
      <c r="G514" s="16" t="n">
        <v>44.0335</v>
      </c>
      <c r="H514" s="18" t="n">
        <v>278</v>
      </c>
      <c r="I514" s="18" t="n">
        <v>1668</v>
      </c>
      <c r="J514" s="19" t="n">
        <v>131</v>
      </c>
      <c r="K514" s="19"/>
      <c r="L514" s="19" t="n">
        <v>147</v>
      </c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 t="n">
        <v>243</v>
      </c>
      <c r="AD514" s="19"/>
      <c r="AE514" s="19"/>
      <c r="AF514" s="19"/>
      <c r="AG514" s="19"/>
      <c r="AH514" s="19" t="n">
        <v>35</v>
      </c>
      <c r="AI514" s="19"/>
      <c r="AJ514" s="19"/>
      <c r="AK514" s="19"/>
      <c r="AL514" s="19" t="n">
        <v>71</v>
      </c>
      <c r="AM514" s="19"/>
      <c r="AN514" s="19"/>
      <c r="AO514" s="19" t="n">
        <v>30</v>
      </c>
      <c r="AP514" s="19" t="n">
        <v>160</v>
      </c>
      <c r="AQ514" s="19" t="n">
        <v>17</v>
      </c>
      <c r="AR514" s="19"/>
      <c r="AS514" s="20" t="str">
        <f aca="false">HYPERLINK("http://www.openstreetmap.org/?mlat=33.2492&amp;mlon=44.0335&amp;zoom=12#map=12/33.2492/44.0335","Maplink1")</f>
        <v>Maplink1</v>
      </c>
      <c r="AT514" s="20" t="str">
        <f aca="false">HYPERLINK("https://www.google.iq/maps/search/+33.2492,44.0335/@33.2492,44.0335,14z?hl=en","Maplink2")</f>
        <v>Maplink2</v>
      </c>
      <c r="AU514" s="20" t="str">
        <f aca="false">HYPERLINK("http://www.bing.com/maps/?lvl=14&amp;sty=h&amp;cp=33.2492~44.0335&amp;sp=point.33.2492_44.0335","Maplink3")</f>
        <v>Maplink3</v>
      </c>
    </row>
    <row r="515" customFormat="false" ht="15" hidden="false" customHeight="true" outlineLevel="0" collapsed="false">
      <c r="A515" s="15" t="n">
        <v>29583</v>
      </c>
      <c r="B515" s="16" t="s">
        <v>17</v>
      </c>
      <c r="C515" s="16" t="s">
        <v>1005</v>
      </c>
      <c r="D515" s="16" t="s">
        <v>1030</v>
      </c>
      <c r="E515" s="17" t="s">
        <v>1031</v>
      </c>
      <c r="F515" s="16" t="n">
        <v>33.29697</v>
      </c>
      <c r="G515" s="16" t="n">
        <v>44.021672</v>
      </c>
      <c r="H515" s="18" t="n">
        <v>195</v>
      </c>
      <c r="I515" s="18" t="n">
        <v>1170</v>
      </c>
      <c r="J515" s="19" t="n">
        <v>195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 t="n">
        <v>195</v>
      </c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 t="n">
        <v>190</v>
      </c>
      <c r="AQ515" s="19" t="n">
        <v>5</v>
      </c>
      <c r="AR515" s="19"/>
      <c r="AS515" s="20" t="str">
        <f aca="false">HYPERLINK("http://www.openstreetmap.org/?mlat=33.297&amp;mlon=44.0217&amp;zoom=12#map=12/33.297/44.0217","Maplink1")</f>
        <v>Maplink1</v>
      </c>
      <c r="AT515" s="20" t="str">
        <f aca="false">HYPERLINK("https://www.google.iq/maps/search/+33.297,44.0217/@33.297,44.0217,14z?hl=en","Maplink2")</f>
        <v>Maplink2</v>
      </c>
      <c r="AU515" s="20" t="str">
        <f aca="false">HYPERLINK("http://www.bing.com/maps/?lvl=14&amp;sty=h&amp;cp=33.297~44.0217&amp;sp=point.33.297_44.0217","Maplink3")</f>
        <v>Maplink3</v>
      </c>
    </row>
    <row r="516" customFormat="false" ht="15" hidden="false" customHeight="true" outlineLevel="0" collapsed="false">
      <c r="A516" s="15" t="n">
        <v>7662</v>
      </c>
      <c r="B516" s="16" t="s">
        <v>17</v>
      </c>
      <c r="C516" s="16" t="s">
        <v>1005</v>
      </c>
      <c r="D516" s="16" t="s">
        <v>1032</v>
      </c>
      <c r="E516" s="17" t="s">
        <v>1033</v>
      </c>
      <c r="F516" s="16" t="n">
        <v>33.3092001</v>
      </c>
      <c r="G516" s="16" t="n">
        <v>44.17031492</v>
      </c>
      <c r="H516" s="18" t="n">
        <v>330</v>
      </c>
      <c r="I516" s="18" t="n">
        <v>1980</v>
      </c>
      <c r="J516" s="19" t="n">
        <v>330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 t="n">
        <v>164</v>
      </c>
      <c r="AD516" s="19"/>
      <c r="AE516" s="19"/>
      <c r="AF516" s="19"/>
      <c r="AG516" s="19"/>
      <c r="AH516" s="19" t="n">
        <v>166</v>
      </c>
      <c r="AI516" s="19"/>
      <c r="AJ516" s="19"/>
      <c r="AK516" s="19"/>
      <c r="AL516" s="19" t="n">
        <v>53</v>
      </c>
      <c r="AM516" s="19"/>
      <c r="AN516" s="19"/>
      <c r="AO516" s="19" t="n">
        <v>143</v>
      </c>
      <c r="AP516" s="19" t="n">
        <v>134</v>
      </c>
      <c r="AQ516" s="19"/>
      <c r="AR516" s="19"/>
      <c r="AS516" s="20" t="str">
        <f aca="false">HYPERLINK("http://www.openstreetmap.org/?mlat=33.3092&amp;mlon=44.1703&amp;zoom=12#map=12/33.3092/44.1703","Maplink1")</f>
        <v>Maplink1</v>
      </c>
      <c r="AT516" s="20" t="str">
        <f aca="false">HYPERLINK("https://www.google.iq/maps/search/+33.3092,44.1703/@33.3092,44.1703,14z?hl=en","Maplink2")</f>
        <v>Maplink2</v>
      </c>
      <c r="AU516" s="20" t="str">
        <f aca="false">HYPERLINK("http://www.bing.com/maps/?lvl=14&amp;sty=h&amp;cp=33.3092~44.1703&amp;sp=point.33.3092_44.1703","Maplink3")</f>
        <v>Maplink3</v>
      </c>
    </row>
    <row r="517" customFormat="false" ht="15" hidden="false" customHeight="true" outlineLevel="0" collapsed="false">
      <c r="A517" s="15" t="n">
        <v>23867</v>
      </c>
      <c r="B517" s="16" t="s">
        <v>17</v>
      </c>
      <c r="C517" s="16" t="s">
        <v>1005</v>
      </c>
      <c r="D517" s="16" t="s">
        <v>1034</v>
      </c>
      <c r="E517" s="17" t="s">
        <v>1035</v>
      </c>
      <c r="F517" s="16" t="n">
        <v>33.30042953</v>
      </c>
      <c r="G517" s="16" t="n">
        <v>44.04170885</v>
      </c>
      <c r="H517" s="18" t="n">
        <v>246</v>
      </c>
      <c r="I517" s="18" t="n">
        <v>1476</v>
      </c>
      <c r="J517" s="19" t="n">
        <v>165</v>
      </c>
      <c r="K517" s="19"/>
      <c r="L517" s="19" t="n">
        <v>81</v>
      </c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 t="n">
        <v>118</v>
      </c>
      <c r="AD517" s="19"/>
      <c r="AE517" s="19" t="n">
        <v>27</v>
      </c>
      <c r="AF517" s="19"/>
      <c r="AG517" s="19"/>
      <c r="AH517" s="19" t="n">
        <v>101</v>
      </c>
      <c r="AI517" s="19"/>
      <c r="AJ517" s="19"/>
      <c r="AK517" s="19"/>
      <c r="AL517" s="19" t="n">
        <v>100</v>
      </c>
      <c r="AM517" s="19"/>
      <c r="AN517" s="19"/>
      <c r="AO517" s="19" t="n">
        <v>70</v>
      </c>
      <c r="AP517" s="19" t="n">
        <v>76</v>
      </c>
      <c r="AQ517" s="19"/>
      <c r="AR517" s="19"/>
      <c r="AS517" s="20" t="str">
        <f aca="false">HYPERLINK("http://www.openstreetmap.org/?mlat=33.3004&amp;mlon=44.0417&amp;zoom=12#map=12/33.3004/44.0417","Maplink1")</f>
        <v>Maplink1</v>
      </c>
      <c r="AT517" s="20" t="str">
        <f aca="false">HYPERLINK("https://www.google.iq/maps/search/+33.3004,44.0417/@33.3004,44.0417,14z?hl=en","Maplink2")</f>
        <v>Maplink2</v>
      </c>
      <c r="AU517" s="20" t="str">
        <f aca="false">HYPERLINK("http://www.bing.com/maps/?lvl=14&amp;sty=h&amp;cp=33.3004~44.0417&amp;sp=point.33.3004_44.0417","Maplink3")</f>
        <v>Maplink3</v>
      </c>
    </row>
    <row r="518" customFormat="false" ht="15" hidden="false" customHeight="true" outlineLevel="0" collapsed="false">
      <c r="A518" s="15" t="n">
        <v>23864</v>
      </c>
      <c r="B518" s="16" t="s">
        <v>17</v>
      </c>
      <c r="C518" s="16" t="s">
        <v>1005</v>
      </c>
      <c r="D518" s="16" t="s">
        <v>1036</v>
      </c>
      <c r="E518" s="17" t="s">
        <v>1037</v>
      </c>
      <c r="F518" s="16" t="n">
        <v>33.30606507</v>
      </c>
      <c r="G518" s="16" t="n">
        <v>44.03183562</v>
      </c>
      <c r="H518" s="18" t="n">
        <v>131</v>
      </c>
      <c r="I518" s="18" t="n">
        <v>786</v>
      </c>
      <c r="J518" s="19" t="n">
        <v>60</v>
      </c>
      <c r="K518" s="19"/>
      <c r="L518" s="19" t="n">
        <v>71</v>
      </c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 t="n">
        <v>62</v>
      </c>
      <c r="AD518" s="19"/>
      <c r="AE518" s="19" t="n">
        <v>32</v>
      </c>
      <c r="AF518" s="19"/>
      <c r="AG518" s="19"/>
      <c r="AH518" s="19" t="n">
        <v>37</v>
      </c>
      <c r="AI518" s="19"/>
      <c r="AJ518" s="19"/>
      <c r="AK518" s="19"/>
      <c r="AL518" s="19"/>
      <c r="AM518" s="19"/>
      <c r="AN518" s="19"/>
      <c r="AO518" s="19" t="n">
        <v>61</v>
      </c>
      <c r="AP518" s="19" t="n">
        <v>70</v>
      </c>
      <c r="AQ518" s="19"/>
      <c r="AR518" s="19"/>
      <c r="AS518" s="20" t="str">
        <f aca="false">HYPERLINK("http://www.openstreetmap.org/?mlat=33.3061&amp;mlon=44.0318&amp;zoom=12#map=12/33.3061/44.0318","Maplink1")</f>
        <v>Maplink1</v>
      </c>
      <c r="AT518" s="20" t="str">
        <f aca="false">HYPERLINK("https://www.google.iq/maps/search/+33.3061,44.0318/@33.3061,44.0318,14z?hl=en","Maplink2")</f>
        <v>Maplink2</v>
      </c>
      <c r="AU518" s="20" t="str">
        <f aca="false">HYPERLINK("http://www.bing.com/maps/?lvl=14&amp;sty=h&amp;cp=33.3061~44.0318&amp;sp=point.33.3061_44.0318","Maplink3")</f>
        <v>Maplink3</v>
      </c>
    </row>
    <row r="519" customFormat="false" ht="15" hidden="false" customHeight="true" outlineLevel="0" collapsed="false">
      <c r="A519" s="15" t="n">
        <v>7626</v>
      </c>
      <c r="B519" s="16" t="s">
        <v>17</v>
      </c>
      <c r="C519" s="16" t="s">
        <v>1005</v>
      </c>
      <c r="D519" s="16" t="s">
        <v>1038</v>
      </c>
      <c r="E519" s="17" t="s">
        <v>1039</v>
      </c>
      <c r="F519" s="16" t="n">
        <v>33.30633229</v>
      </c>
      <c r="G519" s="16" t="n">
        <v>44.03196458</v>
      </c>
      <c r="H519" s="18" t="n">
        <v>557</v>
      </c>
      <c r="I519" s="18" t="n">
        <v>3342</v>
      </c>
      <c r="J519" s="19" t="n">
        <v>495</v>
      </c>
      <c r="K519" s="19"/>
      <c r="L519" s="19" t="n">
        <v>62</v>
      </c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 t="n">
        <v>271</v>
      </c>
      <c r="AD519" s="19"/>
      <c r="AE519" s="19"/>
      <c r="AF519" s="19"/>
      <c r="AG519" s="19"/>
      <c r="AH519" s="19" t="n">
        <v>286</v>
      </c>
      <c r="AI519" s="19"/>
      <c r="AJ519" s="19"/>
      <c r="AK519" s="19"/>
      <c r="AL519" s="19" t="n">
        <v>90</v>
      </c>
      <c r="AM519" s="19"/>
      <c r="AN519" s="19"/>
      <c r="AO519" s="19" t="n">
        <v>367</v>
      </c>
      <c r="AP519" s="19" t="n">
        <v>100</v>
      </c>
      <c r="AQ519" s="19"/>
      <c r="AR519" s="19"/>
      <c r="AS519" s="20" t="str">
        <f aca="false">HYPERLINK("http://www.openstreetmap.org/?mlat=33.3063&amp;mlon=44.032&amp;zoom=12#map=12/33.3063/44.032","Maplink1")</f>
        <v>Maplink1</v>
      </c>
      <c r="AT519" s="20" t="str">
        <f aca="false">HYPERLINK("https://www.google.iq/maps/search/+33.3063,44.032/@33.3063,44.032,14z?hl=en","Maplink2")</f>
        <v>Maplink2</v>
      </c>
      <c r="AU519" s="20" t="str">
        <f aca="false">HYPERLINK("http://www.bing.com/maps/?lvl=14&amp;sty=h&amp;cp=33.3063~44.032&amp;sp=point.33.3063_44.032","Maplink3")</f>
        <v>Maplink3</v>
      </c>
    </row>
    <row r="520" customFormat="false" ht="15" hidden="false" customHeight="true" outlineLevel="0" collapsed="false">
      <c r="A520" s="15" t="n">
        <v>24044</v>
      </c>
      <c r="B520" s="16" t="s">
        <v>17</v>
      </c>
      <c r="C520" s="16" t="s">
        <v>1005</v>
      </c>
      <c r="D520" s="16" t="s">
        <v>1040</v>
      </c>
      <c r="E520" s="17" t="s">
        <v>1041</v>
      </c>
      <c r="F520" s="16" t="n">
        <v>33.30834914</v>
      </c>
      <c r="G520" s="16" t="n">
        <v>44.02612109</v>
      </c>
      <c r="H520" s="18" t="n">
        <v>559</v>
      </c>
      <c r="I520" s="18" t="n">
        <v>3354</v>
      </c>
      <c r="J520" s="19" t="n">
        <v>456</v>
      </c>
      <c r="K520" s="19"/>
      <c r="L520" s="19" t="n">
        <v>103</v>
      </c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 t="n">
        <v>196</v>
      </c>
      <c r="AD520" s="19"/>
      <c r="AE520" s="19"/>
      <c r="AF520" s="19"/>
      <c r="AG520" s="19"/>
      <c r="AH520" s="19" t="n">
        <v>363</v>
      </c>
      <c r="AI520" s="19"/>
      <c r="AJ520" s="19"/>
      <c r="AK520" s="19"/>
      <c r="AL520" s="19" t="n">
        <v>149</v>
      </c>
      <c r="AM520" s="19"/>
      <c r="AN520" s="19"/>
      <c r="AO520" s="19" t="n">
        <v>263</v>
      </c>
      <c r="AP520" s="19" t="n">
        <v>147</v>
      </c>
      <c r="AQ520" s="19"/>
      <c r="AR520" s="19"/>
      <c r="AS520" s="20" t="str">
        <f aca="false">HYPERLINK("http://www.openstreetmap.org/?mlat=33.3083&amp;mlon=44.0261&amp;zoom=12#map=12/33.3083/44.0261","Maplink1")</f>
        <v>Maplink1</v>
      </c>
      <c r="AT520" s="20" t="str">
        <f aca="false">HYPERLINK("https://www.google.iq/maps/search/+33.3083,44.0261/@33.3083,44.0261,14z?hl=en","Maplink2")</f>
        <v>Maplink2</v>
      </c>
      <c r="AU520" s="20" t="str">
        <f aca="false">HYPERLINK("http://www.bing.com/maps/?lvl=14&amp;sty=h&amp;cp=33.3083~44.0261&amp;sp=point.33.3083_44.0261","Maplink3")</f>
        <v>Maplink3</v>
      </c>
    </row>
    <row r="521" customFormat="false" ht="15" hidden="false" customHeight="true" outlineLevel="0" collapsed="false">
      <c r="A521" s="15" t="n">
        <v>23866</v>
      </c>
      <c r="B521" s="16" t="s">
        <v>17</v>
      </c>
      <c r="C521" s="16" t="s">
        <v>1005</v>
      </c>
      <c r="D521" s="16" t="s">
        <v>1042</v>
      </c>
      <c r="E521" s="17" t="s">
        <v>1043</v>
      </c>
      <c r="F521" s="16" t="n">
        <v>33.30544347</v>
      </c>
      <c r="G521" s="16" t="n">
        <v>44.03053533</v>
      </c>
      <c r="H521" s="18" t="n">
        <v>261</v>
      </c>
      <c r="I521" s="18" t="n">
        <v>1566</v>
      </c>
      <c r="J521" s="19" t="n">
        <v>153</v>
      </c>
      <c r="K521" s="19"/>
      <c r="L521" s="19" t="n">
        <v>108</v>
      </c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 t="n">
        <v>107</v>
      </c>
      <c r="AD521" s="19"/>
      <c r="AE521" s="19"/>
      <c r="AF521" s="19"/>
      <c r="AG521" s="19"/>
      <c r="AH521" s="19" t="n">
        <v>154</v>
      </c>
      <c r="AI521" s="19"/>
      <c r="AJ521" s="19"/>
      <c r="AK521" s="19"/>
      <c r="AL521" s="19" t="n">
        <v>100</v>
      </c>
      <c r="AM521" s="19"/>
      <c r="AN521" s="19"/>
      <c r="AO521" s="19" t="n">
        <v>101</v>
      </c>
      <c r="AP521" s="19" t="n">
        <v>60</v>
      </c>
      <c r="AQ521" s="19"/>
      <c r="AR521" s="19"/>
      <c r="AS521" s="20" t="str">
        <f aca="false">HYPERLINK("http://www.openstreetmap.org/?mlat=33.3054&amp;mlon=44.0305&amp;zoom=12#map=12/33.3054/44.0305","Maplink1")</f>
        <v>Maplink1</v>
      </c>
      <c r="AT521" s="20" t="str">
        <f aca="false">HYPERLINK("https://www.google.iq/maps/search/+33.3054,44.0305/@33.3054,44.0305,14z?hl=en","Maplink2")</f>
        <v>Maplink2</v>
      </c>
      <c r="AU521" s="20" t="str">
        <f aca="false">HYPERLINK("http://www.bing.com/maps/?lvl=14&amp;sty=h&amp;cp=33.3054~44.0305&amp;sp=point.33.3054_44.0305","Maplink3")</f>
        <v>Maplink3</v>
      </c>
    </row>
    <row r="522" customFormat="false" ht="15" hidden="false" customHeight="true" outlineLevel="0" collapsed="false">
      <c r="A522" s="15" t="n">
        <v>23865</v>
      </c>
      <c r="B522" s="16" t="s">
        <v>17</v>
      </c>
      <c r="C522" s="16" t="s">
        <v>1005</v>
      </c>
      <c r="D522" s="16" t="s">
        <v>1044</v>
      </c>
      <c r="E522" s="17" t="s">
        <v>1045</v>
      </c>
      <c r="F522" s="16" t="n">
        <v>33.2966</v>
      </c>
      <c r="G522" s="16" t="n">
        <v>44.0292</v>
      </c>
      <c r="H522" s="18" t="n">
        <v>270</v>
      </c>
      <c r="I522" s="18" t="n">
        <v>1620</v>
      </c>
      <c r="J522" s="19" t="n">
        <v>135</v>
      </c>
      <c r="K522" s="19"/>
      <c r="L522" s="19" t="n">
        <v>135</v>
      </c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 t="n">
        <v>144</v>
      </c>
      <c r="AD522" s="19"/>
      <c r="AE522" s="19"/>
      <c r="AF522" s="19"/>
      <c r="AG522" s="19"/>
      <c r="AH522" s="19" t="n">
        <v>126</v>
      </c>
      <c r="AI522" s="19"/>
      <c r="AJ522" s="19"/>
      <c r="AK522" s="19"/>
      <c r="AL522" s="19" t="n">
        <v>60</v>
      </c>
      <c r="AM522" s="19"/>
      <c r="AN522" s="19"/>
      <c r="AO522" s="19" t="n">
        <v>78</v>
      </c>
      <c r="AP522" s="19" t="n">
        <v>132</v>
      </c>
      <c r="AQ522" s="19"/>
      <c r="AR522" s="19"/>
      <c r="AS522" s="20" t="str">
        <f aca="false">HYPERLINK("http://www.openstreetmap.org/?mlat=33.2966&amp;mlon=44.0292&amp;zoom=12#map=12/33.2966/44.0292","Maplink1")</f>
        <v>Maplink1</v>
      </c>
      <c r="AT522" s="20" t="str">
        <f aca="false">HYPERLINK("https://www.google.iq/maps/search/+33.2966,44.0292/@33.2966,44.0292,14z?hl=en","Maplink2")</f>
        <v>Maplink2</v>
      </c>
      <c r="AU522" s="20" t="str">
        <f aca="false">HYPERLINK("http://www.bing.com/maps/?lvl=14&amp;sty=h&amp;cp=33.2966~44.0292&amp;sp=point.33.2966_44.0292","Maplink3")</f>
        <v>Maplink3</v>
      </c>
    </row>
    <row r="523" customFormat="false" ht="15" hidden="false" customHeight="true" outlineLevel="0" collapsed="false">
      <c r="A523" s="15" t="n">
        <v>24045</v>
      </c>
      <c r="B523" s="16" t="s">
        <v>17</v>
      </c>
      <c r="C523" s="16" t="s">
        <v>1005</v>
      </c>
      <c r="D523" s="16" t="s">
        <v>1046</v>
      </c>
      <c r="E523" s="17" t="s">
        <v>1047</v>
      </c>
      <c r="F523" s="16" t="n">
        <v>33.30214586</v>
      </c>
      <c r="G523" s="16" t="n">
        <v>44.02912684</v>
      </c>
      <c r="H523" s="18" t="n">
        <v>487</v>
      </c>
      <c r="I523" s="18" t="n">
        <v>2922</v>
      </c>
      <c r="J523" s="19" t="n">
        <v>456</v>
      </c>
      <c r="K523" s="19"/>
      <c r="L523" s="19" t="n">
        <v>31</v>
      </c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 t="n">
        <v>287</v>
      </c>
      <c r="AD523" s="19"/>
      <c r="AE523" s="19"/>
      <c r="AF523" s="19"/>
      <c r="AG523" s="19"/>
      <c r="AH523" s="19" t="n">
        <v>200</v>
      </c>
      <c r="AI523" s="19"/>
      <c r="AJ523" s="19"/>
      <c r="AK523" s="19"/>
      <c r="AL523" s="19" t="n">
        <v>98</v>
      </c>
      <c r="AM523" s="19"/>
      <c r="AN523" s="19"/>
      <c r="AO523" s="19" t="n">
        <v>218</v>
      </c>
      <c r="AP523" s="19" t="n">
        <v>171</v>
      </c>
      <c r="AQ523" s="19"/>
      <c r="AR523" s="19"/>
      <c r="AS523" s="20" t="str">
        <f aca="false">HYPERLINK("http://www.openstreetmap.org/?mlat=33.3021&amp;mlon=44.0291&amp;zoom=12#map=12/33.3021/44.0291","Maplink1")</f>
        <v>Maplink1</v>
      </c>
      <c r="AT523" s="20" t="str">
        <f aca="false">HYPERLINK("https://www.google.iq/maps/search/+33.3021,44.0291/@33.3021,44.0291,14z?hl=en","Maplink2")</f>
        <v>Maplink2</v>
      </c>
      <c r="AU523" s="20" t="str">
        <f aca="false">HYPERLINK("http://www.bing.com/maps/?lvl=14&amp;sty=h&amp;cp=33.3021~44.0291&amp;sp=point.33.3021_44.0291","Maplink3")</f>
        <v>Maplink3</v>
      </c>
    </row>
    <row r="524" customFormat="false" ht="15" hidden="false" customHeight="true" outlineLevel="0" collapsed="false">
      <c r="A524" s="15" t="n">
        <v>24046</v>
      </c>
      <c r="B524" s="16" t="s">
        <v>17</v>
      </c>
      <c r="C524" s="16" t="s">
        <v>1005</v>
      </c>
      <c r="D524" s="16" t="s">
        <v>1048</v>
      </c>
      <c r="E524" s="17" t="s">
        <v>1049</v>
      </c>
      <c r="F524" s="16" t="n">
        <v>33.2975371</v>
      </c>
      <c r="G524" s="16" t="n">
        <v>44.02379296</v>
      </c>
      <c r="H524" s="18" t="n">
        <v>451</v>
      </c>
      <c r="I524" s="18" t="n">
        <v>2706</v>
      </c>
      <c r="J524" s="19" t="n">
        <v>330</v>
      </c>
      <c r="K524" s="19"/>
      <c r="L524" s="19" t="n">
        <v>121</v>
      </c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 t="n">
        <v>201</v>
      </c>
      <c r="AD524" s="19"/>
      <c r="AE524" s="19"/>
      <c r="AF524" s="19"/>
      <c r="AG524" s="19"/>
      <c r="AH524" s="19" t="n">
        <v>250</v>
      </c>
      <c r="AI524" s="19"/>
      <c r="AJ524" s="19"/>
      <c r="AK524" s="19"/>
      <c r="AL524" s="19" t="n">
        <v>102</v>
      </c>
      <c r="AM524" s="19"/>
      <c r="AN524" s="19"/>
      <c r="AO524" s="19" t="n">
        <v>338</v>
      </c>
      <c r="AP524" s="19"/>
      <c r="AQ524" s="19" t="n">
        <v>11</v>
      </c>
      <c r="AR524" s="19"/>
      <c r="AS524" s="20" t="str">
        <f aca="false">HYPERLINK("http://www.openstreetmap.org/?mlat=33.2975&amp;mlon=44.0238&amp;zoom=12#map=12/33.2975/44.0238","Maplink1")</f>
        <v>Maplink1</v>
      </c>
      <c r="AT524" s="20" t="str">
        <f aca="false">HYPERLINK("https://www.google.iq/maps/search/+33.2975,44.0238/@33.2975,44.0238,14z?hl=en","Maplink2")</f>
        <v>Maplink2</v>
      </c>
      <c r="AU524" s="20" t="str">
        <f aca="false">HYPERLINK("http://www.bing.com/maps/?lvl=14&amp;sty=h&amp;cp=33.2975~44.0238&amp;sp=point.33.2975_44.0238","Maplink3")</f>
        <v>Maplink3</v>
      </c>
    </row>
    <row r="525" customFormat="false" ht="15" hidden="false" customHeight="true" outlineLevel="0" collapsed="false">
      <c r="A525" s="15" t="n">
        <v>7658</v>
      </c>
      <c r="B525" s="16" t="s">
        <v>17</v>
      </c>
      <c r="C525" s="16" t="s">
        <v>1005</v>
      </c>
      <c r="D525" s="16" t="s">
        <v>1050</v>
      </c>
      <c r="E525" s="17" t="s">
        <v>1051</v>
      </c>
      <c r="F525" s="16" t="n">
        <v>33.29756184</v>
      </c>
      <c r="G525" s="16" t="n">
        <v>44.1197614</v>
      </c>
      <c r="H525" s="18" t="n">
        <v>719</v>
      </c>
      <c r="I525" s="18" t="n">
        <v>4314</v>
      </c>
      <c r="J525" s="19" t="n">
        <v>656</v>
      </c>
      <c r="K525" s="19"/>
      <c r="L525" s="19" t="n">
        <v>53</v>
      </c>
      <c r="M525" s="19"/>
      <c r="N525" s="19"/>
      <c r="O525" s="19" t="n">
        <v>3</v>
      </c>
      <c r="P525" s="19"/>
      <c r="Q525" s="19"/>
      <c r="R525" s="19"/>
      <c r="S525" s="19"/>
      <c r="T525" s="19"/>
      <c r="U525" s="19"/>
      <c r="V525" s="19"/>
      <c r="W525" s="19"/>
      <c r="X525" s="19" t="n">
        <v>7</v>
      </c>
      <c r="Y525" s="19"/>
      <c r="Z525" s="19"/>
      <c r="AA525" s="19"/>
      <c r="AB525" s="19"/>
      <c r="AC525" s="19" t="n">
        <v>267</v>
      </c>
      <c r="AD525" s="19"/>
      <c r="AE525" s="19"/>
      <c r="AF525" s="19"/>
      <c r="AG525" s="19" t="n">
        <v>9</v>
      </c>
      <c r="AH525" s="19" t="n">
        <v>443</v>
      </c>
      <c r="AI525" s="19"/>
      <c r="AJ525" s="19"/>
      <c r="AK525" s="19"/>
      <c r="AL525" s="19" t="n">
        <v>54</v>
      </c>
      <c r="AM525" s="19" t="n">
        <v>66</v>
      </c>
      <c r="AN525" s="19"/>
      <c r="AO525" s="19" t="n">
        <v>271</v>
      </c>
      <c r="AP525" s="19" t="n">
        <v>304</v>
      </c>
      <c r="AQ525" s="19" t="n">
        <v>24</v>
      </c>
      <c r="AR525" s="19"/>
      <c r="AS525" s="20" t="str">
        <f aca="false">HYPERLINK("http://www.openstreetmap.org/?mlat=33.2976&amp;mlon=44.1198&amp;zoom=12#map=12/33.2976/44.1198","Maplink1")</f>
        <v>Maplink1</v>
      </c>
      <c r="AT525" s="20" t="str">
        <f aca="false">HYPERLINK("https://www.google.iq/maps/search/+33.2976,44.1198/@33.2976,44.1198,14z?hl=en","Maplink2")</f>
        <v>Maplink2</v>
      </c>
      <c r="AU525" s="20" t="str">
        <f aca="false">HYPERLINK("http://www.bing.com/maps/?lvl=14&amp;sty=h&amp;cp=33.2976~44.1198&amp;sp=point.33.2976_44.1198","Maplink3")</f>
        <v>Maplink3</v>
      </c>
    </row>
    <row r="526" customFormat="false" ht="15" hidden="false" customHeight="true" outlineLevel="0" collapsed="false">
      <c r="A526" s="15" t="n">
        <v>25829</v>
      </c>
      <c r="B526" s="16" t="s">
        <v>17</v>
      </c>
      <c r="C526" s="16" t="s">
        <v>1005</v>
      </c>
      <c r="D526" s="16" t="s">
        <v>1052</v>
      </c>
      <c r="E526" s="17" t="s">
        <v>1053</v>
      </c>
      <c r="F526" s="16" t="n">
        <v>33.29099784</v>
      </c>
      <c r="G526" s="16" t="n">
        <v>44.11034661</v>
      </c>
      <c r="H526" s="18" t="n">
        <v>167</v>
      </c>
      <c r="I526" s="18" t="n">
        <v>1002</v>
      </c>
      <c r="J526" s="19" t="n">
        <v>167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 t="n">
        <v>167</v>
      </c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 t="n">
        <v>83</v>
      </c>
      <c r="AQ526" s="19" t="n">
        <v>82</v>
      </c>
      <c r="AR526" s="19" t="n">
        <v>2</v>
      </c>
      <c r="AS526" s="20" t="str">
        <f aca="false">HYPERLINK("http://www.openstreetmap.org/?mlat=33.291&amp;mlon=44.1103&amp;zoom=12#map=12/33.291/44.1103","Maplink1")</f>
        <v>Maplink1</v>
      </c>
      <c r="AT526" s="20" t="str">
        <f aca="false">HYPERLINK("https://www.google.iq/maps/search/+33.291,44.1103/@33.291,44.1103,14z?hl=en","Maplink2")</f>
        <v>Maplink2</v>
      </c>
      <c r="AU526" s="20" t="str">
        <f aca="false">HYPERLINK("http://www.bing.com/maps/?lvl=14&amp;sty=h&amp;cp=33.291~44.1103&amp;sp=point.33.291_44.1103","Maplink3")</f>
        <v>Maplink3</v>
      </c>
    </row>
    <row r="527" customFormat="false" ht="15" hidden="false" customHeight="true" outlineLevel="0" collapsed="false">
      <c r="A527" s="15" t="n">
        <v>24054</v>
      </c>
      <c r="B527" s="16" t="s">
        <v>17</v>
      </c>
      <c r="C527" s="16" t="s">
        <v>1005</v>
      </c>
      <c r="D527" s="16" t="s">
        <v>1054</v>
      </c>
      <c r="E527" s="17" t="s">
        <v>1055</v>
      </c>
      <c r="F527" s="16" t="n">
        <v>33.29438</v>
      </c>
      <c r="G527" s="16" t="n">
        <v>43.97541</v>
      </c>
      <c r="H527" s="18" t="n">
        <v>35</v>
      </c>
      <c r="I527" s="18" t="n">
        <v>210</v>
      </c>
      <c r="J527" s="19" t="n">
        <v>35</v>
      </c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 t="n">
        <v>35</v>
      </c>
      <c r="AD527" s="19"/>
      <c r="AE527" s="19"/>
      <c r="AF527" s="19"/>
      <c r="AG527" s="19"/>
      <c r="AH527" s="19"/>
      <c r="AI527" s="19"/>
      <c r="AJ527" s="19"/>
      <c r="AK527" s="19"/>
      <c r="AL527" s="19" t="n">
        <v>5</v>
      </c>
      <c r="AM527" s="19"/>
      <c r="AN527" s="19"/>
      <c r="AO527" s="19"/>
      <c r="AP527" s="19" t="n">
        <v>24</v>
      </c>
      <c r="AQ527" s="19" t="n">
        <v>6</v>
      </c>
      <c r="AR527" s="19"/>
      <c r="AS527" s="20" t="str">
        <f aca="false">HYPERLINK("http://www.openstreetmap.org/?mlat=33.2944&amp;mlon=43.9754&amp;zoom=12#map=12/33.2944/43.9754","Maplink1")</f>
        <v>Maplink1</v>
      </c>
      <c r="AT527" s="20" t="str">
        <f aca="false">HYPERLINK("https://www.google.iq/maps/search/+33.2944,43.9754/@33.2944,43.9754,14z?hl=en","Maplink2")</f>
        <v>Maplink2</v>
      </c>
      <c r="AU527" s="20" t="str">
        <f aca="false">HYPERLINK("http://www.bing.com/maps/?lvl=14&amp;sty=h&amp;cp=33.2944~43.9754&amp;sp=point.33.2944_43.9754","Maplink3")</f>
        <v>Maplink3</v>
      </c>
    </row>
    <row r="528" customFormat="false" ht="15" hidden="false" customHeight="true" outlineLevel="0" collapsed="false">
      <c r="A528" s="15" t="n">
        <v>24036</v>
      </c>
      <c r="B528" s="16" t="s">
        <v>17</v>
      </c>
      <c r="C528" s="16" t="s">
        <v>1005</v>
      </c>
      <c r="D528" s="16" t="s">
        <v>1056</v>
      </c>
      <c r="E528" s="17" t="s">
        <v>1057</v>
      </c>
      <c r="F528" s="16" t="n">
        <v>33.31390123</v>
      </c>
      <c r="G528" s="16" t="n">
        <v>44.17616822</v>
      </c>
      <c r="H528" s="18" t="n">
        <v>50</v>
      </c>
      <c r="I528" s="18" t="n">
        <v>300</v>
      </c>
      <c r="J528" s="19" t="n">
        <v>50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 t="n">
        <v>50</v>
      </c>
      <c r="AI528" s="19"/>
      <c r="AJ528" s="19"/>
      <c r="AK528" s="19"/>
      <c r="AL528" s="19"/>
      <c r="AM528" s="19" t="n">
        <v>10</v>
      </c>
      <c r="AN528" s="19"/>
      <c r="AO528" s="19"/>
      <c r="AP528" s="19" t="n">
        <v>40</v>
      </c>
      <c r="AQ528" s="19"/>
      <c r="AR528" s="19"/>
      <c r="AS528" s="20" t="str">
        <f aca="false">HYPERLINK("http://www.openstreetmap.org/?mlat=33.3139&amp;mlon=44.1762&amp;zoom=12#map=12/33.3139/44.1762","Maplink1")</f>
        <v>Maplink1</v>
      </c>
      <c r="AT528" s="20" t="str">
        <f aca="false">HYPERLINK("https://www.google.iq/maps/search/+33.3139,44.1762/@33.3139,44.1762,14z?hl=en","Maplink2")</f>
        <v>Maplink2</v>
      </c>
      <c r="AU528" s="20" t="str">
        <f aca="false">HYPERLINK("http://www.bing.com/maps/?lvl=14&amp;sty=h&amp;cp=33.3139~44.1762&amp;sp=point.33.3139_44.1762","Maplink3")</f>
        <v>Maplink3</v>
      </c>
    </row>
    <row r="529" customFormat="false" ht="15" hidden="false" customHeight="true" outlineLevel="0" collapsed="false">
      <c r="A529" s="15" t="n">
        <v>24042</v>
      </c>
      <c r="B529" s="16" t="s">
        <v>17</v>
      </c>
      <c r="C529" s="16" t="s">
        <v>1005</v>
      </c>
      <c r="D529" s="16" t="s">
        <v>1058</v>
      </c>
      <c r="E529" s="17" t="s">
        <v>1059</v>
      </c>
      <c r="F529" s="16" t="n">
        <v>33.288</v>
      </c>
      <c r="G529" s="16" t="n">
        <v>43.9187</v>
      </c>
      <c r="H529" s="18" t="n">
        <v>20</v>
      </c>
      <c r="I529" s="18" t="n">
        <v>120</v>
      </c>
      <c r="J529" s="19" t="n">
        <v>20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 t="n">
        <v>10</v>
      </c>
      <c r="AD529" s="19"/>
      <c r="AE529" s="19"/>
      <c r="AF529" s="19"/>
      <c r="AG529" s="19"/>
      <c r="AH529" s="19" t="n">
        <v>10</v>
      </c>
      <c r="AI529" s="19"/>
      <c r="AJ529" s="19"/>
      <c r="AK529" s="19"/>
      <c r="AL529" s="19" t="n">
        <v>10</v>
      </c>
      <c r="AM529" s="19"/>
      <c r="AN529" s="19"/>
      <c r="AO529" s="19"/>
      <c r="AP529" s="19" t="n">
        <v>10</v>
      </c>
      <c r="AQ529" s="19"/>
      <c r="AR529" s="19"/>
      <c r="AS529" s="20" t="str">
        <f aca="false">HYPERLINK("http://www.openstreetmap.org/?mlat=33.288&amp;mlon=43.9187&amp;zoom=12#map=12/33.288/43.9187","Maplink1")</f>
        <v>Maplink1</v>
      </c>
      <c r="AT529" s="20" t="str">
        <f aca="false">HYPERLINK("https://www.google.iq/maps/search/+33.288,43.9187/@33.288,43.9187,14z?hl=en","Maplink2")</f>
        <v>Maplink2</v>
      </c>
      <c r="AU529" s="20" t="str">
        <f aca="false">HYPERLINK("http://www.bing.com/maps/?lvl=14&amp;sty=h&amp;cp=33.288~43.9187&amp;sp=point.33.288_43.9187","Maplink3")</f>
        <v>Maplink3</v>
      </c>
    </row>
    <row r="530" customFormat="false" ht="15" hidden="false" customHeight="true" outlineLevel="0" collapsed="false">
      <c r="A530" s="15" t="n">
        <v>24055</v>
      </c>
      <c r="B530" s="16" t="s">
        <v>17</v>
      </c>
      <c r="C530" s="16" t="s">
        <v>1005</v>
      </c>
      <c r="D530" s="16" t="s">
        <v>1060</v>
      </c>
      <c r="E530" s="17" t="s">
        <v>1061</v>
      </c>
      <c r="F530" s="16" t="n">
        <v>33.29688374</v>
      </c>
      <c r="G530" s="16" t="n">
        <v>44.08378229</v>
      </c>
      <c r="H530" s="18" t="n">
        <v>100</v>
      </c>
      <c r="I530" s="18" t="n">
        <v>600</v>
      </c>
      <c r="J530" s="19" t="n">
        <v>67</v>
      </c>
      <c r="K530" s="19"/>
      <c r="L530" s="19" t="n">
        <v>33</v>
      </c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 t="n">
        <v>77</v>
      </c>
      <c r="AD530" s="19"/>
      <c r="AE530" s="19"/>
      <c r="AF530" s="19"/>
      <c r="AG530" s="19"/>
      <c r="AH530" s="19" t="n">
        <v>23</v>
      </c>
      <c r="AI530" s="19"/>
      <c r="AJ530" s="19"/>
      <c r="AK530" s="19"/>
      <c r="AL530" s="19" t="n">
        <v>29</v>
      </c>
      <c r="AM530" s="19"/>
      <c r="AN530" s="19" t="n">
        <v>14</v>
      </c>
      <c r="AO530" s="19" t="n">
        <v>38</v>
      </c>
      <c r="AP530" s="19" t="n">
        <v>10</v>
      </c>
      <c r="AQ530" s="19" t="n">
        <v>9</v>
      </c>
      <c r="AR530" s="19"/>
      <c r="AS530" s="20" t="str">
        <f aca="false">HYPERLINK("http://www.openstreetmap.org/?mlat=33.2969&amp;mlon=44.0838&amp;zoom=12#map=12/33.2969/44.0838","Maplink1")</f>
        <v>Maplink1</v>
      </c>
      <c r="AT530" s="20" t="str">
        <f aca="false">HYPERLINK("https://www.google.iq/maps/search/+33.2969,44.0838/@33.2969,44.0838,14z?hl=en","Maplink2")</f>
        <v>Maplink2</v>
      </c>
      <c r="AU530" s="20" t="str">
        <f aca="false">HYPERLINK("http://www.bing.com/maps/?lvl=14&amp;sty=h&amp;cp=33.2969~44.0838&amp;sp=point.33.2969_44.0838","Maplink3")</f>
        <v>Maplink3</v>
      </c>
    </row>
    <row r="531" customFormat="false" ht="15" hidden="false" customHeight="true" outlineLevel="0" collapsed="false">
      <c r="A531" s="15" t="n">
        <v>24033</v>
      </c>
      <c r="B531" s="16" t="s">
        <v>17</v>
      </c>
      <c r="C531" s="16" t="s">
        <v>1005</v>
      </c>
      <c r="D531" s="16" t="s">
        <v>1062</v>
      </c>
      <c r="E531" s="17" t="s">
        <v>1063</v>
      </c>
      <c r="F531" s="16" t="n">
        <v>33.3253082</v>
      </c>
      <c r="G531" s="16" t="n">
        <v>44.19167994</v>
      </c>
      <c r="H531" s="18" t="n">
        <v>82</v>
      </c>
      <c r="I531" s="18" t="n">
        <v>492</v>
      </c>
      <c r="J531" s="19" t="n">
        <v>82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 t="n">
        <v>28</v>
      </c>
      <c r="AD531" s="19"/>
      <c r="AE531" s="19"/>
      <c r="AF531" s="19"/>
      <c r="AG531" s="19"/>
      <c r="AH531" s="19" t="n">
        <v>54</v>
      </c>
      <c r="AI531" s="19"/>
      <c r="AJ531" s="19"/>
      <c r="AK531" s="19"/>
      <c r="AL531" s="19" t="n">
        <v>30</v>
      </c>
      <c r="AM531" s="19"/>
      <c r="AN531" s="19"/>
      <c r="AO531" s="19" t="n">
        <v>40</v>
      </c>
      <c r="AP531" s="19" t="n">
        <v>12</v>
      </c>
      <c r="AQ531" s="19"/>
      <c r="AR531" s="19"/>
      <c r="AS531" s="20" t="str">
        <f aca="false">HYPERLINK("http://www.openstreetmap.org/?mlat=33.3253&amp;mlon=44.1917&amp;zoom=12#map=12/33.3253/44.1917","Maplink1")</f>
        <v>Maplink1</v>
      </c>
      <c r="AT531" s="20" t="str">
        <f aca="false">HYPERLINK("https://www.google.iq/maps/search/+33.3253,44.1917/@33.3253,44.1917,14z?hl=en","Maplink2")</f>
        <v>Maplink2</v>
      </c>
      <c r="AU531" s="20" t="str">
        <f aca="false">HYPERLINK("http://www.bing.com/maps/?lvl=14&amp;sty=h&amp;cp=33.3253~44.1917&amp;sp=point.33.3253_44.1917","Maplink3")</f>
        <v>Maplink3</v>
      </c>
    </row>
    <row r="532" customFormat="false" ht="15" hidden="false" customHeight="true" outlineLevel="0" collapsed="false">
      <c r="A532" s="15" t="n">
        <v>24034</v>
      </c>
      <c r="B532" s="16" t="s">
        <v>17</v>
      </c>
      <c r="C532" s="16" t="s">
        <v>1005</v>
      </c>
      <c r="D532" s="16" t="s">
        <v>1064</v>
      </c>
      <c r="E532" s="17" t="s">
        <v>1065</v>
      </c>
      <c r="F532" s="16" t="n">
        <v>33.31170852</v>
      </c>
      <c r="G532" s="16" t="n">
        <v>44.14172027</v>
      </c>
      <c r="H532" s="18" t="n">
        <v>76</v>
      </c>
      <c r="I532" s="18" t="n">
        <v>456</v>
      </c>
      <c r="J532" s="19" t="n">
        <v>76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 t="n">
        <v>25</v>
      </c>
      <c r="AD532" s="19"/>
      <c r="AE532" s="19"/>
      <c r="AF532" s="19"/>
      <c r="AG532" s="19"/>
      <c r="AH532" s="19" t="n">
        <v>51</v>
      </c>
      <c r="AI532" s="19"/>
      <c r="AJ532" s="19"/>
      <c r="AK532" s="19"/>
      <c r="AL532" s="19"/>
      <c r="AM532" s="19"/>
      <c r="AN532" s="19"/>
      <c r="AO532" s="19" t="n">
        <v>23</v>
      </c>
      <c r="AP532" s="19" t="n">
        <v>53</v>
      </c>
      <c r="AQ532" s="19"/>
      <c r="AR532" s="19"/>
      <c r="AS532" s="20" t="str">
        <f aca="false">HYPERLINK("http://www.openstreetmap.org/?mlat=33.3117&amp;mlon=44.1417&amp;zoom=12#map=12/33.3117/44.1417","Maplink1")</f>
        <v>Maplink1</v>
      </c>
      <c r="AT532" s="20" t="str">
        <f aca="false">HYPERLINK("https://www.google.iq/maps/search/+33.3117,44.1417/@33.3117,44.1417,14z?hl=en","Maplink2")</f>
        <v>Maplink2</v>
      </c>
      <c r="AU532" s="20" t="str">
        <f aca="false">HYPERLINK("http://www.bing.com/maps/?lvl=14&amp;sty=h&amp;cp=33.3117~44.1417&amp;sp=point.33.3117_44.1417","Maplink3")</f>
        <v>Maplink3</v>
      </c>
    </row>
    <row r="533" customFormat="false" ht="15" hidden="false" customHeight="true" outlineLevel="0" collapsed="false">
      <c r="A533" s="15" t="n">
        <v>24043</v>
      </c>
      <c r="B533" s="16" t="s">
        <v>17</v>
      </c>
      <c r="C533" s="16" t="s">
        <v>1005</v>
      </c>
      <c r="D533" s="16" t="s">
        <v>1066</v>
      </c>
      <c r="E533" s="17" t="s">
        <v>1067</v>
      </c>
      <c r="F533" s="16" t="n">
        <v>33.30468256</v>
      </c>
      <c r="G533" s="16" t="n">
        <v>44.16759336</v>
      </c>
      <c r="H533" s="18" t="n">
        <v>37</v>
      </c>
      <c r="I533" s="18" t="n">
        <v>222</v>
      </c>
      <c r="J533" s="19" t="n">
        <v>37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 t="n">
        <v>17</v>
      </c>
      <c r="AD533" s="19"/>
      <c r="AE533" s="19"/>
      <c r="AF533" s="19"/>
      <c r="AG533" s="19"/>
      <c r="AH533" s="19" t="n">
        <v>20</v>
      </c>
      <c r="AI533" s="19"/>
      <c r="AJ533" s="19"/>
      <c r="AK533" s="19"/>
      <c r="AL533" s="19" t="n">
        <v>17</v>
      </c>
      <c r="AM533" s="19"/>
      <c r="AN533" s="19"/>
      <c r="AO533" s="19"/>
      <c r="AP533" s="19" t="n">
        <v>20</v>
      </c>
      <c r="AQ533" s="19"/>
      <c r="AR533" s="19"/>
      <c r="AS533" s="20" t="str">
        <f aca="false">HYPERLINK("http://www.openstreetmap.org/?mlat=33.3047&amp;mlon=44.1676&amp;zoom=12#map=12/33.3047/44.1676","Maplink1")</f>
        <v>Maplink1</v>
      </c>
      <c r="AT533" s="20" t="str">
        <f aca="false">HYPERLINK("https://www.google.iq/maps/search/+33.3047,44.1676/@33.3047,44.1676,14z?hl=en","Maplink2")</f>
        <v>Maplink2</v>
      </c>
      <c r="AU533" s="20" t="str">
        <f aca="false">HYPERLINK("http://www.bing.com/maps/?lvl=14&amp;sty=h&amp;cp=33.3047~44.1676&amp;sp=point.33.3047_44.1676","Maplink3")</f>
        <v>Maplink3</v>
      </c>
    </row>
    <row r="534" customFormat="false" ht="15" hidden="false" customHeight="true" outlineLevel="0" collapsed="false">
      <c r="A534" s="15" t="n">
        <v>24032</v>
      </c>
      <c r="B534" s="16" t="s">
        <v>17</v>
      </c>
      <c r="C534" s="16" t="s">
        <v>1005</v>
      </c>
      <c r="D534" s="16" t="s">
        <v>1068</v>
      </c>
      <c r="E534" s="17" t="s">
        <v>312</v>
      </c>
      <c r="F534" s="16" t="n">
        <v>33.32154731</v>
      </c>
      <c r="G534" s="16" t="n">
        <v>44.19789278</v>
      </c>
      <c r="H534" s="18" t="n">
        <v>241</v>
      </c>
      <c r="I534" s="18" t="n">
        <v>1446</v>
      </c>
      <c r="J534" s="19" t="n">
        <v>219</v>
      </c>
      <c r="K534" s="19"/>
      <c r="L534" s="19" t="n">
        <v>22</v>
      </c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 t="n">
        <v>105</v>
      </c>
      <c r="AD534" s="19"/>
      <c r="AE534" s="19"/>
      <c r="AF534" s="19"/>
      <c r="AG534" s="19"/>
      <c r="AH534" s="19" t="n">
        <v>136</v>
      </c>
      <c r="AI534" s="19"/>
      <c r="AJ534" s="19"/>
      <c r="AK534" s="19"/>
      <c r="AL534" s="19" t="n">
        <v>50</v>
      </c>
      <c r="AM534" s="19" t="n">
        <v>105</v>
      </c>
      <c r="AN534" s="19"/>
      <c r="AO534" s="19"/>
      <c r="AP534" s="19" t="n">
        <v>86</v>
      </c>
      <c r="AQ534" s="19"/>
      <c r="AR534" s="19"/>
      <c r="AS534" s="20" t="str">
        <f aca="false">HYPERLINK("http://www.openstreetmap.org/?mlat=33.3215&amp;mlon=44.1979&amp;zoom=12#map=12/33.3215/44.1979","Maplink1")</f>
        <v>Maplink1</v>
      </c>
      <c r="AT534" s="20" t="str">
        <f aca="false">HYPERLINK("https://www.google.iq/maps/search/+33.3215,44.1979/@33.3215,44.1979,14z?hl=en","Maplink2")</f>
        <v>Maplink2</v>
      </c>
      <c r="AU534" s="20" t="str">
        <f aca="false">HYPERLINK("http://www.bing.com/maps/?lvl=14&amp;sty=h&amp;cp=33.3215~44.1979&amp;sp=point.33.3215_44.1979","Maplink3")</f>
        <v>Maplink3</v>
      </c>
    </row>
    <row r="535" customFormat="false" ht="15" hidden="false" customHeight="true" outlineLevel="0" collapsed="false">
      <c r="A535" s="15" t="n">
        <v>24039</v>
      </c>
      <c r="B535" s="16" t="s">
        <v>17</v>
      </c>
      <c r="C535" s="16" t="s">
        <v>1005</v>
      </c>
      <c r="D535" s="16" t="s">
        <v>1069</v>
      </c>
      <c r="E535" s="17" t="s">
        <v>314</v>
      </c>
      <c r="F535" s="16" t="n">
        <v>33.31050589</v>
      </c>
      <c r="G535" s="16" t="n">
        <v>44.18574099</v>
      </c>
      <c r="H535" s="18" t="n">
        <v>746</v>
      </c>
      <c r="I535" s="18" t="n">
        <v>4476</v>
      </c>
      <c r="J535" s="19" t="n">
        <v>746</v>
      </c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 t="n">
        <v>413</v>
      </c>
      <c r="AD535" s="19"/>
      <c r="AE535" s="19"/>
      <c r="AF535" s="19"/>
      <c r="AG535" s="19"/>
      <c r="AH535" s="19" t="n">
        <v>320</v>
      </c>
      <c r="AI535" s="19"/>
      <c r="AJ535" s="19" t="n">
        <v>13</v>
      </c>
      <c r="AK535" s="19"/>
      <c r="AL535" s="19" t="n">
        <v>58</v>
      </c>
      <c r="AM535" s="19"/>
      <c r="AN535" s="19"/>
      <c r="AO535" s="19" t="n">
        <v>264</v>
      </c>
      <c r="AP535" s="19" t="n">
        <v>424</v>
      </c>
      <c r="AQ535" s="19"/>
      <c r="AR535" s="19"/>
      <c r="AS535" s="20" t="str">
        <f aca="false">HYPERLINK("http://www.openstreetmap.org/?mlat=33.3105&amp;mlon=44.1857&amp;zoom=12#map=12/33.3105/44.1857","Maplink1")</f>
        <v>Maplink1</v>
      </c>
      <c r="AT535" s="20" t="str">
        <f aca="false">HYPERLINK("https://www.google.iq/maps/search/+33.3105,44.1857/@33.3105,44.1857,14z?hl=en","Maplink2")</f>
        <v>Maplink2</v>
      </c>
      <c r="AU535" s="20" t="str">
        <f aca="false">HYPERLINK("http://www.bing.com/maps/?lvl=14&amp;sty=h&amp;cp=33.3105~44.1857&amp;sp=point.33.3105_44.1857","Maplink3")</f>
        <v>Maplink3</v>
      </c>
    </row>
    <row r="536" customFormat="false" ht="15" hidden="false" customHeight="true" outlineLevel="0" collapsed="false">
      <c r="A536" s="15" t="n">
        <v>7553</v>
      </c>
      <c r="B536" s="16" t="s">
        <v>17</v>
      </c>
      <c r="C536" s="16" t="s">
        <v>1005</v>
      </c>
      <c r="D536" s="16" t="s">
        <v>582</v>
      </c>
      <c r="E536" s="17" t="s">
        <v>1070</v>
      </c>
      <c r="F536" s="16" t="n">
        <v>33.29295945</v>
      </c>
      <c r="G536" s="16" t="n">
        <v>44.05542159</v>
      </c>
      <c r="H536" s="18" t="n">
        <v>733</v>
      </c>
      <c r="I536" s="18" t="n">
        <v>4398</v>
      </c>
      <c r="J536" s="19" t="n">
        <v>306</v>
      </c>
      <c r="K536" s="19"/>
      <c r="L536" s="19" t="n">
        <v>427</v>
      </c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 t="n">
        <v>362</v>
      </c>
      <c r="AD536" s="19"/>
      <c r="AE536" s="19"/>
      <c r="AF536" s="19"/>
      <c r="AG536" s="19"/>
      <c r="AH536" s="19" t="n">
        <v>314</v>
      </c>
      <c r="AI536" s="19" t="n">
        <v>57</v>
      </c>
      <c r="AJ536" s="19"/>
      <c r="AK536" s="19"/>
      <c r="AL536" s="19" t="n">
        <v>228</v>
      </c>
      <c r="AM536" s="19"/>
      <c r="AN536" s="19"/>
      <c r="AO536" s="19" t="n">
        <v>273</v>
      </c>
      <c r="AP536" s="19" t="n">
        <v>232</v>
      </c>
      <c r="AQ536" s="19"/>
      <c r="AR536" s="19"/>
      <c r="AS536" s="20" t="str">
        <f aca="false">HYPERLINK("http://www.openstreetmap.org/?mlat=33.293&amp;mlon=44.0554&amp;zoom=12#map=12/33.293/44.0554","Maplink1")</f>
        <v>Maplink1</v>
      </c>
      <c r="AT536" s="20" t="str">
        <f aca="false">HYPERLINK("https://www.google.iq/maps/search/+33.293,44.0554/@33.293,44.0554,14z?hl=en","Maplink2")</f>
        <v>Maplink2</v>
      </c>
      <c r="AU536" s="20" t="str">
        <f aca="false">HYPERLINK("http://www.bing.com/maps/?lvl=14&amp;sty=h&amp;cp=33.293~44.0554&amp;sp=point.33.293_44.0554","Maplink3")</f>
        <v>Maplink3</v>
      </c>
    </row>
    <row r="537" customFormat="false" ht="15" hidden="false" customHeight="true" outlineLevel="0" collapsed="false">
      <c r="A537" s="15" t="n">
        <v>22050</v>
      </c>
      <c r="B537" s="16" t="s">
        <v>17</v>
      </c>
      <c r="C537" s="16" t="s">
        <v>1005</v>
      </c>
      <c r="D537" s="16" t="s">
        <v>1071</v>
      </c>
      <c r="E537" s="17" t="s">
        <v>1072</v>
      </c>
      <c r="F537" s="16" t="n">
        <v>33.30286252</v>
      </c>
      <c r="G537" s="16" t="n">
        <v>44.16980824</v>
      </c>
      <c r="H537" s="18" t="n">
        <v>47</v>
      </c>
      <c r="I537" s="18" t="n">
        <v>282</v>
      </c>
      <c r="J537" s="19" t="n">
        <v>47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 t="n">
        <v>47</v>
      </c>
      <c r="AI537" s="19"/>
      <c r="AJ537" s="19"/>
      <c r="AK537" s="19"/>
      <c r="AL537" s="19"/>
      <c r="AM537" s="19" t="n">
        <v>18</v>
      </c>
      <c r="AN537" s="19"/>
      <c r="AO537" s="19"/>
      <c r="AP537" s="19" t="n">
        <v>29</v>
      </c>
      <c r="AQ537" s="19"/>
      <c r="AR537" s="19"/>
      <c r="AS537" s="20" t="str">
        <f aca="false">HYPERLINK("http://www.openstreetmap.org/?mlat=33.3029&amp;mlon=44.1698&amp;zoom=12#map=12/33.3029/44.1698","Maplink1")</f>
        <v>Maplink1</v>
      </c>
      <c r="AT537" s="20" t="str">
        <f aca="false">HYPERLINK("https://www.google.iq/maps/search/+33.3029,44.1698/@33.3029,44.1698,14z?hl=en","Maplink2")</f>
        <v>Maplink2</v>
      </c>
      <c r="AU537" s="20" t="str">
        <f aca="false">HYPERLINK("http://www.bing.com/maps/?lvl=14&amp;sty=h&amp;cp=33.3029~44.1698&amp;sp=point.33.3029_44.1698","Maplink3")</f>
        <v>Maplink3</v>
      </c>
    </row>
    <row r="538" customFormat="false" ht="15" hidden="false" customHeight="true" outlineLevel="0" collapsed="false">
      <c r="A538" s="15" t="n">
        <v>20971</v>
      </c>
      <c r="B538" s="16" t="s">
        <v>17</v>
      </c>
      <c r="C538" s="16" t="s">
        <v>1005</v>
      </c>
      <c r="D538" s="16" t="s">
        <v>1073</v>
      </c>
      <c r="E538" s="17" t="s">
        <v>1074</v>
      </c>
      <c r="F538" s="16" t="n">
        <v>33.3017</v>
      </c>
      <c r="G538" s="16" t="n">
        <v>44.1384</v>
      </c>
      <c r="H538" s="18" t="n">
        <v>1537</v>
      </c>
      <c r="I538" s="18" t="n">
        <v>9222</v>
      </c>
      <c r="J538" s="19" t="n">
        <v>1476</v>
      </c>
      <c r="K538" s="19"/>
      <c r="L538" s="19" t="n">
        <v>28</v>
      </c>
      <c r="M538" s="19"/>
      <c r="N538" s="19"/>
      <c r="O538" s="19" t="n">
        <v>8</v>
      </c>
      <c r="P538" s="19"/>
      <c r="Q538" s="19"/>
      <c r="R538" s="19"/>
      <c r="S538" s="19"/>
      <c r="T538" s="19"/>
      <c r="U538" s="19"/>
      <c r="V538" s="19" t="n">
        <v>6</v>
      </c>
      <c r="W538" s="19"/>
      <c r="X538" s="19" t="n">
        <v>19</v>
      </c>
      <c r="Y538" s="19"/>
      <c r="Z538" s="19"/>
      <c r="AA538" s="19"/>
      <c r="AB538" s="19"/>
      <c r="AC538" s="19" t="n">
        <v>279</v>
      </c>
      <c r="AD538" s="19"/>
      <c r="AE538" s="19"/>
      <c r="AF538" s="19"/>
      <c r="AG538" s="19" t="n">
        <v>6</v>
      </c>
      <c r="AH538" s="19" t="n">
        <v>1168</v>
      </c>
      <c r="AI538" s="19"/>
      <c r="AJ538" s="19" t="n">
        <v>84</v>
      </c>
      <c r="AK538" s="19"/>
      <c r="AL538" s="19" t="n">
        <v>321</v>
      </c>
      <c r="AM538" s="19" t="n">
        <v>100</v>
      </c>
      <c r="AN538" s="19"/>
      <c r="AO538" s="19" t="n">
        <v>540</v>
      </c>
      <c r="AP538" s="19" t="n">
        <v>570</v>
      </c>
      <c r="AQ538" s="19"/>
      <c r="AR538" s="19" t="n">
        <v>6</v>
      </c>
      <c r="AS538" s="20" t="str">
        <f aca="false">HYPERLINK("http://www.openstreetmap.org/?mlat=33.3017&amp;mlon=44.1384&amp;zoom=12#map=12/33.3017/44.1384","Maplink1")</f>
        <v>Maplink1</v>
      </c>
      <c r="AT538" s="20" t="str">
        <f aca="false">HYPERLINK("https://www.google.iq/maps/search/+33.3017,44.1384/@33.3017,44.1384,14z?hl=en","Maplink2")</f>
        <v>Maplink2</v>
      </c>
      <c r="AU538" s="20" t="str">
        <f aca="false">HYPERLINK("http://www.bing.com/maps/?lvl=14&amp;sty=h&amp;cp=33.3017~44.1384&amp;sp=point.33.3017_44.1384","Maplink3")</f>
        <v>Maplink3</v>
      </c>
    </row>
    <row r="539" customFormat="false" ht="15" hidden="false" customHeight="true" outlineLevel="0" collapsed="false">
      <c r="A539" s="15" t="n">
        <v>24052</v>
      </c>
      <c r="B539" s="16" t="s">
        <v>17</v>
      </c>
      <c r="C539" s="16" t="s">
        <v>1005</v>
      </c>
      <c r="D539" s="16" t="s">
        <v>1075</v>
      </c>
      <c r="E539" s="17" t="s">
        <v>1076</v>
      </c>
      <c r="F539" s="16" t="n">
        <v>33.28378711</v>
      </c>
      <c r="G539" s="16" t="n">
        <v>44.0545512</v>
      </c>
      <c r="H539" s="18" t="n">
        <v>81</v>
      </c>
      <c r="I539" s="18" t="n">
        <v>486</v>
      </c>
      <c r="J539" s="19" t="n">
        <v>30</v>
      </c>
      <c r="K539" s="19"/>
      <c r="L539" s="19" t="n">
        <v>51</v>
      </c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 t="n">
        <v>58</v>
      </c>
      <c r="AD539" s="19"/>
      <c r="AE539" s="19"/>
      <c r="AF539" s="19"/>
      <c r="AG539" s="19"/>
      <c r="AH539" s="19" t="n">
        <v>23</v>
      </c>
      <c r="AI539" s="19"/>
      <c r="AJ539" s="19"/>
      <c r="AK539" s="19"/>
      <c r="AL539" s="19" t="n">
        <v>5</v>
      </c>
      <c r="AM539" s="19"/>
      <c r="AN539" s="19"/>
      <c r="AO539" s="19" t="n">
        <v>27</v>
      </c>
      <c r="AP539" s="19" t="n">
        <v>49</v>
      </c>
      <c r="AQ539" s="19"/>
      <c r="AR539" s="19"/>
      <c r="AS539" s="20" t="str">
        <f aca="false">HYPERLINK("http://www.openstreetmap.org/?mlat=33.2838&amp;mlon=44.0546&amp;zoom=12#map=12/33.2838/44.0546","Maplink1")</f>
        <v>Maplink1</v>
      </c>
      <c r="AT539" s="20" t="str">
        <f aca="false">HYPERLINK("https://www.google.iq/maps/search/+33.2838,44.0546/@33.2838,44.0546,14z?hl=en","Maplink2")</f>
        <v>Maplink2</v>
      </c>
      <c r="AU539" s="20" t="str">
        <f aca="false">HYPERLINK("http://www.bing.com/maps/?lvl=14&amp;sty=h&amp;cp=33.2838~44.0546&amp;sp=point.33.2838_44.0546","Maplink3")</f>
        <v>Maplink3</v>
      </c>
    </row>
    <row r="540" customFormat="false" ht="15" hidden="false" customHeight="true" outlineLevel="0" collapsed="false">
      <c r="A540" s="15" t="n">
        <v>25129</v>
      </c>
      <c r="B540" s="16" t="s">
        <v>17</v>
      </c>
      <c r="C540" s="16" t="s">
        <v>1005</v>
      </c>
      <c r="D540" s="16" t="s">
        <v>1077</v>
      </c>
      <c r="E540" s="17" t="s">
        <v>1078</v>
      </c>
      <c r="F540" s="16" t="n">
        <v>33.30068</v>
      </c>
      <c r="G540" s="16" t="n">
        <v>44.1675</v>
      </c>
      <c r="H540" s="18" t="n">
        <v>437</v>
      </c>
      <c r="I540" s="18" t="n">
        <v>2622</v>
      </c>
      <c r="J540" s="19" t="n">
        <v>411</v>
      </c>
      <c r="K540" s="19"/>
      <c r="L540" s="19" t="n">
        <v>20</v>
      </c>
      <c r="M540" s="19"/>
      <c r="N540" s="19"/>
      <c r="O540" s="19"/>
      <c r="P540" s="19"/>
      <c r="Q540" s="19"/>
      <c r="R540" s="19"/>
      <c r="S540" s="19"/>
      <c r="T540" s="19"/>
      <c r="U540" s="19"/>
      <c r="V540" s="19" t="n">
        <v>6</v>
      </c>
      <c r="W540" s="19"/>
      <c r="X540" s="19"/>
      <c r="Y540" s="19"/>
      <c r="Z540" s="19"/>
      <c r="AA540" s="19"/>
      <c r="AB540" s="19"/>
      <c r="AC540" s="19" t="n">
        <v>133</v>
      </c>
      <c r="AD540" s="19"/>
      <c r="AE540" s="19"/>
      <c r="AF540" s="19"/>
      <c r="AG540" s="19"/>
      <c r="AH540" s="19" t="n">
        <v>304</v>
      </c>
      <c r="AI540" s="19"/>
      <c r="AJ540" s="19"/>
      <c r="AK540" s="19"/>
      <c r="AL540" s="19"/>
      <c r="AM540" s="19" t="n">
        <v>38</v>
      </c>
      <c r="AN540" s="19"/>
      <c r="AO540" s="19" t="n">
        <v>28</v>
      </c>
      <c r="AP540" s="19" t="n">
        <v>371</v>
      </c>
      <c r="AQ540" s="19"/>
      <c r="AR540" s="19"/>
      <c r="AS540" s="20" t="str">
        <f aca="false">HYPERLINK("http://www.openstreetmap.org/?mlat=33.3007&amp;mlon=44.1675&amp;zoom=12#map=12/33.3007/44.1675","Maplink1")</f>
        <v>Maplink1</v>
      </c>
      <c r="AT540" s="20" t="str">
        <f aca="false">HYPERLINK("https://www.google.iq/maps/search/+33.3007,44.1675/@33.3007,44.1675,14z?hl=en","Maplink2")</f>
        <v>Maplink2</v>
      </c>
      <c r="AU540" s="20" t="str">
        <f aca="false">HYPERLINK("http://www.bing.com/maps/?lvl=14&amp;sty=h&amp;cp=33.3007~44.1675&amp;sp=point.33.3007_44.1675","Maplink3")</f>
        <v>Maplink3</v>
      </c>
    </row>
    <row r="541" customFormat="false" ht="15" hidden="false" customHeight="true" outlineLevel="0" collapsed="false">
      <c r="A541" s="15" t="n">
        <v>27290</v>
      </c>
      <c r="B541" s="16" t="s">
        <v>17</v>
      </c>
      <c r="C541" s="16" t="s">
        <v>1005</v>
      </c>
      <c r="D541" s="16" t="s">
        <v>1079</v>
      </c>
      <c r="E541" s="17" t="s">
        <v>1080</v>
      </c>
      <c r="F541" s="16" t="n">
        <v>33.39007476</v>
      </c>
      <c r="G541" s="16" t="n">
        <v>44.13124837</v>
      </c>
      <c r="H541" s="18" t="n">
        <v>47</v>
      </c>
      <c r="I541" s="18" t="n">
        <v>282</v>
      </c>
      <c r="J541" s="19" t="n">
        <v>44</v>
      </c>
      <c r="K541" s="19"/>
      <c r="L541" s="19" t="n">
        <v>3</v>
      </c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 t="n">
        <v>24</v>
      </c>
      <c r="AD541" s="19"/>
      <c r="AE541" s="19"/>
      <c r="AF541" s="19"/>
      <c r="AG541" s="19"/>
      <c r="AH541" s="19" t="n">
        <v>23</v>
      </c>
      <c r="AI541" s="19"/>
      <c r="AJ541" s="19"/>
      <c r="AK541" s="19"/>
      <c r="AL541" s="19"/>
      <c r="AM541" s="19"/>
      <c r="AN541" s="19"/>
      <c r="AO541" s="19" t="n">
        <v>3</v>
      </c>
      <c r="AP541" s="19" t="n">
        <v>27</v>
      </c>
      <c r="AQ541" s="19" t="n">
        <v>17</v>
      </c>
      <c r="AR541" s="19"/>
      <c r="AS541" s="20" t="str">
        <f aca="false">HYPERLINK("http://www.openstreetmap.org/?mlat=33.3901&amp;mlon=44.1312&amp;zoom=12#map=12/33.3901/44.1312","Maplink1")</f>
        <v>Maplink1</v>
      </c>
      <c r="AT541" s="20" t="str">
        <f aca="false">HYPERLINK("https://www.google.iq/maps/search/+33.3901,44.1312/@33.3901,44.1312,14z?hl=en","Maplink2")</f>
        <v>Maplink2</v>
      </c>
      <c r="AU541" s="20" t="str">
        <f aca="false">HYPERLINK("http://www.bing.com/maps/?lvl=14&amp;sty=h&amp;cp=33.3901~44.1312&amp;sp=point.33.3901_44.1312","Maplink3")</f>
        <v>Maplink3</v>
      </c>
    </row>
    <row r="542" customFormat="false" ht="15" hidden="false" customHeight="true" outlineLevel="0" collapsed="false">
      <c r="A542" s="15" t="n">
        <v>24056</v>
      </c>
      <c r="B542" s="16" t="s">
        <v>17</v>
      </c>
      <c r="C542" s="16" t="s">
        <v>1005</v>
      </c>
      <c r="D542" s="16" t="s">
        <v>1081</v>
      </c>
      <c r="E542" s="17" t="s">
        <v>1082</v>
      </c>
      <c r="F542" s="16" t="n">
        <v>33.31856</v>
      </c>
      <c r="G542" s="16" t="n">
        <v>44.06669</v>
      </c>
      <c r="H542" s="18" t="n">
        <v>8</v>
      </c>
      <c r="I542" s="18" t="n">
        <v>48</v>
      </c>
      <c r="J542" s="19" t="n">
        <v>8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 t="n">
        <v>8</v>
      </c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 t="n">
        <v>8</v>
      </c>
      <c r="AQ542" s="19"/>
      <c r="AR542" s="19"/>
      <c r="AS542" s="20" t="str">
        <f aca="false">HYPERLINK("http://www.openstreetmap.org/?mlat=33.3186&amp;mlon=44.0667&amp;zoom=12#map=12/33.3186/44.0667","Maplink1")</f>
        <v>Maplink1</v>
      </c>
      <c r="AT542" s="20" t="str">
        <f aca="false">HYPERLINK("https://www.google.iq/maps/search/+33.3186,44.0667/@33.3186,44.0667,14z?hl=en","Maplink2")</f>
        <v>Maplink2</v>
      </c>
      <c r="AU542" s="20" t="str">
        <f aca="false">HYPERLINK("http://www.bing.com/maps/?lvl=14&amp;sty=h&amp;cp=33.3186~44.0667&amp;sp=point.33.3186_44.0667","Maplink3")</f>
        <v>Maplink3</v>
      </c>
    </row>
    <row r="543" customFormat="false" ht="15" hidden="false" customHeight="true" outlineLevel="0" collapsed="false">
      <c r="A543" s="15" t="n">
        <v>25126</v>
      </c>
      <c r="B543" s="16" t="s">
        <v>17</v>
      </c>
      <c r="C543" s="16" t="s">
        <v>1005</v>
      </c>
      <c r="D543" s="16" t="s">
        <v>1083</v>
      </c>
      <c r="E543" s="17" t="s">
        <v>1084</v>
      </c>
      <c r="F543" s="16" t="n">
        <v>33.29594602</v>
      </c>
      <c r="G543" s="16" t="n">
        <v>44.05975945</v>
      </c>
      <c r="H543" s="18" t="n">
        <v>750</v>
      </c>
      <c r="I543" s="18" t="n">
        <v>4500</v>
      </c>
      <c r="J543" s="19" t="n">
        <v>362</v>
      </c>
      <c r="K543" s="19"/>
      <c r="L543" s="19" t="n">
        <v>379</v>
      </c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 t="n">
        <v>9</v>
      </c>
      <c r="Y543" s="19"/>
      <c r="Z543" s="19"/>
      <c r="AA543" s="19"/>
      <c r="AB543" s="19"/>
      <c r="AC543" s="19" t="n">
        <v>362</v>
      </c>
      <c r="AD543" s="19"/>
      <c r="AE543" s="19"/>
      <c r="AF543" s="19"/>
      <c r="AG543" s="19"/>
      <c r="AH543" s="19" t="n">
        <v>388</v>
      </c>
      <c r="AI543" s="19"/>
      <c r="AJ543" s="19"/>
      <c r="AK543" s="19"/>
      <c r="AL543" s="19"/>
      <c r="AM543" s="19"/>
      <c r="AN543" s="19"/>
      <c r="AO543" s="19" t="n">
        <v>641</v>
      </c>
      <c r="AP543" s="19" t="n">
        <v>91</v>
      </c>
      <c r="AQ543" s="19" t="n">
        <v>18</v>
      </c>
      <c r="AR543" s="19"/>
      <c r="AS543" s="20" t="str">
        <f aca="false">HYPERLINK("http://www.openstreetmap.org/?mlat=33.2959&amp;mlon=44.0598&amp;zoom=12#map=12/33.2959/44.0598","Maplink1")</f>
        <v>Maplink1</v>
      </c>
      <c r="AT543" s="20" t="str">
        <f aca="false">HYPERLINK("https://www.google.iq/maps/search/+33.2959,44.0598/@33.2959,44.0598,14z?hl=en","Maplink2")</f>
        <v>Maplink2</v>
      </c>
      <c r="AU543" s="20" t="str">
        <f aca="false">HYPERLINK("http://www.bing.com/maps/?lvl=14&amp;sty=h&amp;cp=33.2959~44.0598&amp;sp=point.33.2959_44.0598","Maplink3")</f>
        <v>Maplink3</v>
      </c>
    </row>
    <row r="544" customFormat="false" ht="15" hidden="false" customHeight="true" outlineLevel="0" collapsed="false">
      <c r="A544" s="15" t="n">
        <v>25128</v>
      </c>
      <c r="B544" s="16" t="s">
        <v>17</v>
      </c>
      <c r="C544" s="16" t="s">
        <v>1005</v>
      </c>
      <c r="D544" s="16" t="s">
        <v>1085</v>
      </c>
      <c r="E544" s="17" t="s">
        <v>1086</v>
      </c>
      <c r="F544" s="16" t="n">
        <v>33.31280232</v>
      </c>
      <c r="G544" s="16" t="n">
        <v>44.18554569</v>
      </c>
      <c r="H544" s="18" t="n">
        <v>615</v>
      </c>
      <c r="I544" s="18" t="n">
        <v>3690</v>
      </c>
      <c r="J544" s="19" t="n">
        <v>615</v>
      </c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 t="n">
        <v>136</v>
      </c>
      <c r="AD544" s="19"/>
      <c r="AE544" s="19"/>
      <c r="AF544" s="19"/>
      <c r="AG544" s="19"/>
      <c r="AH544" s="19" t="n">
        <v>479</v>
      </c>
      <c r="AI544" s="19"/>
      <c r="AJ544" s="19"/>
      <c r="AK544" s="19"/>
      <c r="AL544" s="19"/>
      <c r="AM544" s="19" t="n">
        <v>225</v>
      </c>
      <c r="AN544" s="19"/>
      <c r="AO544" s="19"/>
      <c r="AP544" s="19" t="n">
        <v>390</v>
      </c>
      <c r="AQ544" s="19"/>
      <c r="AR544" s="19"/>
      <c r="AS544" s="20" t="str">
        <f aca="false">HYPERLINK("http://www.openstreetmap.org/?mlat=33.3128&amp;mlon=44.1855&amp;zoom=12#map=12/33.3128/44.1855","Maplink1")</f>
        <v>Maplink1</v>
      </c>
      <c r="AT544" s="20" t="str">
        <f aca="false">HYPERLINK("https://www.google.iq/maps/search/+33.3128,44.1855/@33.3128,44.1855,14z?hl=en","Maplink2")</f>
        <v>Maplink2</v>
      </c>
      <c r="AU544" s="20" t="str">
        <f aca="false">HYPERLINK("http://www.bing.com/maps/?lvl=14&amp;sty=h&amp;cp=33.3128~44.1855&amp;sp=point.33.3128_44.1855","Maplink3")</f>
        <v>Maplink3</v>
      </c>
    </row>
    <row r="545" customFormat="false" ht="15" hidden="false" customHeight="true" outlineLevel="0" collapsed="false">
      <c r="A545" s="15" t="n">
        <v>7709</v>
      </c>
      <c r="B545" s="16" t="s">
        <v>17</v>
      </c>
      <c r="C545" s="16" t="s">
        <v>1005</v>
      </c>
      <c r="D545" s="16" t="s">
        <v>1087</v>
      </c>
      <c r="E545" s="17" t="s">
        <v>1088</v>
      </c>
      <c r="F545" s="16" t="n">
        <v>33.33028071</v>
      </c>
      <c r="G545" s="16" t="n">
        <v>44.20295175</v>
      </c>
      <c r="H545" s="18" t="n">
        <v>333</v>
      </c>
      <c r="I545" s="18" t="n">
        <v>1998</v>
      </c>
      <c r="J545" s="19" t="n">
        <v>317</v>
      </c>
      <c r="K545" s="19"/>
      <c r="L545" s="19" t="n">
        <v>16</v>
      </c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 t="n">
        <v>151</v>
      </c>
      <c r="AD545" s="19"/>
      <c r="AE545" s="19"/>
      <c r="AF545" s="19"/>
      <c r="AG545" s="19"/>
      <c r="AH545" s="19" t="n">
        <v>182</v>
      </c>
      <c r="AI545" s="19"/>
      <c r="AJ545" s="19"/>
      <c r="AK545" s="19"/>
      <c r="AL545" s="19" t="n">
        <v>197</v>
      </c>
      <c r="AM545" s="19"/>
      <c r="AN545" s="19"/>
      <c r="AO545" s="19" t="n">
        <v>19</v>
      </c>
      <c r="AP545" s="19" t="n">
        <v>117</v>
      </c>
      <c r="AQ545" s="19"/>
      <c r="AR545" s="19"/>
      <c r="AS545" s="20" t="str">
        <f aca="false">HYPERLINK("http://www.openstreetmap.org/?mlat=33.3303&amp;mlon=44.203&amp;zoom=12#map=12/33.3303/44.203","Maplink1")</f>
        <v>Maplink1</v>
      </c>
      <c r="AT545" s="20" t="str">
        <f aca="false">HYPERLINK("https://www.google.iq/maps/search/+33.3303,44.203/@33.3303,44.203,14z?hl=en","Maplink2")</f>
        <v>Maplink2</v>
      </c>
      <c r="AU545" s="20" t="str">
        <f aca="false">HYPERLINK("http://www.bing.com/maps/?lvl=14&amp;sty=h&amp;cp=33.3303~44.203&amp;sp=point.33.3303_44.203","Maplink3")</f>
        <v>Maplink3</v>
      </c>
    </row>
    <row r="546" customFormat="false" ht="15" hidden="false" customHeight="true" outlineLevel="0" collapsed="false">
      <c r="A546" s="15" t="n">
        <v>24035</v>
      </c>
      <c r="B546" s="16" t="s">
        <v>17</v>
      </c>
      <c r="C546" s="16" t="s">
        <v>1005</v>
      </c>
      <c r="D546" s="16" t="s">
        <v>1089</v>
      </c>
      <c r="E546" s="17" t="s">
        <v>1090</v>
      </c>
      <c r="F546" s="16" t="n">
        <v>33.32503189</v>
      </c>
      <c r="G546" s="16" t="n">
        <v>44.18756275</v>
      </c>
      <c r="H546" s="18" t="n">
        <v>261</v>
      </c>
      <c r="I546" s="18" t="n">
        <v>1566</v>
      </c>
      <c r="J546" s="19" t="n">
        <v>261</v>
      </c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 t="n">
        <v>96</v>
      </c>
      <c r="AD546" s="19"/>
      <c r="AE546" s="19"/>
      <c r="AF546" s="19"/>
      <c r="AG546" s="19"/>
      <c r="AH546" s="19" t="n">
        <v>165</v>
      </c>
      <c r="AI546" s="19"/>
      <c r="AJ546" s="19"/>
      <c r="AK546" s="19"/>
      <c r="AL546" s="19" t="n">
        <v>10</v>
      </c>
      <c r="AM546" s="19"/>
      <c r="AN546" s="19"/>
      <c r="AO546" s="19" t="n">
        <v>111</v>
      </c>
      <c r="AP546" s="19" t="n">
        <v>140</v>
      </c>
      <c r="AQ546" s="19"/>
      <c r="AR546" s="19"/>
      <c r="AS546" s="20" t="str">
        <f aca="false">HYPERLINK("http://www.openstreetmap.org/?mlat=33.325&amp;mlon=44.1876&amp;zoom=12#map=12/33.325/44.1876","Maplink1")</f>
        <v>Maplink1</v>
      </c>
      <c r="AT546" s="20" t="str">
        <f aca="false">HYPERLINK("https://www.google.iq/maps/search/+33.325,44.1876/@33.325,44.1876,14z?hl=en","Maplink2")</f>
        <v>Maplink2</v>
      </c>
      <c r="AU546" s="20" t="str">
        <f aca="false">HYPERLINK("http://www.bing.com/maps/?lvl=14&amp;sty=h&amp;cp=33.325~44.1876&amp;sp=point.33.325_44.1876","Maplink3")</f>
        <v>Maplink3</v>
      </c>
    </row>
    <row r="547" customFormat="false" ht="15" hidden="false" customHeight="true" outlineLevel="0" collapsed="false">
      <c r="A547" s="15" t="n">
        <v>25209</v>
      </c>
      <c r="B547" s="16" t="s">
        <v>17</v>
      </c>
      <c r="C547" s="16" t="s">
        <v>1091</v>
      </c>
      <c r="D547" s="16" t="s">
        <v>1092</v>
      </c>
      <c r="E547" s="17" t="s">
        <v>1093</v>
      </c>
      <c r="F547" s="16" t="n">
        <v>33.53705719</v>
      </c>
      <c r="G547" s="16" t="n">
        <v>44.34940696</v>
      </c>
      <c r="H547" s="18" t="n">
        <v>13</v>
      </c>
      <c r="I547" s="18" t="n">
        <v>78</v>
      </c>
      <c r="J547" s="19" t="n">
        <v>2</v>
      </c>
      <c r="K547" s="19"/>
      <c r="L547" s="19"/>
      <c r="M547" s="19"/>
      <c r="N547" s="19"/>
      <c r="O547" s="19" t="n">
        <v>6</v>
      </c>
      <c r="P547" s="19"/>
      <c r="Q547" s="19"/>
      <c r="R547" s="19"/>
      <c r="S547" s="19"/>
      <c r="T547" s="19"/>
      <c r="U547" s="19"/>
      <c r="V547" s="19"/>
      <c r="W547" s="19"/>
      <c r="X547" s="19" t="n">
        <v>5</v>
      </c>
      <c r="Y547" s="19"/>
      <c r="Z547" s="19"/>
      <c r="AA547" s="19"/>
      <c r="AB547" s="19"/>
      <c r="AC547" s="19" t="n">
        <v>10</v>
      </c>
      <c r="AD547" s="19"/>
      <c r="AE547" s="19"/>
      <c r="AF547" s="19"/>
      <c r="AG547" s="19"/>
      <c r="AH547" s="19" t="n">
        <v>3</v>
      </c>
      <c r="AI547" s="19"/>
      <c r="AJ547" s="19"/>
      <c r="AK547" s="19"/>
      <c r="AL547" s="19"/>
      <c r="AM547" s="19"/>
      <c r="AN547" s="19" t="n">
        <v>8</v>
      </c>
      <c r="AO547" s="19" t="n">
        <v>5</v>
      </c>
      <c r="AP547" s="19"/>
      <c r="AQ547" s="19"/>
      <c r="AR547" s="19"/>
      <c r="AS547" s="20" t="str">
        <f aca="false">HYPERLINK("http://www.openstreetmap.org/?mlat=33.5371&amp;mlon=44.3494&amp;zoom=12#map=12/33.5371/44.3494","Maplink1")</f>
        <v>Maplink1</v>
      </c>
      <c r="AT547" s="20" t="str">
        <f aca="false">HYPERLINK("https://www.google.iq/maps/search/+33.5371,44.3494/@33.5371,44.3494,14z?hl=en","Maplink2")</f>
        <v>Maplink2</v>
      </c>
      <c r="AU547" s="20" t="str">
        <f aca="false">HYPERLINK("http://www.bing.com/maps/?lvl=14&amp;sty=h&amp;cp=33.5371~44.3494&amp;sp=point.33.5371_44.3494","Maplink3")</f>
        <v>Maplink3</v>
      </c>
    </row>
    <row r="548" customFormat="false" ht="15" hidden="false" customHeight="true" outlineLevel="0" collapsed="false">
      <c r="A548" s="15" t="n">
        <v>24989</v>
      </c>
      <c r="B548" s="16" t="s">
        <v>17</v>
      </c>
      <c r="C548" s="16" t="s">
        <v>1091</v>
      </c>
      <c r="D548" s="16" t="s">
        <v>1094</v>
      </c>
      <c r="E548" s="17" t="s">
        <v>1095</v>
      </c>
      <c r="F548" s="16" t="n">
        <v>33.45851797</v>
      </c>
      <c r="G548" s="16" t="n">
        <v>44.34383953</v>
      </c>
      <c r="H548" s="18" t="n">
        <v>19</v>
      </c>
      <c r="I548" s="18" t="n">
        <v>114</v>
      </c>
      <c r="J548" s="19"/>
      <c r="K548" s="19"/>
      <c r="L548" s="19"/>
      <c r="M548" s="19"/>
      <c r="N548" s="19"/>
      <c r="O548" s="19" t="n">
        <v>3</v>
      </c>
      <c r="P548" s="19"/>
      <c r="Q548" s="19"/>
      <c r="R548" s="19"/>
      <c r="S548" s="19"/>
      <c r="T548" s="19"/>
      <c r="U548" s="19"/>
      <c r="V548" s="19" t="n">
        <v>14</v>
      </c>
      <c r="W548" s="19"/>
      <c r="X548" s="19" t="n">
        <v>2</v>
      </c>
      <c r="Y548" s="19"/>
      <c r="Z548" s="19"/>
      <c r="AA548" s="19"/>
      <c r="AB548" s="19"/>
      <c r="AC548" s="19" t="n">
        <v>2</v>
      </c>
      <c r="AD548" s="19"/>
      <c r="AE548" s="19"/>
      <c r="AF548" s="19"/>
      <c r="AG548" s="19"/>
      <c r="AH548" s="19" t="n">
        <v>17</v>
      </c>
      <c r="AI548" s="19"/>
      <c r="AJ548" s="19"/>
      <c r="AK548" s="19"/>
      <c r="AL548" s="19"/>
      <c r="AM548" s="19" t="n">
        <v>14</v>
      </c>
      <c r="AN548" s="19" t="n">
        <v>5</v>
      </c>
      <c r="AO548" s="19"/>
      <c r="AP548" s="19"/>
      <c r="AQ548" s="19"/>
      <c r="AR548" s="19"/>
      <c r="AS548" s="20" t="str">
        <f aca="false">HYPERLINK("http://www.openstreetmap.org/?mlat=33.4585&amp;mlon=44.3438&amp;zoom=12#map=12/33.4585/44.3438","Maplink1")</f>
        <v>Maplink1</v>
      </c>
      <c r="AT548" s="20" t="str">
        <f aca="false">HYPERLINK("https://www.google.iq/maps/search/+33.4585,44.3438/@33.4585,44.3438,14z?hl=en","Maplink2")</f>
        <v>Maplink2</v>
      </c>
      <c r="AU548" s="20" t="str">
        <f aca="false">HYPERLINK("http://www.bing.com/maps/?lvl=14&amp;sty=h&amp;cp=33.4585~44.3438&amp;sp=point.33.4585_44.3438","Maplink3")</f>
        <v>Maplink3</v>
      </c>
    </row>
    <row r="549" customFormat="false" ht="15" hidden="false" customHeight="true" outlineLevel="0" collapsed="false">
      <c r="A549" s="15" t="n">
        <v>7717</v>
      </c>
      <c r="B549" s="16" t="s">
        <v>17</v>
      </c>
      <c r="C549" s="16" t="s">
        <v>1091</v>
      </c>
      <c r="D549" s="16" t="s">
        <v>1096</v>
      </c>
      <c r="E549" s="17" t="s">
        <v>1097</v>
      </c>
      <c r="F549" s="16" t="n">
        <v>33.36724186</v>
      </c>
      <c r="G549" s="16" t="n">
        <v>44.36347539</v>
      </c>
      <c r="H549" s="18" t="n">
        <v>186</v>
      </c>
      <c r="I549" s="18" t="n">
        <v>1116</v>
      </c>
      <c r="J549" s="19" t="n">
        <v>131</v>
      </c>
      <c r="K549" s="19"/>
      <c r="L549" s="19"/>
      <c r="M549" s="19"/>
      <c r="N549" s="19"/>
      <c r="O549" s="19" t="n">
        <v>3</v>
      </c>
      <c r="P549" s="19"/>
      <c r="Q549" s="19"/>
      <c r="R549" s="19"/>
      <c r="S549" s="19"/>
      <c r="T549" s="19"/>
      <c r="U549" s="19"/>
      <c r="V549" s="19" t="n">
        <v>26</v>
      </c>
      <c r="W549" s="19"/>
      <c r="X549" s="19" t="n">
        <v>26</v>
      </c>
      <c r="Y549" s="19"/>
      <c r="Z549" s="19"/>
      <c r="AA549" s="19"/>
      <c r="AB549" s="19"/>
      <c r="AC549" s="19" t="n">
        <v>92</v>
      </c>
      <c r="AD549" s="19"/>
      <c r="AE549" s="19"/>
      <c r="AF549" s="19"/>
      <c r="AG549" s="19"/>
      <c r="AH549" s="19" t="n">
        <v>94</v>
      </c>
      <c r="AI549" s="19"/>
      <c r="AJ549" s="19"/>
      <c r="AK549" s="19"/>
      <c r="AL549" s="19" t="n">
        <v>41</v>
      </c>
      <c r="AM549" s="19" t="n">
        <v>74</v>
      </c>
      <c r="AN549" s="19"/>
      <c r="AO549" s="19" t="n">
        <v>16</v>
      </c>
      <c r="AP549" s="19" t="n">
        <v>43</v>
      </c>
      <c r="AQ549" s="19"/>
      <c r="AR549" s="19" t="n">
        <v>12</v>
      </c>
      <c r="AS549" s="20" t="str">
        <f aca="false">HYPERLINK("http://www.openstreetmap.org/?mlat=33.3672&amp;mlon=44.3635&amp;zoom=12#map=12/33.3672/44.3635","Maplink1")</f>
        <v>Maplink1</v>
      </c>
      <c r="AT549" s="20" t="str">
        <f aca="false">HYPERLINK("https://www.google.iq/maps/search/+33.3672,44.3635/@33.3672,44.3635,14z?hl=en","Maplink2")</f>
        <v>Maplink2</v>
      </c>
      <c r="AU549" s="20" t="str">
        <f aca="false">HYPERLINK("http://www.bing.com/maps/?lvl=14&amp;sty=h&amp;cp=33.3672~44.3635&amp;sp=point.33.3672_44.3635","Maplink3")</f>
        <v>Maplink3</v>
      </c>
    </row>
    <row r="550" customFormat="false" ht="15" hidden="false" customHeight="true" outlineLevel="0" collapsed="false">
      <c r="A550" s="15" t="n">
        <v>7730</v>
      </c>
      <c r="B550" s="16" t="s">
        <v>17</v>
      </c>
      <c r="C550" s="16" t="s">
        <v>1091</v>
      </c>
      <c r="D550" s="16" t="s">
        <v>1098</v>
      </c>
      <c r="E550" s="17" t="s">
        <v>1099</v>
      </c>
      <c r="F550" s="16" t="n">
        <v>33.36877421</v>
      </c>
      <c r="G550" s="16" t="n">
        <v>44.35746667</v>
      </c>
      <c r="H550" s="18" t="n">
        <v>512</v>
      </c>
      <c r="I550" s="18" t="n">
        <v>3072</v>
      </c>
      <c r="J550" s="19" t="n">
        <v>369</v>
      </c>
      <c r="K550" s="19"/>
      <c r="L550" s="19"/>
      <c r="M550" s="19"/>
      <c r="N550" s="19"/>
      <c r="O550" s="19" t="n">
        <v>5</v>
      </c>
      <c r="P550" s="19"/>
      <c r="Q550" s="19"/>
      <c r="R550" s="19"/>
      <c r="S550" s="19"/>
      <c r="T550" s="19"/>
      <c r="U550" s="19"/>
      <c r="V550" s="19" t="n">
        <v>88</v>
      </c>
      <c r="W550" s="19"/>
      <c r="X550" s="19" t="n">
        <v>50</v>
      </c>
      <c r="Y550" s="19"/>
      <c r="Z550" s="19"/>
      <c r="AA550" s="19"/>
      <c r="AB550" s="19"/>
      <c r="AC550" s="19" t="n">
        <v>111</v>
      </c>
      <c r="AD550" s="19"/>
      <c r="AE550" s="19" t="n">
        <v>115</v>
      </c>
      <c r="AF550" s="19"/>
      <c r="AG550" s="19"/>
      <c r="AH550" s="19" t="n">
        <v>286</v>
      </c>
      <c r="AI550" s="19"/>
      <c r="AJ550" s="19"/>
      <c r="AK550" s="19"/>
      <c r="AL550" s="19" t="n">
        <v>154</v>
      </c>
      <c r="AM550" s="19" t="n">
        <v>43</v>
      </c>
      <c r="AN550" s="19" t="n">
        <v>21</v>
      </c>
      <c r="AO550" s="19" t="n">
        <v>139</v>
      </c>
      <c r="AP550" s="19" t="n">
        <v>131</v>
      </c>
      <c r="AQ550" s="19" t="n">
        <v>15</v>
      </c>
      <c r="AR550" s="19" t="n">
        <v>9</v>
      </c>
      <c r="AS550" s="20" t="str">
        <f aca="false">HYPERLINK("http://www.openstreetmap.org/?mlat=33.3688&amp;mlon=44.3575&amp;zoom=12#map=12/33.3688/44.3575","Maplink1")</f>
        <v>Maplink1</v>
      </c>
      <c r="AT550" s="20" t="str">
        <f aca="false">HYPERLINK("https://www.google.iq/maps/search/+33.3688,44.3575/@33.3688,44.3575,14z?hl=en","Maplink2")</f>
        <v>Maplink2</v>
      </c>
      <c r="AU550" s="20" t="str">
        <f aca="false">HYPERLINK("http://www.bing.com/maps/?lvl=14&amp;sty=h&amp;cp=33.3688~44.3575&amp;sp=point.33.3688_44.3575","Maplink3")</f>
        <v>Maplink3</v>
      </c>
    </row>
    <row r="551" customFormat="false" ht="15" hidden="false" customHeight="true" outlineLevel="0" collapsed="false">
      <c r="A551" s="15" t="n">
        <v>23646</v>
      </c>
      <c r="B551" s="16" t="s">
        <v>17</v>
      </c>
      <c r="C551" s="16" t="s">
        <v>1091</v>
      </c>
      <c r="D551" s="16" t="s">
        <v>1100</v>
      </c>
      <c r="E551" s="17" t="s">
        <v>1101</v>
      </c>
      <c r="F551" s="16" t="n">
        <v>33.37685763</v>
      </c>
      <c r="G551" s="16" t="n">
        <v>44.36213163</v>
      </c>
      <c r="H551" s="18" t="n">
        <v>562</v>
      </c>
      <c r="I551" s="18" t="n">
        <v>3372</v>
      </c>
      <c r="J551" s="19" t="n">
        <v>303</v>
      </c>
      <c r="K551" s="19"/>
      <c r="L551" s="19"/>
      <c r="M551" s="19"/>
      <c r="N551" s="19"/>
      <c r="O551" s="19"/>
      <c r="P551" s="19"/>
      <c r="Q551" s="19"/>
      <c r="R551" s="19" t="n">
        <v>5</v>
      </c>
      <c r="S551" s="19"/>
      <c r="T551" s="19"/>
      <c r="U551" s="19"/>
      <c r="V551" s="19" t="n">
        <v>7</v>
      </c>
      <c r="W551" s="19"/>
      <c r="X551" s="19" t="n">
        <v>247</v>
      </c>
      <c r="Y551" s="19"/>
      <c r="Z551" s="19"/>
      <c r="AA551" s="19"/>
      <c r="AB551" s="19"/>
      <c r="AC551" s="19" t="n">
        <v>555</v>
      </c>
      <c r="AD551" s="19"/>
      <c r="AE551" s="19"/>
      <c r="AF551" s="19"/>
      <c r="AG551" s="19"/>
      <c r="AH551" s="19" t="n">
        <v>7</v>
      </c>
      <c r="AI551" s="19"/>
      <c r="AJ551" s="19"/>
      <c r="AK551" s="19"/>
      <c r="AL551" s="19" t="n">
        <v>57</v>
      </c>
      <c r="AM551" s="19" t="n">
        <v>64</v>
      </c>
      <c r="AN551" s="19" t="n">
        <v>113</v>
      </c>
      <c r="AO551" s="19" t="n">
        <v>128</v>
      </c>
      <c r="AP551" s="19" t="n">
        <v>159</v>
      </c>
      <c r="AQ551" s="19" t="n">
        <v>25</v>
      </c>
      <c r="AR551" s="19" t="n">
        <v>16</v>
      </c>
      <c r="AS551" s="20" t="str">
        <f aca="false">HYPERLINK("http://www.openstreetmap.org/?mlat=33.3769&amp;mlon=44.3621&amp;zoom=12#map=12/33.3769/44.3621","Maplink1")</f>
        <v>Maplink1</v>
      </c>
      <c r="AT551" s="20" t="str">
        <f aca="false">HYPERLINK("https://www.google.iq/maps/search/+33.3769,44.3621/@33.3769,44.3621,14z?hl=en","Maplink2")</f>
        <v>Maplink2</v>
      </c>
      <c r="AU551" s="20" t="str">
        <f aca="false">HYPERLINK("http://www.bing.com/maps/?lvl=14&amp;sty=h&amp;cp=33.3769~44.3621&amp;sp=point.33.3769_44.3621","Maplink3")</f>
        <v>Maplink3</v>
      </c>
    </row>
    <row r="552" customFormat="false" ht="15" hidden="false" customHeight="true" outlineLevel="0" collapsed="false">
      <c r="A552" s="15" t="n">
        <v>23728</v>
      </c>
      <c r="B552" s="16" t="s">
        <v>17</v>
      </c>
      <c r="C552" s="16" t="s">
        <v>1091</v>
      </c>
      <c r="D552" s="16" t="s">
        <v>1102</v>
      </c>
      <c r="E552" s="17" t="s">
        <v>1103</v>
      </c>
      <c r="F552" s="16" t="n">
        <v>33.36205666</v>
      </c>
      <c r="G552" s="16" t="n">
        <v>44.35381472</v>
      </c>
      <c r="H552" s="18" t="n">
        <v>228</v>
      </c>
      <c r="I552" s="18" t="n">
        <v>1368</v>
      </c>
      <c r="J552" s="19" t="n">
        <v>120</v>
      </c>
      <c r="K552" s="19"/>
      <c r="L552" s="19"/>
      <c r="M552" s="19"/>
      <c r="N552" s="19"/>
      <c r="O552" s="19" t="n">
        <v>4</v>
      </c>
      <c r="P552" s="19"/>
      <c r="Q552" s="19"/>
      <c r="R552" s="19"/>
      <c r="S552" s="19"/>
      <c r="T552" s="19"/>
      <c r="U552" s="19"/>
      <c r="V552" s="19" t="n">
        <v>59</v>
      </c>
      <c r="W552" s="19"/>
      <c r="X552" s="19" t="n">
        <v>45</v>
      </c>
      <c r="Y552" s="19"/>
      <c r="Z552" s="19"/>
      <c r="AA552" s="19"/>
      <c r="AB552" s="19"/>
      <c r="AC552" s="19" t="n">
        <v>65</v>
      </c>
      <c r="AD552" s="19"/>
      <c r="AE552" s="19" t="n">
        <v>13</v>
      </c>
      <c r="AF552" s="19"/>
      <c r="AG552" s="19"/>
      <c r="AH552" s="19" t="n">
        <v>80</v>
      </c>
      <c r="AI552" s="19"/>
      <c r="AJ552" s="19" t="n">
        <v>70</v>
      </c>
      <c r="AK552" s="19"/>
      <c r="AL552" s="19" t="n">
        <v>26</v>
      </c>
      <c r="AM552" s="19" t="n">
        <v>23</v>
      </c>
      <c r="AN552" s="19" t="n">
        <v>31</v>
      </c>
      <c r="AO552" s="19" t="n">
        <v>49</v>
      </c>
      <c r="AP552" s="19" t="n">
        <v>64</v>
      </c>
      <c r="AQ552" s="19" t="n">
        <v>17</v>
      </c>
      <c r="AR552" s="19" t="n">
        <v>18</v>
      </c>
      <c r="AS552" s="20" t="str">
        <f aca="false">HYPERLINK("http://www.openstreetmap.org/?mlat=33.3621&amp;mlon=44.3538&amp;zoom=12#map=12/33.3621/44.3538","Maplink1")</f>
        <v>Maplink1</v>
      </c>
      <c r="AT552" s="20" t="str">
        <f aca="false">HYPERLINK("https://www.google.iq/maps/search/+33.3621,44.3538/@33.3621,44.3538,14z?hl=en","Maplink2")</f>
        <v>Maplink2</v>
      </c>
      <c r="AU552" s="20" t="str">
        <f aca="false">HYPERLINK("http://www.bing.com/maps/?lvl=14&amp;sty=h&amp;cp=33.3621~44.3538&amp;sp=point.33.3621_44.3538","Maplink3")</f>
        <v>Maplink3</v>
      </c>
    </row>
    <row r="553" customFormat="false" ht="15" hidden="false" customHeight="true" outlineLevel="0" collapsed="false">
      <c r="A553" s="15" t="n">
        <v>27192</v>
      </c>
      <c r="B553" s="16" t="s">
        <v>17</v>
      </c>
      <c r="C553" s="16" t="s">
        <v>1091</v>
      </c>
      <c r="D553" s="16" t="s">
        <v>1104</v>
      </c>
      <c r="E553" s="17" t="s">
        <v>1105</v>
      </c>
      <c r="F553" s="16" t="n">
        <v>33.53333</v>
      </c>
      <c r="G553" s="16" t="n">
        <v>44.34594</v>
      </c>
      <c r="H553" s="18" t="n">
        <v>9</v>
      </c>
      <c r="I553" s="18" t="n">
        <v>54</v>
      </c>
      <c r="J553" s="19" t="n">
        <v>8</v>
      </c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 t="n">
        <v>1</v>
      </c>
      <c r="W553" s="19"/>
      <c r="X553" s="19"/>
      <c r="Y553" s="19"/>
      <c r="Z553" s="19"/>
      <c r="AA553" s="19"/>
      <c r="AB553" s="19"/>
      <c r="AC553" s="19" t="n">
        <v>9</v>
      </c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 t="n">
        <v>1</v>
      </c>
      <c r="AP553" s="19" t="n">
        <v>8</v>
      </c>
      <c r="AQ553" s="19"/>
      <c r="AR553" s="19"/>
      <c r="AS553" s="20" t="str">
        <f aca="false">HYPERLINK("http://www.openstreetmap.org/?mlat=33.5333&amp;mlon=44.3459&amp;zoom=12#map=12/33.5333/44.3459","Maplink1")</f>
        <v>Maplink1</v>
      </c>
      <c r="AT553" s="20" t="str">
        <f aca="false">HYPERLINK("https://www.google.iq/maps/search/+33.5333,44.3459/@33.5333,44.3459,14z?hl=en","Maplink2")</f>
        <v>Maplink2</v>
      </c>
      <c r="AU553" s="20" t="str">
        <f aca="false">HYPERLINK("http://www.bing.com/maps/?lvl=14&amp;sty=h&amp;cp=33.5333~44.3459&amp;sp=point.33.5333_44.3459","Maplink3")</f>
        <v>Maplink3</v>
      </c>
    </row>
    <row r="554" customFormat="false" ht="15" hidden="false" customHeight="true" outlineLevel="0" collapsed="false">
      <c r="A554" s="15" t="n">
        <v>7331</v>
      </c>
      <c r="B554" s="16" t="s">
        <v>17</v>
      </c>
      <c r="C554" s="16" t="s">
        <v>1091</v>
      </c>
      <c r="D554" s="16" t="s">
        <v>1106</v>
      </c>
      <c r="E554" s="17" t="s">
        <v>1107</v>
      </c>
      <c r="F554" s="16" t="n">
        <v>33.55347082</v>
      </c>
      <c r="G554" s="16" t="n">
        <v>44.38307779</v>
      </c>
      <c r="H554" s="18" t="n">
        <v>10</v>
      </c>
      <c r="I554" s="18" t="n">
        <v>60</v>
      </c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 t="n">
        <v>10</v>
      </c>
      <c r="Y554" s="19"/>
      <c r="Z554" s="19"/>
      <c r="AA554" s="19"/>
      <c r="AB554" s="19"/>
      <c r="AC554" s="19" t="n">
        <v>5</v>
      </c>
      <c r="AD554" s="19"/>
      <c r="AE554" s="19"/>
      <c r="AF554" s="19"/>
      <c r="AG554" s="19"/>
      <c r="AH554" s="19" t="n">
        <v>5</v>
      </c>
      <c r="AI554" s="19"/>
      <c r="AJ554" s="19"/>
      <c r="AK554" s="19"/>
      <c r="AL554" s="19"/>
      <c r="AM554" s="19"/>
      <c r="AN554" s="19" t="n">
        <v>8</v>
      </c>
      <c r="AO554" s="19" t="n">
        <v>2</v>
      </c>
      <c r="AP554" s="19"/>
      <c r="AQ554" s="19"/>
      <c r="AR554" s="19"/>
      <c r="AS554" s="20" t="str">
        <f aca="false">HYPERLINK("http://www.openstreetmap.org/?mlat=33.5535&amp;mlon=44.3831&amp;zoom=12#map=12/33.5535/44.3831","Maplink1")</f>
        <v>Maplink1</v>
      </c>
      <c r="AT554" s="20" t="str">
        <f aca="false">HYPERLINK("https://www.google.iq/maps/search/+33.5535,44.3831/@33.5535,44.3831,14z?hl=en","Maplink2")</f>
        <v>Maplink2</v>
      </c>
      <c r="AU554" s="20" t="str">
        <f aca="false">HYPERLINK("http://www.bing.com/maps/?lvl=14&amp;sty=h&amp;cp=33.5535~44.3831&amp;sp=point.33.5535_44.3831","Maplink3")</f>
        <v>Maplink3</v>
      </c>
    </row>
    <row r="555" customFormat="false" ht="15" hidden="false" customHeight="true" outlineLevel="0" collapsed="false">
      <c r="A555" s="15" t="n">
        <v>24175</v>
      </c>
      <c r="B555" s="16" t="s">
        <v>17</v>
      </c>
      <c r="C555" s="16" t="s">
        <v>1091</v>
      </c>
      <c r="D555" s="16" t="s">
        <v>1108</v>
      </c>
      <c r="E555" s="17" t="s">
        <v>1109</v>
      </c>
      <c r="F555" s="16" t="n">
        <v>33.41880205</v>
      </c>
      <c r="G555" s="16" t="n">
        <v>44.38124733</v>
      </c>
      <c r="H555" s="18" t="n">
        <v>35</v>
      </c>
      <c r="I555" s="18" t="n">
        <v>210</v>
      </c>
      <c r="J555" s="19"/>
      <c r="K555" s="19"/>
      <c r="L555" s="19"/>
      <c r="M555" s="19"/>
      <c r="N555" s="19"/>
      <c r="O555" s="19" t="n">
        <v>3</v>
      </c>
      <c r="P555" s="19"/>
      <c r="Q555" s="19"/>
      <c r="R555" s="19"/>
      <c r="S555" s="19"/>
      <c r="T555" s="19"/>
      <c r="U555" s="19"/>
      <c r="V555" s="19" t="n">
        <v>32</v>
      </c>
      <c r="W555" s="19"/>
      <c r="X555" s="19"/>
      <c r="Y555" s="19"/>
      <c r="Z555" s="19"/>
      <c r="AA555" s="19"/>
      <c r="AB555" s="19"/>
      <c r="AC555" s="19" t="n">
        <v>14</v>
      </c>
      <c r="AD555" s="19"/>
      <c r="AE555" s="19"/>
      <c r="AF555" s="19"/>
      <c r="AG555" s="19"/>
      <c r="AH555" s="19" t="n">
        <v>21</v>
      </c>
      <c r="AI555" s="19"/>
      <c r="AJ555" s="19"/>
      <c r="AK555" s="19"/>
      <c r="AL555" s="19"/>
      <c r="AM555" s="19" t="n">
        <v>35</v>
      </c>
      <c r="AN555" s="19"/>
      <c r="AO555" s="19"/>
      <c r="AP555" s="19"/>
      <c r="AQ555" s="19"/>
      <c r="AR555" s="19"/>
      <c r="AS555" s="20" t="str">
        <f aca="false">HYPERLINK("http://www.openstreetmap.org/?mlat=33.4188&amp;mlon=44.3812&amp;zoom=12#map=12/33.4188/44.3812","Maplink1")</f>
        <v>Maplink1</v>
      </c>
      <c r="AT555" s="20" t="str">
        <f aca="false">HYPERLINK("https://www.google.iq/maps/search/+33.4188,44.3812/@33.4188,44.3812,14z?hl=en","Maplink2")</f>
        <v>Maplink2</v>
      </c>
      <c r="AU555" s="20" t="str">
        <f aca="false">HYPERLINK("http://www.bing.com/maps/?lvl=14&amp;sty=h&amp;cp=33.4188~44.3812&amp;sp=point.33.4188_44.3812","Maplink3")</f>
        <v>Maplink3</v>
      </c>
    </row>
    <row r="556" customFormat="false" ht="15" hidden="false" customHeight="true" outlineLevel="0" collapsed="false">
      <c r="A556" s="15" t="n">
        <v>22612</v>
      </c>
      <c r="B556" s="16" t="s">
        <v>17</v>
      </c>
      <c r="C556" s="16" t="s">
        <v>1091</v>
      </c>
      <c r="D556" s="16" t="s">
        <v>1110</v>
      </c>
      <c r="E556" s="17" t="s">
        <v>1111</v>
      </c>
      <c r="F556" s="16" t="n">
        <v>33.41191395</v>
      </c>
      <c r="G556" s="16" t="n">
        <v>44.38090566</v>
      </c>
      <c r="H556" s="18" t="n">
        <v>41</v>
      </c>
      <c r="I556" s="18" t="n">
        <v>246</v>
      </c>
      <c r="J556" s="19" t="n">
        <v>19</v>
      </c>
      <c r="K556" s="19"/>
      <c r="L556" s="19"/>
      <c r="M556" s="19"/>
      <c r="N556" s="19"/>
      <c r="O556" s="19" t="n">
        <v>4</v>
      </c>
      <c r="P556" s="19"/>
      <c r="Q556" s="19"/>
      <c r="R556" s="19"/>
      <c r="S556" s="19"/>
      <c r="T556" s="19"/>
      <c r="U556" s="19"/>
      <c r="V556" s="19" t="n">
        <v>11</v>
      </c>
      <c r="W556" s="19"/>
      <c r="X556" s="19" t="n">
        <v>7</v>
      </c>
      <c r="Y556" s="19"/>
      <c r="Z556" s="19"/>
      <c r="AA556" s="19"/>
      <c r="AB556" s="19"/>
      <c r="AC556" s="19" t="n">
        <v>17</v>
      </c>
      <c r="AD556" s="19"/>
      <c r="AE556" s="19"/>
      <c r="AF556" s="19"/>
      <c r="AG556" s="19"/>
      <c r="AH556" s="19" t="n">
        <v>24</v>
      </c>
      <c r="AI556" s="19"/>
      <c r="AJ556" s="19"/>
      <c r="AK556" s="19"/>
      <c r="AL556" s="19" t="n">
        <v>9</v>
      </c>
      <c r="AM556" s="19" t="n">
        <v>18</v>
      </c>
      <c r="AN556" s="19"/>
      <c r="AO556" s="19" t="n">
        <v>11</v>
      </c>
      <c r="AP556" s="19" t="n">
        <v>3</v>
      </c>
      <c r="AQ556" s="19"/>
      <c r="AR556" s="19"/>
      <c r="AS556" s="20" t="str">
        <f aca="false">HYPERLINK("http://www.openstreetmap.org/?mlat=33.4119&amp;mlon=44.3809&amp;zoom=12#map=12/33.4119/44.3809","Maplink1")</f>
        <v>Maplink1</v>
      </c>
      <c r="AT556" s="20" t="str">
        <f aca="false">HYPERLINK("https://www.google.iq/maps/search/+33.4119,44.3809/@33.4119,44.3809,14z?hl=en","Maplink2")</f>
        <v>Maplink2</v>
      </c>
      <c r="AU556" s="20" t="str">
        <f aca="false">HYPERLINK("http://www.bing.com/maps/?lvl=14&amp;sty=h&amp;cp=33.4119~44.3809&amp;sp=point.33.4119_44.3809","Maplink3")</f>
        <v>Maplink3</v>
      </c>
    </row>
    <row r="557" customFormat="false" ht="15" hidden="false" customHeight="true" outlineLevel="0" collapsed="false">
      <c r="A557" s="15" t="n">
        <v>22696</v>
      </c>
      <c r="B557" s="16" t="s">
        <v>17</v>
      </c>
      <c r="C557" s="16" t="s">
        <v>1091</v>
      </c>
      <c r="D557" s="16" t="s">
        <v>1112</v>
      </c>
      <c r="E557" s="17" t="s">
        <v>1113</v>
      </c>
      <c r="F557" s="16" t="n">
        <v>33.42687471</v>
      </c>
      <c r="G557" s="16" t="n">
        <v>44.37996763</v>
      </c>
      <c r="H557" s="18" t="n">
        <v>13</v>
      </c>
      <c r="I557" s="18" t="n">
        <v>78</v>
      </c>
      <c r="J557" s="19" t="n">
        <v>8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 t="n">
        <v>5</v>
      </c>
      <c r="W557" s="19"/>
      <c r="X557" s="19"/>
      <c r="Y557" s="19"/>
      <c r="Z557" s="19"/>
      <c r="AA557" s="19"/>
      <c r="AB557" s="19"/>
      <c r="AC557" s="19" t="n">
        <v>3</v>
      </c>
      <c r="AD557" s="19"/>
      <c r="AE557" s="19"/>
      <c r="AF557" s="19"/>
      <c r="AG557" s="19"/>
      <c r="AH557" s="19" t="n">
        <v>10</v>
      </c>
      <c r="AI557" s="19"/>
      <c r="AJ557" s="19"/>
      <c r="AK557" s="19"/>
      <c r="AL557" s="19"/>
      <c r="AM557" s="19" t="n">
        <v>5</v>
      </c>
      <c r="AN557" s="19"/>
      <c r="AO557" s="19" t="n">
        <v>6</v>
      </c>
      <c r="AP557" s="19" t="n">
        <v>2</v>
      </c>
      <c r="AQ557" s="19"/>
      <c r="AR557" s="19"/>
      <c r="AS557" s="20" t="str">
        <f aca="false">HYPERLINK("http://www.openstreetmap.org/?mlat=33.4269&amp;mlon=44.38&amp;zoom=12#map=12/33.4269/44.38","Maplink1")</f>
        <v>Maplink1</v>
      </c>
      <c r="AT557" s="20" t="str">
        <f aca="false">HYPERLINK("https://www.google.iq/maps/search/+33.4269,44.38/@33.4269,44.38,14z?hl=en","Maplink2")</f>
        <v>Maplink2</v>
      </c>
      <c r="AU557" s="20" t="str">
        <f aca="false">HYPERLINK("http://www.bing.com/maps/?lvl=14&amp;sty=h&amp;cp=33.4269~44.38&amp;sp=point.33.4269_44.38","Maplink3")</f>
        <v>Maplink3</v>
      </c>
    </row>
    <row r="558" customFormat="false" ht="15" hidden="false" customHeight="true" outlineLevel="0" collapsed="false">
      <c r="A558" s="15" t="n">
        <v>24173</v>
      </c>
      <c r="B558" s="16" t="s">
        <v>17</v>
      </c>
      <c r="C558" s="16" t="s">
        <v>1091</v>
      </c>
      <c r="D558" s="16" t="s">
        <v>1114</v>
      </c>
      <c r="E558" s="17" t="s">
        <v>1115</v>
      </c>
      <c r="F558" s="16" t="n">
        <v>33.43308921</v>
      </c>
      <c r="G558" s="16" t="n">
        <v>44.3792681</v>
      </c>
      <c r="H558" s="18" t="n">
        <v>18</v>
      </c>
      <c r="I558" s="18" t="n">
        <v>108</v>
      </c>
      <c r="J558" s="19" t="n">
        <v>7</v>
      </c>
      <c r="K558" s="19" t="n">
        <v>5</v>
      </c>
      <c r="L558" s="19"/>
      <c r="M558" s="19"/>
      <c r="N558" s="19"/>
      <c r="O558" s="19" t="n">
        <v>4</v>
      </c>
      <c r="P558" s="19"/>
      <c r="Q558" s="19"/>
      <c r="R558" s="19"/>
      <c r="S558" s="19"/>
      <c r="T558" s="19"/>
      <c r="U558" s="19"/>
      <c r="V558" s="19"/>
      <c r="W558" s="19"/>
      <c r="X558" s="19" t="n">
        <v>2</v>
      </c>
      <c r="Y558" s="19"/>
      <c r="Z558" s="19"/>
      <c r="AA558" s="19"/>
      <c r="AB558" s="19"/>
      <c r="AC558" s="19"/>
      <c r="AD558" s="19"/>
      <c r="AE558" s="19"/>
      <c r="AF558" s="19"/>
      <c r="AG558" s="19"/>
      <c r="AH558" s="19" t="n">
        <v>18</v>
      </c>
      <c r="AI558" s="19"/>
      <c r="AJ558" s="19"/>
      <c r="AK558" s="19"/>
      <c r="AL558" s="19"/>
      <c r="AM558" s="19" t="n">
        <v>11</v>
      </c>
      <c r="AN558" s="19"/>
      <c r="AO558" s="19"/>
      <c r="AP558" s="19" t="n">
        <v>7</v>
      </c>
      <c r="AQ558" s="19"/>
      <c r="AR558" s="19"/>
      <c r="AS558" s="20" t="str">
        <f aca="false">HYPERLINK("http://www.openstreetmap.org/?mlat=33.4331&amp;mlon=44.3793&amp;zoom=12#map=12/33.4331/44.3793","Maplink1")</f>
        <v>Maplink1</v>
      </c>
      <c r="AT558" s="20" t="str">
        <f aca="false">HYPERLINK("https://www.google.iq/maps/search/+33.4331,44.3793/@33.4331,44.3793,14z?hl=en","Maplink2")</f>
        <v>Maplink2</v>
      </c>
      <c r="AU558" s="20" t="str">
        <f aca="false">HYPERLINK("http://www.bing.com/maps/?lvl=14&amp;sty=h&amp;cp=33.4331~44.3793&amp;sp=point.33.4331_44.3793","Maplink3")</f>
        <v>Maplink3</v>
      </c>
    </row>
    <row r="559" customFormat="false" ht="15" hidden="false" customHeight="true" outlineLevel="0" collapsed="false">
      <c r="A559" s="15" t="n">
        <v>7740</v>
      </c>
      <c r="B559" s="16" t="s">
        <v>17</v>
      </c>
      <c r="C559" s="16" t="s">
        <v>1091</v>
      </c>
      <c r="D559" s="16" t="s">
        <v>1116</v>
      </c>
      <c r="E559" s="17" t="s">
        <v>1117</v>
      </c>
      <c r="F559" s="16" t="n">
        <v>33.45420754</v>
      </c>
      <c r="G559" s="16" t="n">
        <v>44.33556293</v>
      </c>
      <c r="H559" s="18" t="n">
        <v>10</v>
      </c>
      <c r="I559" s="18" t="n">
        <v>60</v>
      </c>
      <c r="J559" s="19" t="n">
        <v>3</v>
      </c>
      <c r="K559" s="19"/>
      <c r="L559" s="19"/>
      <c r="M559" s="19"/>
      <c r="N559" s="19"/>
      <c r="O559" s="19" t="n">
        <v>7</v>
      </c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 t="n">
        <v>4</v>
      </c>
      <c r="AD559" s="19"/>
      <c r="AE559" s="19"/>
      <c r="AF559" s="19"/>
      <c r="AG559" s="19"/>
      <c r="AH559" s="19" t="n">
        <v>6</v>
      </c>
      <c r="AI559" s="19"/>
      <c r="AJ559" s="19"/>
      <c r="AK559" s="19"/>
      <c r="AL559" s="19"/>
      <c r="AM559" s="19"/>
      <c r="AN559" s="19" t="n">
        <v>10</v>
      </c>
      <c r="AO559" s="19"/>
      <c r="AP559" s="19"/>
      <c r="AQ559" s="19"/>
      <c r="AR559" s="19"/>
      <c r="AS559" s="20" t="str">
        <f aca="false">HYPERLINK("http://www.openstreetmap.org/?mlat=33.4542&amp;mlon=44.3356&amp;zoom=12#map=12/33.4542/44.3356","Maplink1")</f>
        <v>Maplink1</v>
      </c>
      <c r="AT559" s="20" t="str">
        <f aca="false">HYPERLINK("https://www.google.iq/maps/search/+33.4542,44.3356/@33.4542,44.3356,14z?hl=en","Maplink2")</f>
        <v>Maplink2</v>
      </c>
      <c r="AU559" s="20" t="str">
        <f aca="false">HYPERLINK("http://www.bing.com/maps/?lvl=14&amp;sty=h&amp;cp=33.4542~44.3356&amp;sp=point.33.4542_44.3356","Maplink3")</f>
        <v>Maplink3</v>
      </c>
    </row>
    <row r="560" customFormat="false" ht="15" hidden="false" customHeight="true" outlineLevel="0" collapsed="false">
      <c r="A560" s="15" t="n">
        <v>23732</v>
      </c>
      <c r="B560" s="16" t="s">
        <v>17</v>
      </c>
      <c r="C560" s="16" t="s">
        <v>1091</v>
      </c>
      <c r="D560" s="16" t="s">
        <v>1118</v>
      </c>
      <c r="E560" s="17" t="s">
        <v>1119</v>
      </c>
      <c r="F560" s="16" t="n">
        <v>33.39911255</v>
      </c>
      <c r="G560" s="16" t="n">
        <v>44.40166477</v>
      </c>
      <c r="H560" s="18" t="n">
        <v>60</v>
      </c>
      <c r="I560" s="18" t="n">
        <v>360</v>
      </c>
      <c r="J560" s="19" t="n">
        <v>5</v>
      </c>
      <c r="K560" s="19"/>
      <c r="L560" s="19"/>
      <c r="M560" s="19"/>
      <c r="N560" s="19"/>
      <c r="O560" s="19" t="n">
        <v>6</v>
      </c>
      <c r="P560" s="19"/>
      <c r="Q560" s="19"/>
      <c r="R560" s="19"/>
      <c r="S560" s="19"/>
      <c r="T560" s="19"/>
      <c r="U560" s="19"/>
      <c r="V560" s="19" t="n">
        <v>39</v>
      </c>
      <c r="W560" s="19"/>
      <c r="X560" s="19" t="n">
        <v>10</v>
      </c>
      <c r="Y560" s="19"/>
      <c r="Z560" s="19"/>
      <c r="AA560" s="19"/>
      <c r="AB560" s="19"/>
      <c r="AC560" s="19" t="n">
        <v>19</v>
      </c>
      <c r="AD560" s="19"/>
      <c r="AE560" s="19"/>
      <c r="AF560" s="19"/>
      <c r="AG560" s="19"/>
      <c r="AH560" s="19" t="n">
        <v>41</v>
      </c>
      <c r="AI560" s="19"/>
      <c r="AJ560" s="19"/>
      <c r="AK560" s="19"/>
      <c r="AL560" s="19" t="n">
        <v>9</v>
      </c>
      <c r="AM560" s="19" t="n">
        <v>16</v>
      </c>
      <c r="AN560" s="19" t="n">
        <v>7</v>
      </c>
      <c r="AO560" s="19" t="n">
        <v>21</v>
      </c>
      <c r="AP560" s="19" t="n">
        <v>4</v>
      </c>
      <c r="AQ560" s="19"/>
      <c r="AR560" s="19" t="n">
        <v>3</v>
      </c>
      <c r="AS560" s="20" t="str">
        <f aca="false">HYPERLINK("http://www.openstreetmap.org/?mlat=33.3991&amp;mlon=44.4017&amp;zoom=12#map=12/33.3991/44.4017","Maplink1")</f>
        <v>Maplink1</v>
      </c>
      <c r="AT560" s="20" t="str">
        <f aca="false">HYPERLINK("https://www.google.iq/maps/search/+33.3991,44.4017/@33.3991,44.4017,14z?hl=en","Maplink2")</f>
        <v>Maplink2</v>
      </c>
      <c r="AU560" s="20" t="str">
        <f aca="false">HYPERLINK("http://www.bing.com/maps/?lvl=14&amp;sty=h&amp;cp=33.3991~44.4017&amp;sp=point.33.3991_44.4017","Maplink3")</f>
        <v>Maplink3</v>
      </c>
    </row>
    <row r="561" customFormat="false" ht="15" hidden="false" customHeight="true" outlineLevel="0" collapsed="false">
      <c r="A561" s="15" t="n">
        <v>27117</v>
      </c>
      <c r="B561" s="16" t="s">
        <v>17</v>
      </c>
      <c r="C561" s="16" t="s">
        <v>1091</v>
      </c>
      <c r="D561" s="16" t="s">
        <v>1120</v>
      </c>
      <c r="E561" s="17" t="s">
        <v>1121</v>
      </c>
      <c r="F561" s="16" t="n">
        <v>33.40037156</v>
      </c>
      <c r="G561" s="16" t="n">
        <v>44.40672048</v>
      </c>
      <c r="H561" s="18" t="n">
        <v>79</v>
      </c>
      <c r="I561" s="18" t="n">
        <v>474</v>
      </c>
      <c r="J561" s="19" t="n">
        <v>8</v>
      </c>
      <c r="K561" s="19"/>
      <c r="L561" s="19"/>
      <c r="M561" s="19"/>
      <c r="N561" s="19"/>
      <c r="O561" s="19" t="n">
        <v>3</v>
      </c>
      <c r="P561" s="19"/>
      <c r="Q561" s="19"/>
      <c r="R561" s="19"/>
      <c r="S561" s="19"/>
      <c r="T561" s="19"/>
      <c r="U561" s="19"/>
      <c r="V561" s="19" t="n">
        <v>60</v>
      </c>
      <c r="W561" s="19"/>
      <c r="X561" s="19" t="n">
        <v>8</v>
      </c>
      <c r="Y561" s="19"/>
      <c r="Z561" s="19"/>
      <c r="AA561" s="19"/>
      <c r="AB561" s="19"/>
      <c r="AC561" s="19" t="n">
        <v>27</v>
      </c>
      <c r="AD561" s="19"/>
      <c r="AE561" s="19"/>
      <c r="AF561" s="19"/>
      <c r="AG561" s="19"/>
      <c r="AH561" s="19" t="n">
        <v>52</v>
      </c>
      <c r="AI561" s="19"/>
      <c r="AJ561" s="19"/>
      <c r="AK561" s="19"/>
      <c r="AL561" s="19"/>
      <c r="AM561" s="19" t="n">
        <v>30</v>
      </c>
      <c r="AN561" s="19" t="n">
        <v>22</v>
      </c>
      <c r="AO561" s="19" t="n">
        <v>17</v>
      </c>
      <c r="AP561" s="19" t="n">
        <v>8</v>
      </c>
      <c r="AQ561" s="19"/>
      <c r="AR561" s="19" t="n">
        <v>2</v>
      </c>
      <c r="AS561" s="20" t="str">
        <f aca="false">HYPERLINK("http://www.openstreetmap.org/?mlat=33.4004&amp;mlon=44.4067&amp;zoom=12#map=12/33.4004/44.4067","Maplink1")</f>
        <v>Maplink1</v>
      </c>
      <c r="AT561" s="20" t="str">
        <f aca="false">HYPERLINK("https://www.google.iq/maps/search/+33.4004,44.4067/@33.4004,44.4067,14z?hl=en","Maplink2")</f>
        <v>Maplink2</v>
      </c>
      <c r="AU561" s="20" t="str">
        <f aca="false">HYPERLINK("http://www.bing.com/maps/?lvl=14&amp;sty=h&amp;cp=33.4004~44.4067&amp;sp=point.33.4004_44.4067","Maplink3")</f>
        <v>Maplink3</v>
      </c>
    </row>
    <row r="562" customFormat="false" ht="15" hidden="false" customHeight="true" outlineLevel="0" collapsed="false">
      <c r="A562" s="15" t="n">
        <v>24030</v>
      </c>
      <c r="B562" s="16" t="s">
        <v>17</v>
      </c>
      <c r="C562" s="16" t="s">
        <v>1091</v>
      </c>
      <c r="D562" s="16" t="s">
        <v>1122</v>
      </c>
      <c r="E562" s="17" t="s">
        <v>1123</v>
      </c>
      <c r="F562" s="16" t="n">
        <v>33.38596069</v>
      </c>
      <c r="G562" s="16" t="n">
        <v>44.41342288</v>
      </c>
      <c r="H562" s="18" t="n">
        <v>34</v>
      </c>
      <c r="I562" s="18" t="n">
        <v>204</v>
      </c>
      <c r="J562" s="19" t="n">
        <v>5</v>
      </c>
      <c r="K562" s="19"/>
      <c r="L562" s="19"/>
      <c r="M562" s="19"/>
      <c r="N562" s="19"/>
      <c r="O562" s="19" t="n">
        <v>5</v>
      </c>
      <c r="P562" s="19"/>
      <c r="Q562" s="19"/>
      <c r="R562" s="19" t="n">
        <v>1</v>
      </c>
      <c r="S562" s="19"/>
      <c r="T562" s="19"/>
      <c r="U562" s="19"/>
      <c r="V562" s="19" t="n">
        <v>21</v>
      </c>
      <c r="W562" s="19"/>
      <c r="X562" s="19" t="n">
        <v>2</v>
      </c>
      <c r="Y562" s="19"/>
      <c r="Z562" s="19"/>
      <c r="AA562" s="19"/>
      <c r="AB562" s="19"/>
      <c r="AC562" s="19" t="n">
        <v>10</v>
      </c>
      <c r="AD562" s="19"/>
      <c r="AE562" s="19"/>
      <c r="AF562" s="19"/>
      <c r="AG562" s="19"/>
      <c r="AH562" s="19" t="n">
        <v>24</v>
      </c>
      <c r="AI562" s="19"/>
      <c r="AJ562" s="19"/>
      <c r="AK562" s="19"/>
      <c r="AL562" s="19" t="n">
        <v>7</v>
      </c>
      <c r="AM562" s="19" t="n">
        <v>15</v>
      </c>
      <c r="AN562" s="19" t="n">
        <v>7</v>
      </c>
      <c r="AO562" s="19" t="n">
        <v>5</v>
      </c>
      <c r="AP562" s="19"/>
      <c r="AQ562" s="19"/>
      <c r="AR562" s="19"/>
      <c r="AS562" s="20" t="str">
        <f aca="false">HYPERLINK("http://www.openstreetmap.org/?mlat=33.386&amp;mlon=44.4134&amp;zoom=12#map=12/33.386/44.4134","Maplink1")</f>
        <v>Maplink1</v>
      </c>
      <c r="AT562" s="20" t="str">
        <f aca="false">HYPERLINK("https://www.google.iq/maps/search/+33.386,44.4134/@33.386,44.4134,14z?hl=en","Maplink2")</f>
        <v>Maplink2</v>
      </c>
      <c r="AU562" s="20" t="str">
        <f aca="false">HYPERLINK("http://www.bing.com/maps/?lvl=14&amp;sty=h&amp;cp=33.386~44.4134&amp;sp=point.33.386_44.4134","Maplink3")</f>
        <v>Maplink3</v>
      </c>
    </row>
    <row r="563" customFormat="false" ht="15" hidden="false" customHeight="true" outlineLevel="0" collapsed="false">
      <c r="A563" s="15" t="n">
        <v>27118</v>
      </c>
      <c r="B563" s="16" t="s">
        <v>17</v>
      </c>
      <c r="C563" s="16" t="s">
        <v>1091</v>
      </c>
      <c r="D563" s="16" t="s">
        <v>1124</v>
      </c>
      <c r="E563" s="17" t="s">
        <v>1125</v>
      </c>
      <c r="F563" s="16" t="n">
        <v>33.39108759</v>
      </c>
      <c r="G563" s="16" t="n">
        <v>44.4087451</v>
      </c>
      <c r="H563" s="18" t="n">
        <v>28</v>
      </c>
      <c r="I563" s="18" t="n">
        <v>168</v>
      </c>
      <c r="J563" s="19" t="n">
        <v>6</v>
      </c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 t="n">
        <v>17</v>
      </c>
      <c r="W563" s="19"/>
      <c r="X563" s="19" t="n">
        <v>5</v>
      </c>
      <c r="Y563" s="19"/>
      <c r="Z563" s="19"/>
      <c r="AA563" s="19"/>
      <c r="AB563" s="19"/>
      <c r="AC563" s="19" t="n">
        <v>7</v>
      </c>
      <c r="AD563" s="19"/>
      <c r="AE563" s="19"/>
      <c r="AF563" s="19"/>
      <c r="AG563" s="19"/>
      <c r="AH563" s="19" t="n">
        <v>21</v>
      </c>
      <c r="AI563" s="19"/>
      <c r="AJ563" s="19"/>
      <c r="AK563" s="19"/>
      <c r="AL563" s="19"/>
      <c r="AM563" s="19" t="n">
        <v>14</v>
      </c>
      <c r="AN563" s="19" t="n">
        <v>3</v>
      </c>
      <c r="AO563" s="19" t="n">
        <v>5</v>
      </c>
      <c r="AP563" s="19" t="n">
        <v>6</v>
      </c>
      <c r="AQ563" s="19"/>
      <c r="AR563" s="19"/>
      <c r="AS563" s="20" t="str">
        <f aca="false">HYPERLINK("http://www.openstreetmap.org/?mlat=33.3911&amp;mlon=44.4087&amp;zoom=12#map=12/33.3911/44.4087","Maplink1")</f>
        <v>Maplink1</v>
      </c>
      <c r="AT563" s="20" t="str">
        <f aca="false">HYPERLINK("https://www.google.iq/maps/search/+33.3911,44.4087/@33.3911,44.4087,14z?hl=en","Maplink2")</f>
        <v>Maplink2</v>
      </c>
      <c r="AU563" s="20" t="str">
        <f aca="false">HYPERLINK("http://www.bing.com/maps/?lvl=14&amp;sty=h&amp;cp=33.3911~44.4087&amp;sp=point.33.3911_44.4087","Maplink3")</f>
        <v>Maplink3</v>
      </c>
    </row>
    <row r="564" customFormat="false" ht="15" hidden="false" customHeight="true" outlineLevel="0" collapsed="false">
      <c r="A564" s="15" t="n">
        <v>21171</v>
      </c>
      <c r="B564" s="16" t="s">
        <v>17</v>
      </c>
      <c r="C564" s="16" t="s">
        <v>1091</v>
      </c>
      <c r="D564" s="16" t="s">
        <v>1126</v>
      </c>
      <c r="E564" s="17" t="s">
        <v>200</v>
      </c>
      <c r="F564" s="16" t="n">
        <v>33.5392106</v>
      </c>
      <c r="G564" s="16" t="n">
        <v>44.32092904</v>
      </c>
      <c r="H564" s="18" t="n">
        <v>11</v>
      </c>
      <c r="I564" s="18" t="n">
        <v>66</v>
      </c>
      <c r="J564" s="19" t="n">
        <v>7</v>
      </c>
      <c r="K564" s="19"/>
      <c r="L564" s="19"/>
      <c r="M564" s="19"/>
      <c r="N564" s="19"/>
      <c r="O564" s="19" t="n">
        <v>4</v>
      </c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 t="n">
        <v>11</v>
      </c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 t="n">
        <v>4</v>
      </c>
      <c r="AP564" s="19" t="n">
        <v>7</v>
      </c>
      <c r="AQ564" s="19"/>
      <c r="AR564" s="19"/>
      <c r="AS564" s="20" t="str">
        <f aca="false">HYPERLINK("http://www.openstreetmap.org/?mlat=33.5392&amp;mlon=44.3209&amp;zoom=12#map=12/33.5392/44.3209","Maplink1")</f>
        <v>Maplink1</v>
      </c>
      <c r="AT564" s="20" t="str">
        <f aca="false">HYPERLINK("https://www.google.iq/maps/search/+33.5392,44.3209/@33.5392,44.3209,14z?hl=en","Maplink2")</f>
        <v>Maplink2</v>
      </c>
      <c r="AU564" s="20" t="str">
        <f aca="false">HYPERLINK("http://www.bing.com/maps/?lvl=14&amp;sty=h&amp;cp=33.5392~44.3209&amp;sp=point.33.5392_44.3209","Maplink3")</f>
        <v>Maplink3</v>
      </c>
    </row>
    <row r="565" customFormat="false" ht="15" hidden="false" customHeight="true" outlineLevel="0" collapsed="false">
      <c r="A565" s="15" t="n">
        <v>24991</v>
      </c>
      <c r="B565" s="16" t="s">
        <v>17</v>
      </c>
      <c r="C565" s="16" t="s">
        <v>1091</v>
      </c>
      <c r="D565" s="16" t="s">
        <v>1127</v>
      </c>
      <c r="E565" s="17" t="s">
        <v>1128</v>
      </c>
      <c r="F565" s="16" t="n">
        <v>33.45799</v>
      </c>
      <c r="G565" s="16" t="n">
        <v>44.33945</v>
      </c>
      <c r="H565" s="18" t="n">
        <v>14</v>
      </c>
      <c r="I565" s="18" t="n">
        <v>84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 t="n">
        <v>14</v>
      </c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 t="n">
        <v>14</v>
      </c>
      <c r="AI565" s="19"/>
      <c r="AJ565" s="19"/>
      <c r="AK565" s="19"/>
      <c r="AL565" s="19"/>
      <c r="AM565" s="19" t="n">
        <v>14</v>
      </c>
      <c r="AN565" s="19"/>
      <c r="AO565" s="19"/>
      <c r="AP565" s="19"/>
      <c r="AQ565" s="19"/>
      <c r="AR565" s="19"/>
      <c r="AS565" s="20" t="str">
        <f aca="false">HYPERLINK("http://www.openstreetmap.org/?mlat=33.458&amp;mlon=44.3394&amp;zoom=12#map=12/33.458/44.3394","Maplink1")</f>
        <v>Maplink1</v>
      </c>
      <c r="AT565" s="20" t="str">
        <f aca="false">HYPERLINK("https://www.google.iq/maps/search/+33.458,44.3394/@33.458,44.3394,14z?hl=en","Maplink2")</f>
        <v>Maplink2</v>
      </c>
      <c r="AU565" s="20" t="str">
        <f aca="false">HYPERLINK("http://www.bing.com/maps/?lvl=14&amp;sty=h&amp;cp=33.458~44.3394&amp;sp=point.33.458_44.3394","Maplink3")</f>
        <v>Maplink3</v>
      </c>
    </row>
    <row r="566" customFormat="false" ht="15" hidden="false" customHeight="true" outlineLevel="0" collapsed="false">
      <c r="A566" s="15" t="n">
        <v>24990</v>
      </c>
      <c r="B566" s="16" t="s">
        <v>17</v>
      </c>
      <c r="C566" s="16" t="s">
        <v>1091</v>
      </c>
      <c r="D566" s="16" t="s">
        <v>1129</v>
      </c>
      <c r="E566" s="17" t="s">
        <v>1130</v>
      </c>
      <c r="F566" s="16" t="n">
        <v>33.45523206</v>
      </c>
      <c r="G566" s="16" t="n">
        <v>44.34511905</v>
      </c>
      <c r="H566" s="18" t="n">
        <v>39</v>
      </c>
      <c r="I566" s="18" t="n">
        <v>234</v>
      </c>
      <c r="J566" s="19"/>
      <c r="K566" s="19"/>
      <c r="L566" s="19"/>
      <c r="M566" s="19"/>
      <c r="N566" s="19"/>
      <c r="O566" s="19" t="n">
        <v>6</v>
      </c>
      <c r="P566" s="19"/>
      <c r="Q566" s="19"/>
      <c r="R566" s="19"/>
      <c r="S566" s="19"/>
      <c r="T566" s="19"/>
      <c r="U566" s="19"/>
      <c r="V566" s="19" t="n">
        <v>33</v>
      </c>
      <c r="W566" s="19"/>
      <c r="X566" s="19"/>
      <c r="Y566" s="19"/>
      <c r="Z566" s="19"/>
      <c r="AA566" s="19"/>
      <c r="AB566" s="19"/>
      <c r="AC566" s="19" t="n">
        <v>6</v>
      </c>
      <c r="AD566" s="19"/>
      <c r="AE566" s="19"/>
      <c r="AF566" s="19"/>
      <c r="AG566" s="19"/>
      <c r="AH566" s="19" t="n">
        <v>33</v>
      </c>
      <c r="AI566" s="19"/>
      <c r="AJ566" s="19"/>
      <c r="AK566" s="19"/>
      <c r="AL566" s="19"/>
      <c r="AM566" s="19" t="n">
        <v>30</v>
      </c>
      <c r="AN566" s="19" t="n">
        <v>3</v>
      </c>
      <c r="AO566" s="19"/>
      <c r="AP566" s="19" t="n">
        <v>6</v>
      </c>
      <c r="AQ566" s="19"/>
      <c r="AR566" s="19"/>
      <c r="AS566" s="20" t="str">
        <f aca="false">HYPERLINK("http://www.openstreetmap.org/?mlat=33.4552&amp;mlon=44.3451&amp;zoom=12#map=12/33.4552/44.3451","Maplink1")</f>
        <v>Maplink1</v>
      </c>
      <c r="AT566" s="20" t="str">
        <f aca="false">HYPERLINK("https://www.google.iq/maps/search/+33.4552,44.3451/@33.4552,44.3451,14z?hl=en","Maplink2")</f>
        <v>Maplink2</v>
      </c>
      <c r="AU566" s="20" t="str">
        <f aca="false">HYPERLINK("http://www.bing.com/maps/?lvl=14&amp;sty=h&amp;cp=33.4552~44.3451&amp;sp=point.33.4552_44.3451","Maplink3")</f>
        <v>Maplink3</v>
      </c>
    </row>
    <row r="567" customFormat="false" ht="15" hidden="false" customHeight="true" outlineLevel="0" collapsed="false">
      <c r="A567" s="15" t="n">
        <v>22004</v>
      </c>
      <c r="B567" s="16" t="s">
        <v>17</v>
      </c>
      <c r="C567" s="16" t="s">
        <v>1091</v>
      </c>
      <c r="D567" s="16" t="s">
        <v>1131</v>
      </c>
      <c r="E567" s="17" t="s">
        <v>1132</v>
      </c>
      <c r="F567" s="16" t="n">
        <v>33.55539205</v>
      </c>
      <c r="G567" s="16" t="n">
        <v>44.40226016</v>
      </c>
      <c r="H567" s="18" t="n">
        <v>9</v>
      </c>
      <c r="I567" s="18" t="n">
        <v>54</v>
      </c>
      <c r="J567" s="19"/>
      <c r="K567" s="19"/>
      <c r="L567" s="19"/>
      <c r="M567" s="19"/>
      <c r="N567" s="19"/>
      <c r="O567" s="19"/>
      <c r="P567" s="19"/>
      <c r="Q567" s="19"/>
      <c r="R567" s="19" t="n">
        <v>3</v>
      </c>
      <c r="S567" s="19"/>
      <c r="T567" s="19"/>
      <c r="U567" s="19"/>
      <c r="V567" s="19" t="n">
        <v>2</v>
      </c>
      <c r="W567" s="19"/>
      <c r="X567" s="19" t="n">
        <v>4</v>
      </c>
      <c r="Y567" s="19"/>
      <c r="Z567" s="19"/>
      <c r="AA567" s="19"/>
      <c r="AB567" s="19"/>
      <c r="AC567" s="19" t="n">
        <v>2</v>
      </c>
      <c r="AD567" s="19"/>
      <c r="AE567" s="19"/>
      <c r="AF567" s="19"/>
      <c r="AG567" s="19"/>
      <c r="AH567" s="19" t="n">
        <v>7</v>
      </c>
      <c r="AI567" s="19"/>
      <c r="AJ567" s="19"/>
      <c r="AK567" s="19"/>
      <c r="AL567" s="19"/>
      <c r="AM567" s="19"/>
      <c r="AN567" s="19"/>
      <c r="AO567" s="19" t="n">
        <v>9</v>
      </c>
      <c r="AP567" s="19"/>
      <c r="AQ567" s="19"/>
      <c r="AR567" s="19"/>
      <c r="AS567" s="20" t="str">
        <f aca="false">HYPERLINK("http://www.openstreetmap.org/?mlat=33.5554&amp;mlon=44.4023&amp;zoom=12#map=12/33.5554/44.4023","Maplink1")</f>
        <v>Maplink1</v>
      </c>
      <c r="AT567" s="20" t="str">
        <f aca="false">HYPERLINK("https://www.google.iq/maps/search/+33.5554,44.4023/@33.5554,44.4023,14z?hl=en","Maplink2")</f>
        <v>Maplink2</v>
      </c>
      <c r="AU567" s="20" t="str">
        <f aca="false">HYPERLINK("http://www.bing.com/maps/?lvl=14&amp;sty=h&amp;cp=33.5554~44.4023&amp;sp=point.33.5554_44.4023","Maplink3")</f>
        <v>Maplink3</v>
      </c>
    </row>
    <row r="568" customFormat="false" ht="15" hidden="false" customHeight="true" outlineLevel="0" collapsed="false">
      <c r="A568" s="15" t="n">
        <v>22005</v>
      </c>
      <c r="B568" s="16" t="s">
        <v>17</v>
      </c>
      <c r="C568" s="16" t="s">
        <v>1091</v>
      </c>
      <c r="D568" s="16" t="s">
        <v>1133</v>
      </c>
      <c r="E568" s="17" t="s">
        <v>1134</v>
      </c>
      <c r="F568" s="16" t="n">
        <v>33.5460651081</v>
      </c>
      <c r="G568" s="16" t="n">
        <v>44.3899896041</v>
      </c>
      <c r="H568" s="18" t="n">
        <v>39</v>
      </c>
      <c r="I568" s="18" t="n">
        <v>234</v>
      </c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 t="n">
        <v>37</v>
      </c>
      <c r="W568" s="19"/>
      <c r="X568" s="19" t="n">
        <v>2</v>
      </c>
      <c r="Y568" s="19"/>
      <c r="Z568" s="19"/>
      <c r="AA568" s="19"/>
      <c r="AB568" s="19"/>
      <c r="AC568" s="19" t="n">
        <v>6</v>
      </c>
      <c r="AD568" s="19"/>
      <c r="AE568" s="19"/>
      <c r="AF568" s="19"/>
      <c r="AG568" s="19"/>
      <c r="AH568" s="19" t="n">
        <v>15</v>
      </c>
      <c r="AI568" s="19" t="n">
        <v>18</v>
      </c>
      <c r="AJ568" s="19"/>
      <c r="AK568" s="19"/>
      <c r="AL568" s="19"/>
      <c r="AM568" s="19"/>
      <c r="AN568" s="19"/>
      <c r="AO568" s="19" t="n">
        <v>39</v>
      </c>
      <c r="AP568" s="19"/>
      <c r="AQ568" s="19"/>
      <c r="AR568" s="19"/>
      <c r="AS568" s="20" t="str">
        <f aca="false">HYPERLINK("http://www.openstreetmap.org/?mlat=33.5461&amp;mlon=44.39&amp;zoom=12#map=12/33.5461/44.39","Maplink1")</f>
        <v>Maplink1</v>
      </c>
      <c r="AT568" s="20" t="str">
        <f aca="false">HYPERLINK("https://www.google.iq/maps/search/+33.5461,44.39/@33.5461,44.39,14z?hl=en","Maplink2")</f>
        <v>Maplink2</v>
      </c>
      <c r="AU568" s="20" t="str">
        <f aca="false">HYPERLINK("http://www.bing.com/maps/?lvl=14&amp;sty=h&amp;cp=33.5461~44.39&amp;sp=point.33.5461_44.39","Maplink3")</f>
        <v>Maplink3</v>
      </c>
    </row>
    <row r="569" customFormat="false" ht="15" hidden="false" customHeight="true" outlineLevel="0" collapsed="false">
      <c r="A569" s="15" t="n">
        <v>22032</v>
      </c>
      <c r="B569" s="16" t="s">
        <v>17</v>
      </c>
      <c r="C569" s="16" t="s">
        <v>1091</v>
      </c>
      <c r="D569" s="16" t="s">
        <v>1135</v>
      </c>
      <c r="E569" s="17" t="s">
        <v>1136</v>
      </c>
      <c r="F569" s="16" t="n">
        <v>33.5427867</v>
      </c>
      <c r="G569" s="16" t="n">
        <v>44.42171667</v>
      </c>
      <c r="H569" s="18" t="n">
        <v>40</v>
      </c>
      <c r="I569" s="18" t="n">
        <v>240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 t="n">
        <v>40</v>
      </c>
      <c r="W569" s="19"/>
      <c r="X569" s="19"/>
      <c r="Y569" s="19"/>
      <c r="Z569" s="19"/>
      <c r="AA569" s="19"/>
      <c r="AB569" s="19"/>
      <c r="AC569" s="19" t="n">
        <v>12</v>
      </c>
      <c r="AD569" s="19"/>
      <c r="AE569" s="19"/>
      <c r="AF569" s="19"/>
      <c r="AG569" s="19"/>
      <c r="AH569" s="19" t="n">
        <v>28</v>
      </c>
      <c r="AI569" s="19"/>
      <c r="AJ569" s="19"/>
      <c r="AK569" s="19"/>
      <c r="AL569" s="19"/>
      <c r="AM569" s="19"/>
      <c r="AN569" s="19"/>
      <c r="AO569" s="19" t="n">
        <v>40</v>
      </c>
      <c r="AP569" s="19"/>
      <c r="AQ569" s="19"/>
      <c r="AR569" s="19"/>
      <c r="AS569" s="20" t="str">
        <f aca="false">HYPERLINK("http://www.openstreetmap.org/?mlat=33.5428&amp;mlon=44.4217&amp;zoom=12#map=12/33.5428/44.4217","Maplink1")</f>
        <v>Maplink1</v>
      </c>
      <c r="AT569" s="20" t="str">
        <f aca="false">HYPERLINK("https://www.google.iq/maps/search/+33.5428,44.4217/@33.5428,44.4217,14z?hl=en","Maplink2")</f>
        <v>Maplink2</v>
      </c>
      <c r="AU569" s="20" t="str">
        <f aca="false">HYPERLINK("http://www.bing.com/maps/?lvl=14&amp;sty=h&amp;cp=33.5428~44.4217&amp;sp=point.33.5428_44.4217","Maplink3")</f>
        <v>Maplink3</v>
      </c>
    </row>
    <row r="570" customFormat="false" ht="15" hidden="false" customHeight="true" outlineLevel="0" collapsed="false">
      <c r="A570" s="15" t="n">
        <v>22697</v>
      </c>
      <c r="B570" s="16" t="s">
        <v>17</v>
      </c>
      <c r="C570" s="16" t="s">
        <v>1091</v>
      </c>
      <c r="D570" s="16" t="s">
        <v>1137</v>
      </c>
      <c r="E570" s="17" t="s">
        <v>1138</v>
      </c>
      <c r="F570" s="16" t="n">
        <v>33.55068267</v>
      </c>
      <c r="G570" s="16" t="n">
        <v>44.41416485</v>
      </c>
      <c r="H570" s="18" t="n">
        <v>2</v>
      </c>
      <c r="I570" s="18" t="n">
        <v>12</v>
      </c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 t="n">
        <v>2</v>
      </c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 t="n">
        <v>2</v>
      </c>
      <c r="AI570" s="19"/>
      <c r="AJ570" s="19"/>
      <c r="AK570" s="19"/>
      <c r="AL570" s="19"/>
      <c r="AM570" s="19" t="n">
        <v>2</v>
      </c>
      <c r="AN570" s="19"/>
      <c r="AO570" s="19"/>
      <c r="AP570" s="19"/>
      <c r="AQ570" s="19"/>
      <c r="AR570" s="19"/>
      <c r="AS570" s="20" t="str">
        <f aca="false">HYPERLINK("http://www.openstreetmap.org/?mlat=33.5507&amp;mlon=44.4142&amp;zoom=12#map=12/33.5507/44.4142","Maplink1")</f>
        <v>Maplink1</v>
      </c>
      <c r="AT570" s="20" t="str">
        <f aca="false">HYPERLINK("https://www.google.iq/maps/search/+33.5507,44.4142/@33.5507,44.4142,14z?hl=en","Maplink2")</f>
        <v>Maplink2</v>
      </c>
      <c r="AU570" s="20" t="str">
        <f aca="false">HYPERLINK("http://www.bing.com/maps/?lvl=14&amp;sty=h&amp;cp=33.5507~44.4142&amp;sp=point.33.5507_44.4142","Maplink3")</f>
        <v>Maplink3</v>
      </c>
    </row>
    <row r="571" customFormat="false" ht="15" hidden="false" customHeight="true" outlineLevel="0" collapsed="false">
      <c r="A571" s="15" t="n">
        <v>22378</v>
      </c>
      <c r="B571" s="16" t="s">
        <v>17</v>
      </c>
      <c r="C571" s="16" t="s">
        <v>1091</v>
      </c>
      <c r="D571" s="16" t="s">
        <v>1139</v>
      </c>
      <c r="E571" s="17" t="s">
        <v>1140</v>
      </c>
      <c r="F571" s="16" t="n">
        <v>33.54324661</v>
      </c>
      <c r="G571" s="16" t="n">
        <v>44.42906547</v>
      </c>
      <c r="H571" s="18" t="n">
        <v>14</v>
      </c>
      <c r="I571" s="18" t="n">
        <v>84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 t="n">
        <v>14</v>
      </c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 t="n">
        <v>14</v>
      </c>
      <c r="AI571" s="19"/>
      <c r="AJ571" s="19"/>
      <c r="AK571" s="19"/>
      <c r="AL571" s="19"/>
      <c r="AM571" s="19"/>
      <c r="AN571" s="19"/>
      <c r="AO571" s="19" t="n">
        <v>14</v>
      </c>
      <c r="AP571" s="19"/>
      <c r="AQ571" s="19"/>
      <c r="AR571" s="19"/>
      <c r="AS571" s="20" t="str">
        <f aca="false">HYPERLINK("http://www.openstreetmap.org/?mlat=33.5432&amp;mlon=44.4291&amp;zoom=12#map=12/33.5432/44.4291","Maplink1")</f>
        <v>Maplink1</v>
      </c>
      <c r="AT571" s="20" t="str">
        <f aca="false">HYPERLINK("https://www.google.iq/maps/search/+33.5432,44.4291/@33.5432,44.4291,14z?hl=en","Maplink2")</f>
        <v>Maplink2</v>
      </c>
      <c r="AU571" s="20" t="str">
        <f aca="false">HYPERLINK("http://www.bing.com/maps/?lvl=14&amp;sty=h&amp;cp=33.5432~44.4291&amp;sp=point.33.5432_44.4291","Maplink3")</f>
        <v>Maplink3</v>
      </c>
    </row>
    <row r="572" customFormat="false" ht="15" hidden="false" customHeight="true" outlineLevel="0" collapsed="false">
      <c r="A572" s="15" t="n">
        <v>22250</v>
      </c>
      <c r="B572" s="16" t="s">
        <v>17</v>
      </c>
      <c r="C572" s="16" t="s">
        <v>1091</v>
      </c>
      <c r="D572" s="16" t="s">
        <v>1141</v>
      </c>
      <c r="E572" s="17" t="s">
        <v>1142</v>
      </c>
      <c r="F572" s="16" t="n">
        <v>33.53487225</v>
      </c>
      <c r="G572" s="16" t="n">
        <v>44.40394578</v>
      </c>
      <c r="H572" s="18" t="n">
        <v>7</v>
      </c>
      <c r="I572" s="18" t="n">
        <v>42</v>
      </c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 t="n">
        <v>7</v>
      </c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 t="n">
        <v>7</v>
      </c>
      <c r="AI572" s="19"/>
      <c r="AJ572" s="19"/>
      <c r="AK572" s="19"/>
      <c r="AL572" s="19"/>
      <c r="AM572" s="19"/>
      <c r="AN572" s="19"/>
      <c r="AO572" s="19" t="n">
        <v>7</v>
      </c>
      <c r="AP572" s="19"/>
      <c r="AQ572" s="19"/>
      <c r="AR572" s="19"/>
      <c r="AS572" s="20" t="str">
        <f aca="false">HYPERLINK("http://www.openstreetmap.org/?mlat=33.5349&amp;mlon=44.4039&amp;zoom=12#map=12/33.5349/44.4039","Maplink1")</f>
        <v>Maplink1</v>
      </c>
      <c r="AT572" s="20" t="str">
        <f aca="false">HYPERLINK("https://www.google.iq/maps/search/+33.5349,44.4039/@33.5349,44.4039,14z?hl=en","Maplink2")</f>
        <v>Maplink2</v>
      </c>
      <c r="AU572" s="20" t="str">
        <f aca="false">HYPERLINK("http://www.bing.com/maps/?lvl=14&amp;sty=h&amp;cp=33.5349~44.4039&amp;sp=point.33.5349_44.4039","Maplink3")</f>
        <v>Maplink3</v>
      </c>
    </row>
    <row r="573" customFormat="false" ht="15" hidden="false" customHeight="true" outlineLevel="0" collapsed="false">
      <c r="A573" s="15" t="n">
        <v>22252</v>
      </c>
      <c r="B573" s="16" t="s">
        <v>17</v>
      </c>
      <c r="C573" s="16" t="s">
        <v>1091</v>
      </c>
      <c r="D573" s="16" t="s">
        <v>1143</v>
      </c>
      <c r="E573" s="17" t="s">
        <v>1144</v>
      </c>
      <c r="F573" s="16" t="n">
        <v>33.54785528</v>
      </c>
      <c r="G573" s="16" t="n">
        <v>44.40383816</v>
      </c>
      <c r="H573" s="18" t="n">
        <v>18</v>
      </c>
      <c r="I573" s="18" t="n">
        <v>108</v>
      </c>
      <c r="J573" s="19"/>
      <c r="K573" s="19"/>
      <c r="L573" s="19"/>
      <c r="M573" s="19"/>
      <c r="N573" s="19"/>
      <c r="O573" s="19" t="n">
        <v>3</v>
      </c>
      <c r="P573" s="19"/>
      <c r="Q573" s="19"/>
      <c r="R573" s="19" t="n">
        <v>3</v>
      </c>
      <c r="S573" s="19"/>
      <c r="T573" s="19"/>
      <c r="U573" s="19"/>
      <c r="V573" s="19" t="n">
        <v>12</v>
      </c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 t="n">
        <v>18</v>
      </c>
      <c r="AI573" s="19"/>
      <c r="AJ573" s="19"/>
      <c r="AK573" s="19"/>
      <c r="AL573" s="19"/>
      <c r="AM573" s="19" t="n">
        <v>11</v>
      </c>
      <c r="AN573" s="19"/>
      <c r="AO573" s="19" t="n">
        <v>7</v>
      </c>
      <c r="AP573" s="19"/>
      <c r="AQ573" s="19"/>
      <c r="AR573" s="19"/>
      <c r="AS573" s="20" t="str">
        <f aca="false">HYPERLINK("http://www.openstreetmap.org/?mlat=33.5479&amp;mlon=44.4038&amp;zoom=12#map=12/33.5479/44.4038","Maplink1")</f>
        <v>Maplink1</v>
      </c>
      <c r="AT573" s="20" t="str">
        <f aca="false">HYPERLINK("https://www.google.iq/maps/search/+33.5479,44.4038/@33.5479,44.4038,14z?hl=en","Maplink2")</f>
        <v>Maplink2</v>
      </c>
      <c r="AU573" s="20" t="str">
        <f aca="false">HYPERLINK("http://www.bing.com/maps/?lvl=14&amp;sty=h&amp;cp=33.5479~44.4038&amp;sp=point.33.5479_44.4038","Maplink3")</f>
        <v>Maplink3</v>
      </c>
    </row>
    <row r="574" customFormat="false" ht="15" hidden="false" customHeight="true" outlineLevel="0" collapsed="false">
      <c r="A574" s="15" t="n">
        <v>21907</v>
      </c>
      <c r="B574" s="16" t="s">
        <v>17</v>
      </c>
      <c r="C574" s="16" t="s">
        <v>1091</v>
      </c>
      <c r="D574" s="16" t="s">
        <v>1145</v>
      </c>
      <c r="E574" s="17" t="s">
        <v>1146</v>
      </c>
      <c r="F574" s="16" t="n">
        <v>33.54898531</v>
      </c>
      <c r="G574" s="16" t="n">
        <v>44.40364489</v>
      </c>
      <c r="H574" s="18" t="n">
        <v>4</v>
      </c>
      <c r="I574" s="18" t="n">
        <v>24</v>
      </c>
      <c r="J574" s="19"/>
      <c r="K574" s="19"/>
      <c r="L574" s="19"/>
      <c r="M574" s="19"/>
      <c r="N574" s="19"/>
      <c r="O574" s="19"/>
      <c r="P574" s="19"/>
      <c r="Q574" s="19"/>
      <c r="R574" s="19" t="n">
        <v>1</v>
      </c>
      <c r="S574" s="19"/>
      <c r="T574" s="19"/>
      <c r="U574" s="19"/>
      <c r="V574" s="19" t="n">
        <v>3</v>
      </c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 t="n">
        <v>4</v>
      </c>
      <c r="AI574" s="19"/>
      <c r="AJ574" s="19"/>
      <c r="AK574" s="19"/>
      <c r="AL574" s="19"/>
      <c r="AM574" s="19" t="n">
        <v>3</v>
      </c>
      <c r="AN574" s="19"/>
      <c r="AO574" s="19" t="n">
        <v>1</v>
      </c>
      <c r="AP574" s="19"/>
      <c r="AQ574" s="19"/>
      <c r="AR574" s="19"/>
      <c r="AS574" s="20" t="str">
        <f aca="false">HYPERLINK("http://www.openstreetmap.org/?mlat=33.549&amp;mlon=44.4036&amp;zoom=12#map=12/33.549/44.4036","Maplink1")</f>
        <v>Maplink1</v>
      </c>
      <c r="AT574" s="20" t="str">
        <f aca="false">HYPERLINK("https://www.google.iq/maps/search/+33.549,44.4036/@33.549,44.4036,14z?hl=en","Maplink2")</f>
        <v>Maplink2</v>
      </c>
      <c r="AU574" s="20" t="str">
        <f aca="false">HYPERLINK("http://www.bing.com/maps/?lvl=14&amp;sty=h&amp;cp=33.549~44.4036&amp;sp=point.33.549_44.4036","Maplink3")</f>
        <v>Maplink3</v>
      </c>
    </row>
    <row r="575" customFormat="false" ht="15" hidden="false" customHeight="true" outlineLevel="0" collapsed="false">
      <c r="A575" s="15" t="n">
        <v>24930</v>
      </c>
      <c r="B575" s="16" t="s">
        <v>17</v>
      </c>
      <c r="C575" s="16" t="s">
        <v>1091</v>
      </c>
      <c r="D575" s="16" t="s">
        <v>1147</v>
      </c>
      <c r="E575" s="17" t="s">
        <v>1148</v>
      </c>
      <c r="F575" s="16" t="n">
        <v>33.54328412</v>
      </c>
      <c r="G575" s="16" t="n">
        <v>44.42766626</v>
      </c>
      <c r="H575" s="18" t="n">
        <v>13</v>
      </c>
      <c r="I575" s="18" t="n">
        <v>78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 t="n">
        <v>13</v>
      </c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 t="n">
        <v>13</v>
      </c>
      <c r="AI575" s="19"/>
      <c r="AJ575" s="19"/>
      <c r="AK575" s="19"/>
      <c r="AL575" s="19"/>
      <c r="AM575" s="19"/>
      <c r="AN575" s="19"/>
      <c r="AO575" s="19" t="n">
        <v>10</v>
      </c>
      <c r="AP575" s="19"/>
      <c r="AQ575" s="19"/>
      <c r="AR575" s="19" t="n">
        <v>3</v>
      </c>
      <c r="AS575" s="20" t="str">
        <f aca="false">HYPERLINK("http://www.openstreetmap.org/?mlat=33.5433&amp;mlon=44.4277&amp;zoom=12#map=12/33.5433/44.4277","Maplink1")</f>
        <v>Maplink1</v>
      </c>
      <c r="AT575" s="20" t="str">
        <f aca="false">HYPERLINK("https://www.google.iq/maps/search/+33.5433,44.4277/@33.5433,44.4277,14z?hl=en","Maplink2")</f>
        <v>Maplink2</v>
      </c>
      <c r="AU575" s="20" t="str">
        <f aca="false">HYPERLINK("http://www.bing.com/maps/?lvl=14&amp;sty=h&amp;cp=33.5433~44.4277&amp;sp=point.33.5433_44.4277","Maplink3")</f>
        <v>Maplink3</v>
      </c>
    </row>
    <row r="576" customFormat="false" ht="15" hidden="false" customHeight="true" outlineLevel="0" collapsed="false">
      <c r="A576" s="15" t="n">
        <v>22698</v>
      </c>
      <c r="B576" s="16" t="s">
        <v>17</v>
      </c>
      <c r="C576" s="16" t="s">
        <v>1091</v>
      </c>
      <c r="D576" s="16" t="s">
        <v>1149</v>
      </c>
      <c r="E576" s="17" t="s">
        <v>1150</v>
      </c>
      <c r="F576" s="16" t="n">
        <v>33.55671182</v>
      </c>
      <c r="G576" s="16" t="n">
        <v>44.41253852</v>
      </c>
      <c r="H576" s="18" t="n">
        <v>18</v>
      </c>
      <c r="I576" s="18" t="n">
        <v>108</v>
      </c>
      <c r="J576" s="19"/>
      <c r="K576" s="19"/>
      <c r="L576" s="19"/>
      <c r="M576" s="19"/>
      <c r="N576" s="19"/>
      <c r="O576" s="19" t="n">
        <v>2</v>
      </c>
      <c r="P576" s="19"/>
      <c r="Q576" s="19"/>
      <c r="R576" s="19"/>
      <c r="S576" s="19"/>
      <c r="T576" s="19"/>
      <c r="U576" s="19"/>
      <c r="V576" s="19" t="n">
        <v>16</v>
      </c>
      <c r="W576" s="19"/>
      <c r="X576" s="19"/>
      <c r="Y576" s="19"/>
      <c r="Z576" s="19"/>
      <c r="AA576" s="19"/>
      <c r="AB576" s="19"/>
      <c r="AC576" s="19" t="n">
        <v>15</v>
      </c>
      <c r="AD576" s="19"/>
      <c r="AE576" s="19"/>
      <c r="AF576" s="19"/>
      <c r="AG576" s="19"/>
      <c r="AH576" s="19" t="n">
        <v>3</v>
      </c>
      <c r="AI576" s="19"/>
      <c r="AJ576" s="19"/>
      <c r="AK576" s="19"/>
      <c r="AL576" s="19"/>
      <c r="AM576" s="19" t="n">
        <v>11</v>
      </c>
      <c r="AN576" s="19"/>
      <c r="AO576" s="19" t="n">
        <v>2</v>
      </c>
      <c r="AP576" s="19"/>
      <c r="AQ576" s="19"/>
      <c r="AR576" s="19" t="n">
        <v>5</v>
      </c>
      <c r="AS576" s="20" t="str">
        <f aca="false">HYPERLINK("http://www.openstreetmap.org/?mlat=33.5567&amp;mlon=44.4125&amp;zoom=12#map=12/33.5567/44.4125","Maplink1")</f>
        <v>Maplink1</v>
      </c>
      <c r="AT576" s="20" t="str">
        <f aca="false">HYPERLINK("https://www.google.iq/maps/search/+33.5567,44.4125/@33.5567,44.4125,14z?hl=en","Maplink2")</f>
        <v>Maplink2</v>
      </c>
      <c r="AU576" s="20" t="str">
        <f aca="false">HYPERLINK("http://www.bing.com/maps/?lvl=14&amp;sty=h&amp;cp=33.5567~44.4125&amp;sp=point.33.5567_44.4125","Maplink3")</f>
        <v>Maplink3</v>
      </c>
    </row>
    <row r="577" customFormat="false" ht="15" hidden="false" customHeight="true" outlineLevel="0" collapsed="false">
      <c r="A577" s="15" t="n">
        <v>22379</v>
      </c>
      <c r="B577" s="16" t="s">
        <v>17</v>
      </c>
      <c r="C577" s="16" t="s">
        <v>1091</v>
      </c>
      <c r="D577" s="16" t="s">
        <v>1151</v>
      </c>
      <c r="E577" s="17" t="s">
        <v>1152</v>
      </c>
      <c r="F577" s="16" t="n">
        <v>33.5409751</v>
      </c>
      <c r="G577" s="16" t="n">
        <v>44.40346593</v>
      </c>
      <c r="H577" s="18" t="n">
        <v>22</v>
      </c>
      <c r="I577" s="18" t="n">
        <v>132</v>
      </c>
      <c r="J577" s="19"/>
      <c r="K577" s="19"/>
      <c r="L577" s="19"/>
      <c r="M577" s="19"/>
      <c r="N577" s="19"/>
      <c r="O577" s="19" t="n">
        <v>5</v>
      </c>
      <c r="P577" s="19"/>
      <c r="Q577" s="19"/>
      <c r="R577" s="19" t="n">
        <v>14</v>
      </c>
      <c r="S577" s="19"/>
      <c r="T577" s="19"/>
      <c r="U577" s="19"/>
      <c r="V577" s="19"/>
      <c r="W577" s="19"/>
      <c r="X577" s="19" t="n">
        <v>3</v>
      </c>
      <c r="Y577" s="19"/>
      <c r="Z577" s="19"/>
      <c r="AA577" s="19"/>
      <c r="AB577" s="19"/>
      <c r="AC577" s="19" t="n">
        <v>14</v>
      </c>
      <c r="AD577" s="19"/>
      <c r="AE577" s="19"/>
      <c r="AF577" s="19"/>
      <c r="AG577" s="19"/>
      <c r="AH577" s="19" t="n">
        <v>8</v>
      </c>
      <c r="AI577" s="19"/>
      <c r="AJ577" s="19"/>
      <c r="AK577" s="19"/>
      <c r="AL577" s="19"/>
      <c r="AM577" s="19"/>
      <c r="AN577" s="19"/>
      <c r="AO577" s="19" t="n">
        <v>22</v>
      </c>
      <c r="AP577" s="19"/>
      <c r="AQ577" s="19"/>
      <c r="AR577" s="19"/>
      <c r="AS577" s="20" t="str">
        <f aca="false">HYPERLINK("http://www.openstreetmap.org/?mlat=33.541&amp;mlon=44.4035&amp;zoom=12#map=12/33.541/44.4035","Maplink1")</f>
        <v>Maplink1</v>
      </c>
      <c r="AT577" s="20" t="str">
        <f aca="false">HYPERLINK("https://www.google.iq/maps/search/+33.541,44.4035/@33.541,44.4035,14z?hl=en","Maplink2")</f>
        <v>Maplink2</v>
      </c>
      <c r="AU577" s="20" t="str">
        <f aca="false">HYPERLINK("http://www.bing.com/maps/?lvl=14&amp;sty=h&amp;cp=33.541~44.4035&amp;sp=point.33.541_44.4035","Maplink3")</f>
        <v>Maplink3</v>
      </c>
    </row>
    <row r="578" customFormat="false" ht="15" hidden="false" customHeight="true" outlineLevel="0" collapsed="false">
      <c r="A578" s="15" t="n">
        <v>22380</v>
      </c>
      <c r="B578" s="16" t="s">
        <v>17</v>
      </c>
      <c r="C578" s="16" t="s">
        <v>1091</v>
      </c>
      <c r="D578" s="16" t="s">
        <v>1153</v>
      </c>
      <c r="E578" s="17" t="s">
        <v>1154</v>
      </c>
      <c r="F578" s="16" t="n">
        <v>33.54708858</v>
      </c>
      <c r="G578" s="16" t="n">
        <v>44.41928213</v>
      </c>
      <c r="H578" s="18" t="n">
        <v>12</v>
      </c>
      <c r="I578" s="18" t="n">
        <v>72</v>
      </c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 t="n">
        <v>12</v>
      </c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 t="n">
        <v>12</v>
      </c>
      <c r="AI578" s="19"/>
      <c r="AJ578" s="19"/>
      <c r="AK578" s="19"/>
      <c r="AL578" s="19"/>
      <c r="AM578" s="19"/>
      <c r="AN578" s="19"/>
      <c r="AO578" s="19" t="n">
        <v>12</v>
      </c>
      <c r="AP578" s="19"/>
      <c r="AQ578" s="19"/>
      <c r="AR578" s="19"/>
      <c r="AS578" s="20" t="str">
        <f aca="false">HYPERLINK("http://www.openstreetmap.org/?mlat=33.5471&amp;mlon=44.4193&amp;zoom=12#map=12/33.5471/44.4193","Maplink1")</f>
        <v>Maplink1</v>
      </c>
      <c r="AT578" s="20" t="str">
        <f aca="false">HYPERLINK("https://www.google.iq/maps/search/+33.5471,44.4193/@33.5471,44.4193,14z?hl=en","Maplink2")</f>
        <v>Maplink2</v>
      </c>
      <c r="AU578" s="20" t="str">
        <f aca="false">HYPERLINK("http://www.bing.com/maps/?lvl=14&amp;sty=h&amp;cp=33.5471~44.4193&amp;sp=point.33.5471_44.4193","Maplink3")</f>
        <v>Maplink3</v>
      </c>
    </row>
    <row r="579" customFormat="false" ht="15" hidden="false" customHeight="true" outlineLevel="0" collapsed="false">
      <c r="A579" s="15" t="n">
        <v>22699</v>
      </c>
      <c r="B579" s="16" t="s">
        <v>17</v>
      </c>
      <c r="C579" s="16" t="s">
        <v>1091</v>
      </c>
      <c r="D579" s="16" t="s">
        <v>1155</v>
      </c>
      <c r="E579" s="17" t="s">
        <v>1156</v>
      </c>
      <c r="F579" s="16" t="n">
        <v>33.54444425</v>
      </c>
      <c r="G579" s="16" t="n">
        <v>44.39292027</v>
      </c>
      <c r="H579" s="18" t="n">
        <v>9</v>
      </c>
      <c r="I579" s="18" t="n">
        <v>54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 t="n">
        <v>6</v>
      </c>
      <c r="W579" s="19"/>
      <c r="X579" s="19" t="n">
        <v>3</v>
      </c>
      <c r="Y579" s="19"/>
      <c r="Z579" s="19"/>
      <c r="AA579" s="19"/>
      <c r="AB579" s="19"/>
      <c r="AC579" s="19"/>
      <c r="AD579" s="19"/>
      <c r="AE579" s="19"/>
      <c r="AF579" s="19"/>
      <c r="AG579" s="19"/>
      <c r="AH579" s="19" t="n">
        <v>9</v>
      </c>
      <c r="AI579" s="19"/>
      <c r="AJ579" s="19"/>
      <c r="AK579" s="19"/>
      <c r="AL579" s="19"/>
      <c r="AM579" s="19"/>
      <c r="AN579" s="19" t="n">
        <v>6</v>
      </c>
      <c r="AO579" s="19" t="n">
        <v>3</v>
      </c>
      <c r="AP579" s="19"/>
      <c r="AQ579" s="19"/>
      <c r="AR579" s="19"/>
      <c r="AS579" s="20" t="str">
        <f aca="false">HYPERLINK("http://www.openstreetmap.org/?mlat=33.5444&amp;mlon=44.3929&amp;zoom=12#map=12/33.5444/44.3929","Maplink1")</f>
        <v>Maplink1</v>
      </c>
      <c r="AT579" s="20" t="str">
        <f aca="false">HYPERLINK("https://www.google.iq/maps/search/+33.5444,44.3929/@33.5444,44.3929,14z?hl=en","Maplink2")</f>
        <v>Maplink2</v>
      </c>
      <c r="AU579" s="20" t="str">
        <f aca="false">HYPERLINK("http://www.bing.com/maps/?lvl=14&amp;sty=h&amp;cp=33.5444~44.3929&amp;sp=point.33.5444_44.3929","Maplink3")</f>
        <v>Maplink3</v>
      </c>
    </row>
    <row r="580" customFormat="false" ht="15" hidden="false" customHeight="true" outlineLevel="0" collapsed="false">
      <c r="A580" s="15" t="n">
        <v>22381</v>
      </c>
      <c r="B580" s="16" t="s">
        <v>17</v>
      </c>
      <c r="C580" s="16" t="s">
        <v>1091</v>
      </c>
      <c r="D580" s="16" t="s">
        <v>1157</v>
      </c>
      <c r="E580" s="17" t="s">
        <v>1158</v>
      </c>
      <c r="F580" s="16" t="n">
        <v>33.54822575</v>
      </c>
      <c r="G580" s="16" t="n">
        <v>44.39367111</v>
      </c>
      <c r="H580" s="18" t="n">
        <v>9</v>
      </c>
      <c r="I580" s="18" t="n">
        <v>54</v>
      </c>
      <c r="J580" s="19"/>
      <c r="K580" s="19"/>
      <c r="L580" s="19"/>
      <c r="M580" s="19"/>
      <c r="N580" s="19"/>
      <c r="O580" s="19"/>
      <c r="P580" s="19"/>
      <c r="Q580" s="19"/>
      <c r="R580" s="19" t="n">
        <v>1</v>
      </c>
      <c r="S580" s="19"/>
      <c r="T580" s="19"/>
      <c r="U580" s="19"/>
      <c r="V580" s="19" t="n">
        <v>8</v>
      </c>
      <c r="W580" s="19"/>
      <c r="X580" s="19"/>
      <c r="Y580" s="19"/>
      <c r="Z580" s="19"/>
      <c r="AA580" s="19"/>
      <c r="AB580" s="19"/>
      <c r="AC580" s="19" t="n">
        <v>5</v>
      </c>
      <c r="AD580" s="19"/>
      <c r="AE580" s="19"/>
      <c r="AF580" s="19"/>
      <c r="AG580" s="19"/>
      <c r="AH580" s="19" t="n">
        <v>4</v>
      </c>
      <c r="AI580" s="19"/>
      <c r="AJ580" s="19"/>
      <c r="AK580" s="19"/>
      <c r="AL580" s="19"/>
      <c r="AM580" s="19" t="n">
        <v>8</v>
      </c>
      <c r="AN580" s="19"/>
      <c r="AO580" s="19" t="n">
        <v>1</v>
      </c>
      <c r="AP580" s="19"/>
      <c r="AQ580" s="19"/>
      <c r="AR580" s="19"/>
      <c r="AS580" s="20" t="str">
        <f aca="false">HYPERLINK("http://www.openstreetmap.org/?mlat=33.5482&amp;mlon=44.3937&amp;zoom=12#map=12/33.5482/44.3937","Maplink1")</f>
        <v>Maplink1</v>
      </c>
      <c r="AT580" s="20" t="str">
        <f aca="false">HYPERLINK("https://www.google.iq/maps/search/+33.5482,44.3937/@33.5482,44.3937,14z?hl=en","Maplink2")</f>
        <v>Maplink2</v>
      </c>
      <c r="AU580" s="20" t="str">
        <f aca="false">HYPERLINK("http://www.bing.com/maps/?lvl=14&amp;sty=h&amp;cp=33.5482~44.3937&amp;sp=point.33.5482_44.3937","Maplink3")</f>
        <v>Maplink3</v>
      </c>
    </row>
    <row r="581" customFormat="false" ht="15" hidden="false" customHeight="true" outlineLevel="0" collapsed="false">
      <c r="A581" s="15" t="n">
        <v>22253</v>
      </c>
      <c r="B581" s="16" t="s">
        <v>17</v>
      </c>
      <c r="C581" s="16" t="s">
        <v>1091</v>
      </c>
      <c r="D581" s="16" t="s">
        <v>1159</v>
      </c>
      <c r="E581" s="17" t="s">
        <v>1160</v>
      </c>
      <c r="F581" s="16" t="n">
        <v>33.5462927721</v>
      </c>
      <c r="G581" s="16" t="n">
        <v>44.3899990066</v>
      </c>
      <c r="H581" s="18" t="n">
        <v>25</v>
      </c>
      <c r="I581" s="18" t="n">
        <v>150</v>
      </c>
      <c r="J581" s="19"/>
      <c r="K581" s="19"/>
      <c r="L581" s="19"/>
      <c r="M581" s="19"/>
      <c r="N581" s="19"/>
      <c r="O581" s="19" t="n">
        <v>4</v>
      </c>
      <c r="P581" s="19"/>
      <c r="Q581" s="19"/>
      <c r="R581" s="19"/>
      <c r="S581" s="19"/>
      <c r="T581" s="19"/>
      <c r="U581" s="19"/>
      <c r="V581" s="19" t="n">
        <v>21</v>
      </c>
      <c r="W581" s="19"/>
      <c r="X581" s="19"/>
      <c r="Y581" s="19"/>
      <c r="Z581" s="19"/>
      <c r="AA581" s="19"/>
      <c r="AB581" s="19"/>
      <c r="AC581" s="19" t="n">
        <v>9</v>
      </c>
      <c r="AD581" s="19"/>
      <c r="AE581" s="19"/>
      <c r="AF581" s="19"/>
      <c r="AG581" s="19"/>
      <c r="AH581" s="19" t="n">
        <v>16</v>
      </c>
      <c r="AI581" s="19"/>
      <c r="AJ581" s="19"/>
      <c r="AK581" s="19"/>
      <c r="AL581" s="19"/>
      <c r="AM581" s="19"/>
      <c r="AN581" s="19"/>
      <c r="AO581" s="19" t="n">
        <v>25</v>
      </c>
      <c r="AP581" s="19"/>
      <c r="AQ581" s="19"/>
      <c r="AR581" s="19"/>
      <c r="AS581" s="20" t="str">
        <f aca="false">HYPERLINK("http://www.openstreetmap.org/?mlat=33.5463&amp;mlon=44.39&amp;zoom=12#map=12/33.5463/44.39","Maplink1")</f>
        <v>Maplink1</v>
      </c>
      <c r="AT581" s="20" t="str">
        <f aca="false">HYPERLINK("https://www.google.iq/maps/search/+33.5463,44.39/@33.5463,44.39,14z?hl=en","Maplink2")</f>
        <v>Maplink2</v>
      </c>
      <c r="AU581" s="20" t="str">
        <f aca="false">HYPERLINK("http://www.bing.com/maps/?lvl=14&amp;sty=h&amp;cp=33.5463~44.39&amp;sp=point.33.5463_44.39","Maplink3")</f>
        <v>Maplink3</v>
      </c>
    </row>
    <row r="582" customFormat="false" ht="15" hidden="false" customHeight="true" outlineLevel="0" collapsed="false">
      <c r="A582" s="15" t="n">
        <v>21573</v>
      </c>
      <c r="B582" s="16" t="s">
        <v>17</v>
      </c>
      <c r="C582" s="16" t="s">
        <v>1091</v>
      </c>
      <c r="D582" s="16" t="s">
        <v>1161</v>
      </c>
      <c r="E582" s="17" t="s">
        <v>1162</v>
      </c>
      <c r="F582" s="16" t="n">
        <v>33.54256847</v>
      </c>
      <c r="G582" s="16" t="n">
        <v>44.39299486</v>
      </c>
      <c r="H582" s="18" t="n">
        <v>15</v>
      </c>
      <c r="I582" s="18" t="n">
        <v>90</v>
      </c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 t="n">
        <v>15</v>
      </c>
      <c r="W582" s="19"/>
      <c r="X582" s="19"/>
      <c r="Y582" s="19"/>
      <c r="Z582" s="19"/>
      <c r="AA582" s="19"/>
      <c r="AB582" s="19"/>
      <c r="AC582" s="19" t="n">
        <v>2</v>
      </c>
      <c r="AD582" s="19"/>
      <c r="AE582" s="19"/>
      <c r="AF582" s="19"/>
      <c r="AG582" s="19"/>
      <c r="AH582" s="19" t="n">
        <v>13</v>
      </c>
      <c r="AI582" s="19"/>
      <c r="AJ582" s="19"/>
      <c r="AK582" s="19"/>
      <c r="AL582" s="19"/>
      <c r="AM582" s="19"/>
      <c r="AN582" s="19"/>
      <c r="AO582" s="19" t="n">
        <v>15</v>
      </c>
      <c r="AP582" s="19"/>
      <c r="AQ582" s="19"/>
      <c r="AR582" s="19"/>
      <c r="AS582" s="20" t="str">
        <f aca="false">HYPERLINK("http://www.openstreetmap.org/?mlat=33.5426&amp;mlon=44.393&amp;zoom=12#map=12/33.5426/44.393","Maplink1")</f>
        <v>Maplink1</v>
      </c>
      <c r="AT582" s="20" t="str">
        <f aca="false">HYPERLINK("https://www.google.iq/maps/search/+33.5426,44.393/@33.5426,44.393,14z?hl=en","Maplink2")</f>
        <v>Maplink2</v>
      </c>
      <c r="AU582" s="20" t="str">
        <f aca="false">HYPERLINK("http://www.bing.com/maps/?lvl=14&amp;sty=h&amp;cp=33.5426~44.393&amp;sp=point.33.5426_44.393","Maplink3")</f>
        <v>Maplink3</v>
      </c>
    </row>
    <row r="583" customFormat="false" ht="15" hidden="false" customHeight="true" outlineLevel="0" collapsed="false">
      <c r="A583" s="15" t="n">
        <v>22033</v>
      </c>
      <c r="B583" s="16" t="s">
        <v>17</v>
      </c>
      <c r="C583" s="16" t="s">
        <v>1091</v>
      </c>
      <c r="D583" s="16" t="s">
        <v>1163</v>
      </c>
      <c r="E583" s="17" t="s">
        <v>1164</v>
      </c>
      <c r="F583" s="16" t="n">
        <v>33.54415</v>
      </c>
      <c r="G583" s="16" t="n">
        <v>44.41183</v>
      </c>
      <c r="H583" s="18" t="n">
        <v>8</v>
      </c>
      <c r="I583" s="18" t="n">
        <v>48</v>
      </c>
      <c r="J583" s="19"/>
      <c r="K583" s="19"/>
      <c r="L583" s="19"/>
      <c r="M583" s="19"/>
      <c r="N583" s="19"/>
      <c r="O583" s="19" t="n">
        <v>1</v>
      </c>
      <c r="P583" s="19"/>
      <c r="Q583" s="19"/>
      <c r="R583" s="19"/>
      <c r="S583" s="19"/>
      <c r="T583" s="19"/>
      <c r="U583" s="19"/>
      <c r="V583" s="19" t="n">
        <v>4</v>
      </c>
      <c r="W583" s="19"/>
      <c r="X583" s="19" t="n">
        <v>3</v>
      </c>
      <c r="Y583" s="19"/>
      <c r="Z583" s="19"/>
      <c r="AA583" s="19"/>
      <c r="AB583" s="19"/>
      <c r="AC583" s="19" t="n">
        <v>2</v>
      </c>
      <c r="AD583" s="19"/>
      <c r="AE583" s="19"/>
      <c r="AF583" s="19"/>
      <c r="AG583" s="19"/>
      <c r="AH583" s="19" t="n">
        <v>6</v>
      </c>
      <c r="AI583" s="19"/>
      <c r="AJ583" s="19"/>
      <c r="AK583" s="19"/>
      <c r="AL583" s="19"/>
      <c r="AM583" s="19" t="n">
        <v>4</v>
      </c>
      <c r="AN583" s="19"/>
      <c r="AO583" s="19" t="n">
        <v>4</v>
      </c>
      <c r="AP583" s="19"/>
      <c r="AQ583" s="19"/>
      <c r="AR583" s="19"/>
      <c r="AS583" s="20" t="str">
        <f aca="false">HYPERLINK("http://www.openstreetmap.org/?mlat=33.5442&amp;mlon=44.4118&amp;zoom=12#map=12/33.5442/44.4118","Maplink1")</f>
        <v>Maplink1</v>
      </c>
      <c r="AT583" s="20" t="str">
        <f aca="false">HYPERLINK("https://www.google.iq/maps/search/+33.5442,44.4118/@33.5442,44.4118,14z?hl=en","Maplink2")</f>
        <v>Maplink2</v>
      </c>
      <c r="AU583" s="20" t="str">
        <f aca="false">HYPERLINK("http://www.bing.com/maps/?lvl=14&amp;sty=h&amp;cp=33.5442~44.4118&amp;sp=point.33.5442_44.4118","Maplink3")</f>
        <v>Maplink3</v>
      </c>
    </row>
    <row r="584" customFormat="false" ht="15" hidden="false" customHeight="true" outlineLevel="0" collapsed="false">
      <c r="A584" s="15" t="n">
        <v>21627</v>
      </c>
      <c r="B584" s="16" t="s">
        <v>17</v>
      </c>
      <c r="C584" s="16" t="s">
        <v>1091</v>
      </c>
      <c r="D584" s="16" t="s">
        <v>1165</v>
      </c>
      <c r="E584" s="17" t="s">
        <v>1166</v>
      </c>
      <c r="F584" s="16" t="n">
        <v>33.54425142</v>
      </c>
      <c r="G584" s="16" t="n">
        <v>44.41966785</v>
      </c>
      <c r="H584" s="18" t="n">
        <v>13</v>
      </c>
      <c r="I584" s="18" t="n">
        <v>78</v>
      </c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 t="n">
        <v>13</v>
      </c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 t="n">
        <v>13</v>
      </c>
      <c r="AI584" s="19"/>
      <c r="AJ584" s="19"/>
      <c r="AK584" s="19"/>
      <c r="AL584" s="19"/>
      <c r="AM584" s="19"/>
      <c r="AN584" s="19"/>
      <c r="AO584" s="19" t="n">
        <v>13</v>
      </c>
      <c r="AP584" s="19"/>
      <c r="AQ584" s="19"/>
      <c r="AR584" s="19"/>
      <c r="AS584" s="20" t="str">
        <f aca="false">HYPERLINK("http://www.openstreetmap.org/?mlat=33.5443&amp;mlon=44.4197&amp;zoom=12#map=12/33.5443/44.4197","Maplink1")</f>
        <v>Maplink1</v>
      </c>
      <c r="AT584" s="20" t="str">
        <f aca="false">HYPERLINK("https://www.google.iq/maps/search/+33.5443,44.4197/@33.5443,44.4197,14z?hl=en","Maplink2")</f>
        <v>Maplink2</v>
      </c>
      <c r="AU584" s="20" t="str">
        <f aca="false">HYPERLINK("http://www.bing.com/maps/?lvl=14&amp;sty=h&amp;cp=33.5443~44.4197&amp;sp=point.33.5443_44.4197","Maplink3")</f>
        <v>Maplink3</v>
      </c>
    </row>
    <row r="585" customFormat="false" ht="15" hidden="false" customHeight="true" outlineLevel="0" collapsed="false">
      <c r="A585" s="15" t="n">
        <v>22003</v>
      </c>
      <c r="B585" s="16" t="s">
        <v>17</v>
      </c>
      <c r="C585" s="16" t="s">
        <v>1091</v>
      </c>
      <c r="D585" s="16" t="s">
        <v>1167</v>
      </c>
      <c r="E585" s="17" t="s">
        <v>1168</v>
      </c>
      <c r="F585" s="16" t="n">
        <v>33.54351502</v>
      </c>
      <c r="G585" s="16" t="n">
        <v>44.43458916</v>
      </c>
      <c r="H585" s="18" t="n">
        <v>3</v>
      </c>
      <c r="I585" s="18" t="n">
        <v>18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 t="n">
        <v>3</v>
      </c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 t="n">
        <v>3</v>
      </c>
      <c r="AI585" s="19"/>
      <c r="AJ585" s="19"/>
      <c r="AK585" s="19"/>
      <c r="AL585" s="19"/>
      <c r="AM585" s="19"/>
      <c r="AN585" s="19"/>
      <c r="AO585" s="19" t="n">
        <v>3</v>
      </c>
      <c r="AP585" s="19"/>
      <c r="AQ585" s="19"/>
      <c r="AR585" s="19"/>
      <c r="AS585" s="20" t="str">
        <f aca="false">HYPERLINK("http://www.openstreetmap.org/?mlat=33.5435&amp;mlon=44.4346&amp;zoom=12#map=12/33.5435/44.4346","Maplink1")</f>
        <v>Maplink1</v>
      </c>
      <c r="AT585" s="20" t="str">
        <f aca="false">HYPERLINK("https://www.google.iq/maps/search/+33.5435,44.4346/@33.5435,44.4346,14z?hl=en","Maplink2")</f>
        <v>Maplink2</v>
      </c>
      <c r="AU585" s="20" t="str">
        <f aca="false">HYPERLINK("http://www.bing.com/maps/?lvl=14&amp;sty=h&amp;cp=33.5435~44.4346&amp;sp=point.33.5435_44.4346","Maplink3")</f>
        <v>Maplink3</v>
      </c>
    </row>
    <row r="586" customFormat="false" ht="15" hidden="false" customHeight="true" outlineLevel="0" collapsed="false">
      <c r="A586" s="15" t="n">
        <v>21873</v>
      </c>
      <c r="B586" s="16" t="s">
        <v>17</v>
      </c>
      <c r="C586" s="16" t="s">
        <v>1091</v>
      </c>
      <c r="D586" s="16" t="s">
        <v>1169</v>
      </c>
      <c r="E586" s="17" t="s">
        <v>1170</v>
      </c>
      <c r="F586" s="16" t="n">
        <v>33.54890121</v>
      </c>
      <c r="G586" s="16" t="n">
        <v>44.41915842</v>
      </c>
      <c r="H586" s="18" t="n">
        <v>19</v>
      </c>
      <c r="I586" s="18" t="n">
        <v>114</v>
      </c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 t="n">
        <v>19</v>
      </c>
      <c r="W586" s="19"/>
      <c r="X586" s="19"/>
      <c r="Y586" s="19"/>
      <c r="Z586" s="19"/>
      <c r="AA586" s="19"/>
      <c r="AB586" s="19"/>
      <c r="AC586" s="19" t="n">
        <v>19</v>
      </c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 t="n">
        <v>19</v>
      </c>
      <c r="AP586" s="19"/>
      <c r="AQ586" s="19"/>
      <c r="AR586" s="19"/>
      <c r="AS586" s="20" t="str">
        <f aca="false">HYPERLINK("http://www.openstreetmap.org/?mlat=33.5489&amp;mlon=44.4192&amp;zoom=12#map=12/33.5489/44.4192","Maplink1")</f>
        <v>Maplink1</v>
      </c>
      <c r="AT586" s="20" t="str">
        <f aca="false">HYPERLINK("https://www.google.iq/maps/search/+33.5489,44.4192/@33.5489,44.4192,14z?hl=en","Maplink2")</f>
        <v>Maplink2</v>
      </c>
      <c r="AU586" s="20" t="str">
        <f aca="false">HYPERLINK("http://www.bing.com/maps/?lvl=14&amp;sty=h&amp;cp=33.5489~44.4192&amp;sp=point.33.5489_44.4192","Maplink3")</f>
        <v>Maplink3</v>
      </c>
    </row>
    <row r="587" customFormat="false" ht="15" hidden="false" customHeight="true" outlineLevel="0" collapsed="false">
      <c r="A587" s="15" t="n">
        <v>21628</v>
      </c>
      <c r="B587" s="16" t="s">
        <v>17</v>
      </c>
      <c r="C587" s="16" t="s">
        <v>1091</v>
      </c>
      <c r="D587" s="16" t="s">
        <v>1171</v>
      </c>
      <c r="E587" s="17" t="s">
        <v>1172</v>
      </c>
      <c r="F587" s="16" t="n">
        <v>33.5555959</v>
      </c>
      <c r="G587" s="16" t="n">
        <v>44.43304134</v>
      </c>
      <c r="H587" s="18" t="n">
        <v>8</v>
      </c>
      <c r="I587" s="18" t="n">
        <v>48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 t="n">
        <v>8</v>
      </c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 t="n">
        <v>8</v>
      </c>
      <c r="AI587" s="19"/>
      <c r="AJ587" s="19"/>
      <c r="AK587" s="19"/>
      <c r="AL587" s="19"/>
      <c r="AM587" s="19"/>
      <c r="AN587" s="19"/>
      <c r="AO587" s="19" t="n">
        <v>8</v>
      </c>
      <c r="AP587" s="19"/>
      <c r="AQ587" s="19"/>
      <c r="AR587" s="19"/>
      <c r="AS587" s="20" t="str">
        <f aca="false">HYPERLINK("http://www.openstreetmap.org/?mlat=33.5556&amp;mlon=44.433&amp;zoom=12#map=12/33.5556/44.433","Maplink1")</f>
        <v>Maplink1</v>
      </c>
      <c r="AT587" s="20" t="str">
        <f aca="false">HYPERLINK("https://www.google.iq/maps/search/+33.5556,44.433/@33.5556,44.433,14z?hl=en","Maplink2")</f>
        <v>Maplink2</v>
      </c>
      <c r="AU587" s="20" t="str">
        <f aca="false">HYPERLINK("http://www.bing.com/maps/?lvl=14&amp;sty=h&amp;cp=33.5556~44.433&amp;sp=point.33.5556_44.433","Maplink3")</f>
        <v>Maplink3</v>
      </c>
    </row>
    <row r="588" customFormat="false" ht="15" hidden="false" customHeight="true" outlineLevel="0" collapsed="false">
      <c r="A588" s="15" t="n">
        <v>24621</v>
      </c>
      <c r="B588" s="16" t="s">
        <v>17</v>
      </c>
      <c r="C588" s="16" t="s">
        <v>1091</v>
      </c>
      <c r="D588" s="16" t="s">
        <v>1173</v>
      </c>
      <c r="E588" s="17" t="s">
        <v>1174</v>
      </c>
      <c r="F588" s="16" t="n">
        <v>33.5338861</v>
      </c>
      <c r="G588" s="16" t="n">
        <v>44.3930162</v>
      </c>
      <c r="H588" s="18" t="n">
        <v>15</v>
      </c>
      <c r="I588" s="18" t="n">
        <v>90</v>
      </c>
      <c r="J588" s="19"/>
      <c r="K588" s="19"/>
      <c r="L588" s="19"/>
      <c r="M588" s="19"/>
      <c r="N588" s="19"/>
      <c r="O588" s="19" t="n">
        <v>2</v>
      </c>
      <c r="P588" s="19"/>
      <c r="Q588" s="19"/>
      <c r="R588" s="19"/>
      <c r="S588" s="19"/>
      <c r="T588" s="19"/>
      <c r="U588" s="19"/>
      <c r="V588" s="19" t="n">
        <v>13</v>
      </c>
      <c r="W588" s="19"/>
      <c r="X588" s="19"/>
      <c r="Y588" s="19"/>
      <c r="Z588" s="19"/>
      <c r="AA588" s="19"/>
      <c r="AB588" s="19"/>
      <c r="AC588" s="19" t="n">
        <v>9</v>
      </c>
      <c r="AD588" s="19"/>
      <c r="AE588" s="19"/>
      <c r="AF588" s="19"/>
      <c r="AG588" s="19"/>
      <c r="AH588" s="19" t="n">
        <v>6</v>
      </c>
      <c r="AI588" s="19"/>
      <c r="AJ588" s="19"/>
      <c r="AK588" s="19"/>
      <c r="AL588" s="19"/>
      <c r="AM588" s="19"/>
      <c r="AN588" s="19"/>
      <c r="AO588" s="19" t="n">
        <v>15</v>
      </c>
      <c r="AP588" s="19"/>
      <c r="AQ588" s="19"/>
      <c r="AR588" s="19"/>
      <c r="AS588" s="20" t="str">
        <f aca="false">HYPERLINK("http://www.openstreetmap.org/?mlat=33.5339&amp;mlon=44.393&amp;zoom=12#map=12/33.5339/44.393","Maplink1")</f>
        <v>Maplink1</v>
      </c>
      <c r="AT588" s="20" t="str">
        <f aca="false">HYPERLINK("https://www.google.iq/maps/search/+33.5339,44.393/@33.5339,44.393,14z?hl=en","Maplink2")</f>
        <v>Maplink2</v>
      </c>
      <c r="AU588" s="20" t="str">
        <f aca="false">HYPERLINK("http://www.bing.com/maps/?lvl=14&amp;sty=h&amp;cp=33.5339~44.393&amp;sp=point.33.5339_44.393","Maplink3")</f>
        <v>Maplink3</v>
      </c>
    </row>
    <row r="589" customFormat="false" ht="15" hidden="false" customHeight="true" outlineLevel="0" collapsed="false">
      <c r="A589" s="15" t="n">
        <v>25208</v>
      </c>
      <c r="B589" s="16" t="s">
        <v>17</v>
      </c>
      <c r="C589" s="16" t="s">
        <v>1091</v>
      </c>
      <c r="D589" s="16" t="s">
        <v>1175</v>
      </c>
      <c r="E589" s="17" t="s">
        <v>1176</v>
      </c>
      <c r="F589" s="16" t="n">
        <v>33.53670626</v>
      </c>
      <c r="G589" s="16" t="n">
        <v>44.35480558</v>
      </c>
      <c r="H589" s="18" t="n">
        <v>18</v>
      </c>
      <c r="I589" s="18" t="n">
        <v>108</v>
      </c>
      <c r="J589" s="19" t="n">
        <v>5</v>
      </c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 t="n">
        <v>13</v>
      </c>
      <c r="W589" s="19"/>
      <c r="X589" s="19"/>
      <c r="Y589" s="19"/>
      <c r="Z589" s="19"/>
      <c r="AA589" s="19"/>
      <c r="AB589" s="19"/>
      <c r="AC589" s="19" t="n">
        <v>8</v>
      </c>
      <c r="AD589" s="19"/>
      <c r="AE589" s="19"/>
      <c r="AF589" s="19"/>
      <c r="AG589" s="19"/>
      <c r="AH589" s="19" t="n">
        <v>10</v>
      </c>
      <c r="AI589" s="19"/>
      <c r="AJ589" s="19"/>
      <c r="AK589" s="19"/>
      <c r="AL589" s="19"/>
      <c r="AM589" s="19"/>
      <c r="AN589" s="19"/>
      <c r="AO589" s="19" t="n">
        <v>9</v>
      </c>
      <c r="AP589" s="19" t="n">
        <v>7</v>
      </c>
      <c r="AQ589" s="19" t="n">
        <v>2</v>
      </c>
      <c r="AR589" s="19"/>
      <c r="AS589" s="20" t="str">
        <f aca="false">HYPERLINK("http://www.openstreetmap.org/?mlat=33.5367&amp;mlon=44.3548&amp;zoom=12#map=12/33.5367/44.3548","Maplink1")</f>
        <v>Maplink1</v>
      </c>
      <c r="AT589" s="20" t="str">
        <f aca="false">HYPERLINK("https://www.google.iq/maps/search/+33.5367,44.3548/@33.5367,44.3548,14z?hl=en","Maplink2")</f>
        <v>Maplink2</v>
      </c>
      <c r="AU589" s="20" t="str">
        <f aca="false">HYPERLINK("http://www.bing.com/maps/?lvl=14&amp;sty=h&amp;cp=33.5367~44.3548&amp;sp=point.33.5367_44.3548","Maplink3")</f>
        <v>Maplink3</v>
      </c>
    </row>
    <row r="590" customFormat="false" ht="15" hidden="false" customHeight="true" outlineLevel="0" collapsed="false">
      <c r="A590" s="15" t="n">
        <v>24004</v>
      </c>
      <c r="B590" s="16" t="s">
        <v>17</v>
      </c>
      <c r="C590" s="16" t="s">
        <v>1091</v>
      </c>
      <c r="D590" s="16" t="s">
        <v>1177</v>
      </c>
      <c r="E590" s="17" t="s">
        <v>1178</v>
      </c>
      <c r="F590" s="16" t="n">
        <v>33.3632653</v>
      </c>
      <c r="G590" s="16" t="n">
        <v>44.37776173</v>
      </c>
      <c r="H590" s="18" t="n">
        <v>29</v>
      </c>
      <c r="I590" s="18" t="n">
        <v>174</v>
      </c>
      <c r="J590" s="19" t="n">
        <v>4</v>
      </c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 t="n">
        <v>18</v>
      </c>
      <c r="W590" s="19"/>
      <c r="X590" s="19" t="n">
        <v>7</v>
      </c>
      <c r="Y590" s="19"/>
      <c r="Z590" s="19"/>
      <c r="AA590" s="19"/>
      <c r="AB590" s="19"/>
      <c r="AC590" s="19" t="n">
        <v>10</v>
      </c>
      <c r="AD590" s="19"/>
      <c r="AE590" s="19"/>
      <c r="AF590" s="19"/>
      <c r="AG590" s="19"/>
      <c r="AH590" s="19" t="n">
        <v>19</v>
      </c>
      <c r="AI590" s="19"/>
      <c r="AJ590" s="19"/>
      <c r="AK590" s="19"/>
      <c r="AL590" s="19" t="n">
        <v>6</v>
      </c>
      <c r="AM590" s="19" t="n">
        <v>15</v>
      </c>
      <c r="AN590" s="19"/>
      <c r="AO590" s="19" t="n">
        <v>5</v>
      </c>
      <c r="AP590" s="19"/>
      <c r="AQ590" s="19"/>
      <c r="AR590" s="19" t="n">
        <v>3</v>
      </c>
      <c r="AS590" s="20" t="str">
        <f aca="false">HYPERLINK("http://www.openstreetmap.org/?mlat=33.3633&amp;mlon=44.3778&amp;zoom=12#map=12/33.3633/44.3778","Maplink1")</f>
        <v>Maplink1</v>
      </c>
      <c r="AT590" s="20" t="str">
        <f aca="false">HYPERLINK("https://www.google.iq/maps/search/+33.3633,44.3778/@33.3633,44.3778,14z?hl=en","Maplink2")</f>
        <v>Maplink2</v>
      </c>
      <c r="AU590" s="20" t="str">
        <f aca="false">HYPERLINK("http://www.bing.com/maps/?lvl=14&amp;sty=h&amp;cp=33.3633~44.3778&amp;sp=point.33.3633_44.3778","Maplink3")</f>
        <v>Maplink3</v>
      </c>
    </row>
    <row r="591" customFormat="false" ht="15" hidden="false" customHeight="true" outlineLevel="0" collapsed="false">
      <c r="A591" s="15" t="n">
        <v>24005</v>
      </c>
      <c r="B591" s="16" t="s">
        <v>17</v>
      </c>
      <c r="C591" s="16" t="s">
        <v>1091</v>
      </c>
      <c r="D591" s="16" t="s">
        <v>1179</v>
      </c>
      <c r="E591" s="17" t="s">
        <v>1180</v>
      </c>
      <c r="F591" s="16" t="n">
        <v>33.36703263</v>
      </c>
      <c r="G591" s="16" t="n">
        <v>44.38078778</v>
      </c>
      <c r="H591" s="18" t="n">
        <v>28</v>
      </c>
      <c r="I591" s="18" t="n">
        <v>168</v>
      </c>
      <c r="J591" s="19" t="n">
        <v>28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 t="n">
        <v>14</v>
      </c>
      <c r="AD591" s="19"/>
      <c r="AE591" s="19"/>
      <c r="AF591" s="19"/>
      <c r="AG591" s="19"/>
      <c r="AH591" s="19" t="n">
        <v>14</v>
      </c>
      <c r="AI591" s="19"/>
      <c r="AJ591" s="19"/>
      <c r="AK591" s="19"/>
      <c r="AL591" s="19" t="n">
        <v>27</v>
      </c>
      <c r="AM591" s="19"/>
      <c r="AN591" s="19"/>
      <c r="AO591" s="19" t="n">
        <v>1</v>
      </c>
      <c r="AP591" s="19"/>
      <c r="AQ591" s="19"/>
      <c r="AR591" s="19"/>
      <c r="AS591" s="20" t="str">
        <f aca="false">HYPERLINK("http://www.openstreetmap.org/?mlat=33.367&amp;mlon=44.3808&amp;zoom=12#map=12/33.367/44.3808","Maplink1")</f>
        <v>Maplink1</v>
      </c>
      <c r="AT591" s="20" t="str">
        <f aca="false">HYPERLINK("https://www.google.iq/maps/search/+33.367,44.3808/@33.367,44.3808,14z?hl=en","Maplink2")</f>
        <v>Maplink2</v>
      </c>
      <c r="AU591" s="20" t="str">
        <f aca="false">HYPERLINK("http://www.bing.com/maps/?lvl=14&amp;sty=h&amp;cp=33.367~44.3808&amp;sp=point.33.367_44.3808","Maplink3")</f>
        <v>Maplink3</v>
      </c>
    </row>
    <row r="592" customFormat="false" ht="15" hidden="false" customHeight="true" outlineLevel="0" collapsed="false">
      <c r="A592" s="15" t="n">
        <v>7549</v>
      </c>
      <c r="B592" s="16" t="s">
        <v>17</v>
      </c>
      <c r="C592" s="16" t="s">
        <v>1091</v>
      </c>
      <c r="D592" s="16" t="s">
        <v>1181</v>
      </c>
      <c r="E592" s="17" t="s">
        <v>1182</v>
      </c>
      <c r="F592" s="16" t="n">
        <v>33.54277774</v>
      </c>
      <c r="G592" s="16" t="n">
        <v>44.35253607</v>
      </c>
      <c r="H592" s="18" t="n">
        <v>17</v>
      </c>
      <c r="I592" s="18" t="n">
        <v>102</v>
      </c>
      <c r="J592" s="19" t="n">
        <v>4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 t="n">
        <v>13</v>
      </c>
      <c r="Y592" s="19"/>
      <c r="Z592" s="19"/>
      <c r="AA592" s="19"/>
      <c r="AB592" s="19"/>
      <c r="AC592" s="19" t="n">
        <v>7</v>
      </c>
      <c r="AD592" s="19"/>
      <c r="AE592" s="19"/>
      <c r="AF592" s="19"/>
      <c r="AG592" s="19"/>
      <c r="AH592" s="19" t="n">
        <v>10</v>
      </c>
      <c r="AI592" s="19"/>
      <c r="AJ592" s="19"/>
      <c r="AK592" s="19"/>
      <c r="AL592" s="19"/>
      <c r="AM592" s="19"/>
      <c r="AN592" s="19"/>
      <c r="AO592" s="19" t="n">
        <v>13</v>
      </c>
      <c r="AP592" s="19" t="n">
        <v>4</v>
      </c>
      <c r="AQ592" s="19"/>
      <c r="AR592" s="19"/>
      <c r="AS592" s="20" t="str">
        <f aca="false">HYPERLINK("http://www.openstreetmap.org/?mlat=33.5428&amp;mlon=44.3525&amp;zoom=12#map=12/33.5428/44.3525","Maplink1")</f>
        <v>Maplink1</v>
      </c>
      <c r="AT592" s="20" t="str">
        <f aca="false">HYPERLINK("https://www.google.iq/maps/search/+33.5428,44.3525/@33.5428,44.3525,14z?hl=en","Maplink2")</f>
        <v>Maplink2</v>
      </c>
      <c r="AU592" s="20" t="str">
        <f aca="false">HYPERLINK("http://www.bing.com/maps/?lvl=14&amp;sty=h&amp;cp=33.5428~44.3525&amp;sp=point.33.5428_44.3525","Maplink3")</f>
        <v>Maplink3</v>
      </c>
    </row>
    <row r="593" customFormat="false" ht="15" hidden="false" customHeight="true" outlineLevel="0" collapsed="false">
      <c r="A593" s="15" t="n">
        <v>25220</v>
      </c>
      <c r="B593" s="16" t="s">
        <v>17</v>
      </c>
      <c r="C593" s="16" t="s">
        <v>1091</v>
      </c>
      <c r="D593" s="16" t="s">
        <v>1183</v>
      </c>
      <c r="E593" s="17" t="s">
        <v>1184</v>
      </c>
      <c r="F593" s="16" t="n">
        <v>33.54971</v>
      </c>
      <c r="G593" s="16" t="n">
        <v>44.35779</v>
      </c>
      <c r="H593" s="18" t="n">
        <v>12</v>
      </c>
      <c r="I593" s="18" t="n">
        <v>72</v>
      </c>
      <c r="J593" s="19" t="n">
        <v>2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 t="n">
        <v>10</v>
      </c>
      <c r="Y593" s="19"/>
      <c r="Z593" s="19"/>
      <c r="AA593" s="19"/>
      <c r="AB593" s="19"/>
      <c r="AC593" s="19" t="n">
        <v>12</v>
      </c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 t="n">
        <v>10</v>
      </c>
      <c r="AP593" s="19" t="n">
        <v>2</v>
      </c>
      <c r="AQ593" s="19"/>
      <c r="AR593" s="19"/>
      <c r="AS593" s="20" t="str">
        <f aca="false">HYPERLINK("http://www.openstreetmap.org/?mlat=33.5497&amp;mlon=44.3578&amp;zoom=12#map=12/33.5497/44.3578","Maplink1")</f>
        <v>Maplink1</v>
      </c>
      <c r="AT593" s="20" t="str">
        <f aca="false">HYPERLINK("https://www.google.iq/maps/search/+33.5497,44.3578/@33.5497,44.3578,14z?hl=en","Maplink2")</f>
        <v>Maplink2</v>
      </c>
      <c r="AU593" s="20" t="str">
        <f aca="false">HYPERLINK("http://www.bing.com/maps/?lvl=14&amp;sty=h&amp;cp=33.5497~44.3578&amp;sp=point.33.5497_44.3578","Maplink3")</f>
        <v>Maplink3</v>
      </c>
    </row>
    <row r="594" customFormat="false" ht="15" hidden="false" customHeight="true" outlineLevel="0" collapsed="false">
      <c r="A594" s="15" t="n">
        <v>23999</v>
      </c>
      <c r="B594" s="16" t="s">
        <v>17</v>
      </c>
      <c r="C594" s="16" t="s">
        <v>1091</v>
      </c>
      <c r="D594" s="16" t="s">
        <v>1185</v>
      </c>
      <c r="E594" s="17" t="s">
        <v>1186</v>
      </c>
      <c r="F594" s="16" t="n">
        <v>33.37825307</v>
      </c>
      <c r="G594" s="16" t="n">
        <v>44.38740247</v>
      </c>
      <c r="H594" s="18" t="n">
        <v>48</v>
      </c>
      <c r="I594" s="18" t="n">
        <v>288</v>
      </c>
      <c r="J594" s="19" t="n">
        <v>18</v>
      </c>
      <c r="K594" s="19"/>
      <c r="L594" s="19"/>
      <c r="M594" s="19"/>
      <c r="N594" s="19"/>
      <c r="O594" s="19" t="n">
        <v>1</v>
      </c>
      <c r="P594" s="19"/>
      <c r="Q594" s="19"/>
      <c r="R594" s="19"/>
      <c r="S594" s="19"/>
      <c r="T594" s="19"/>
      <c r="U594" s="19"/>
      <c r="V594" s="19" t="n">
        <v>20</v>
      </c>
      <c r="W594" s="19"/>
      <c r="X594" s="19" t="n">
        <v>9</v>
      </c>
      <c r="Y594" s="19"/>
      <c r="Z594" s="19"/>
      <c r="AA594" s="19"/>
      <c r="AB594" s="19"/>
      <c r="AC594" s="19" t="n">
        <v>22</v>
      </c>
      <c r="AD594" s="19"/>
      <c r="AE594" s="19"/>
      <c r="AF594" s="19"/>
      <c r="AG594" s="19"/>
      <c r="AH594" s="19" t="n">
        <v>26</v>
      </c>
      <c r="AI594" s="19"/>
      <c r="AJ594" s="19"/>
      <c r="AK594" s="19"/>
      <c r="AL594" s="19" t="n">
        <v>10</v>
      </c>
      <c r="AM594" s="19" t="n">
        <v>20</v>
      </c>
      <c r="AN594" s="19" t="n">
        <v>2</v>
      </c>
      <c r="AO594" s="19" t="n">
        <v>10</v>
      </c>
      <c r="AP594" s="19" t="n">
        <v>4</v>
      </c>
      <c r="AQ594" s="19"/>
      <c r="AR594" s="19" t="n">
        <v>2</v>
      </c>
      <c r="AS594" s="20" t="str">
        <f aca="false">HYPERLINK("http://www.openstreetmap.org/?mlat=33.3783&amp;mlon=44.3874&amp;zoom=12#map=12/33.3783/44.3874","Maplink1")</f>
        <v>Maplink1</v>
      </c>
      <c r="AT594" s="20" t="str">
        <f aca="false">HYPERLINK("https://www.google.iq/maps/search/+33.3783,44.3874/@33.3783,44.3874,14z?hl=en","Maplink2")</f>
        <v>Maplink2</v>
      </c>
      <c r="AU594" s="20" t="str">
        <f aca="false">HYPERLINK("http://www.bing.com/maps/?lvl=14&amp;sty=h&amp;cp=33.3783~44.3874&amp;sp=point.33.3783_44.3874","Maplink3")</f>
        <v>Maplink3</v>
      </c>
    </row>
    <row r="595" customFormat="false" ht="15" hidden="false" customHeight="true" outlineLevel="0" collapsed="false">
      <c r="A595" s="15" t="n">
        <v>24000</v>
      </c>
      <c r="B595" s="16" t="s">
        <v>17</v>
      </c>
      <c r="C595" s="16" t="s">
        <v>1091</v>
      </c>
      <c r="D595" s="16" t="s">
        <v>1187</v>
      </c>
      <c r="E595" s="17" t="s">
        <v>1188</v>
      </c>
      <c r="F595" s="16" t="n">
        <v>33.37925545</v>
      </c>
      <c r="G595" s="16" t="n">
        <v>44.39899456</v>
      </c>
      <c r="H595" s="18" t="n">
        <v>26</v>
      </c>
      <c r="I595" s="18" t="n">
        <v>156</v>
      </c>
      <c r="J595" s="19" t="n">
        <v>11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 t="n">
        <v>8</v>
      </c>
      <c r="W595" s="19"/>
      <c r="X595" s="19" t="n">
        <v>7</v>
      </c>
      <c r="Y595" s="19"/>
      <c r="Z595" s="19"/>
      <c r="AA595" s="19"/>
      <c r="AB595" s="19"/>
      <c r="AC595" s="19" t="n">
        <v>10</v>
      </c>
      <c r="AD595" s="19"/>
      <c r="AE595" s="19"/>
      <c r="AF595" s="19"/>
      <c r="AG595" s="19"/>
      <c r="AH595" s="19" t="n">
        <v>16</v>
      </c>
      <c r="AI595" s="19"/>
      <c r="AJ595" s="19"/>
      <c r="AK595" s="19"/>
      <c r="AL595" s="19"/>
      <c r="AM595" s="19"/>
      <c r="AN595" s="19"/>
      <c r="AO595" s="19" t="n">
        <v>7</v>
      </c>
      <c r="AP595" s="19" t="n">
        <v>16</v>
      </c>
      <c r="AQ595" s="19"/>
      <c r="AR595" s="19" t="n">
        <v>3</v>
      </c>
      <c r="AS595" s="20" t="str">
        <f aca="false">HYPERLINK("http://www.openstreetmap.org/?mlat=33.3793&amp;mlon=44.399&amp;zoom=12#map=12/33.3793/44.399","Maplink1")</f>
        <v>Maplink1</v>
      </c>
      <c r="AT595" s="20" t="str">
        <f aca="false">HYPERLINK("https://www.google.iq/maps/search/+33.3793,44.399/@33.3793,44.399,14z?hl=en","Maplink2")</f>
        <v>Maplink2</v>
      </c>
      <c r="AU595" s="20" t="str">
        <f aca="false">HYPERLINK("http://www.bing.com/maps/?lvl=14&amp;sty=h&amp;cp=33.3793~44.399&amp;sp=point.33.3793_44.399","Maplink3")</f>
        <v>Maplink3</v>
      </c>
    </row>
    <row r="596" customFormat="false" ht="15" hidden="false" customHeight="true" outlineLevel="0" collapsed="false">
      <c r="A596" s="15" t="n">
        <v>25454</v>
      </c>
      <c r="B596" s="16" t="s">
        <v>17</v>
      </c>
      <c r="C596" s="16" t="s">
        <v>1091</v>
      </c>
      <c r="D596" s="16" t="s">
        <v>1189</v>
      </c>
      <c r="E596" s="17" t="s">
        <v>1190</v>
      </c>
      <c r="F596" s="16" t="n">
        <v>33.38256154</v>
      </c>
      <c r="G596" s="16" t="n">
        <v>44.38826565</v>
      </c>
      <c r="H596" s="18" t="n">
        <v>25</v>
      </c>
      <c r="I596" s="18" t="n">
        <v>150</v>
      </c>
      <c r="J596" s="19" t="n">
        <v>10</v>
      </c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 t="n">
        <v>11</v>
      </c>
      <c r="W596" s="19"/>
      <c r="X596" s="19" t="n">
        <v>4</v>
      </c>
      <c r="Y596" s="19"/>
      <c r="Z596" s="19"/>
      <c r="AA596" s="19"/>
      <c r="AB596" s="19"/>
      <c r="AC596" s="19" t="n">
        <v>5</v>
      </c>
      <c r="AD596" s="19"/>
      <c r="AE596" s="19"/>
      <c r="AF596" s="19"/>
      <c r="AG596" s="19"/>
      <c r="AH596" s="19" t="n">
        <v>20</v>
      </c>
      <c r="AI596" s="19"/>
      <c r="AJ596" s="19"/>
      <c r="AK596" s="19"/>
      <c r="AL596" s="19" t="n">
        <v>5</v>
      </c>
      <c r="AM596" s="19"/>
      <c r="AN596" s="19" t="n">
        <v>11</v>
      </c>
      <c r="AO596" s="19" t="n">
        <v>4</v>
      </c>
      <c r="AP596" s="19"/>
      <c r="AQ596" s="19"/>
      <c r="AR596" s="19" t="n">
        <v>5</v>
      </c>
      <c r="AS596" s="20" t="str">
        <f aca="false">HYPERLINK("http://www.openstreetmap.org/?mlat=33.3826&amp;mlon=44.3883&amp;zoom=12#map=12/33.3826/44.3883","Maplink1")</f>
        <v>Maplink1</v>
      </c>
      <c r="AT596" s="20" t="str">
        <f aca="false">HYPERLINK("https://www.google.iq/maps/search/+33.3826,44.3883/@33.3826,44.3883,14z?hl=en","Maplink2")</f>
        <v>Maplink2</v>
      </c>
      <c r="AU596" s="20" t="str">
        <f aca="false">HYPERLINK("http://www.bing.com/maps/?lvl=14&amp;sty=h&amp;cp=33.3826~44.3883&amp;sp=point.33.3826_44.3883","Maplink3")</f>
        <v>Maplink3</v>
      </c>
    </row>
    <row r="597" customFormat="false" ht="15" hidden="false" customHeight="true" outlineLevel="0" collapsed="false">
      <c r="A597" s="15" t="n">
        <v>25455</v>
      </c>
      <c r="B597" s="16" t="s">
        <v>17</v>
      </c>
      <c r="C597" s="16" t="s">
        <v>1091</v>
      </c>
      <c r="D597" s="16" t="s">
        <v>1191</v>
      </c>
      <c r="E597" s="17" t="s">
        <v>1192</v>
      </c>
      <c r="F597" s="16" t="n">
        <v>33.39057581</v>
      </c>
      <c r="G597" s="16" t="n">
        <v>44.38728358</v>
      </c>
      <c r="H597" s="18" t="n">
        <v>17</v>
      </c>
      <c r="I597" s="18" t="n">
        <v>102</v>
      </c>
      <c r="J597" s="19" t="n">
        <v>17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 t="n">
        <v>17</v>
      </c>
      <c r="AI597" s="19"/>
      <c r="AJ597" s="19"/>
      <c r="AK597" s="19"/>
      <c r="AL597" s="19" t="n">
        <v>3</v>
      </c>
      <c r="AM597" s="19"/>
      <c r="AN597" s="19"/>
      <c r="AO597" s="19"/>
      <c r="AP597" s="19" t="n">
        <v>14</v>
      </c>
      <c r="AQ597" s="19"/>
      <c r="AR597" s="19"/>
      <c r="AS597" s="20" t="str">
        <f aca="false">HYPERLINK("http://www.openstreetmap.org/?mlat=33.3906&amp;mlon=44.3873&amp;zoom=12#map=12/33.3906/44.3873","Maplink1")</f>
        <v>Maplink1</v>
      </c>
      <c r="AT597" s="20" t="str">
        <f aca="false">HYPERLINK("https://www.google.iq/maps/search/+33.3906,44.3873/@33.3906,44.3873,14z?hl=en","Maplink2")</f>
        <v>Maplink2</v>
      </c>
      <c r="AU597" s="20" t="str">
        <f aca="false">HYPERLINK("http://www.bing.com/maps/?lvl=14&amp;sty=h&amp;cp=33.3906~44.3873&amp;sp=point.33.3906_44.3873","Maplink3")</f>
        <v>Maplink3</v>
      </c>
    </row>
    <row r="598" customFormat="false" ht="15" hidden="false" customHeight="true" outlineLevel="0" collapsed="false">
      <c r="A598" s="15" t="n">
        <v>25456</v>
      </c>
      <c r="B598" s="16" t="s">
        <v>17</v>
      </c>
      <c r="C598" s="16" t="s">
        <v>1091</v>
      </c>
      <c r="D598" s="16" t="s">
        <v>1193</v>
      </c>
      <c r="E598" s="17" t="s">
        <v>1194</v>
      </c>
      <c r="F598" s="16" t="n">
        <v>33.3749856309</v>
      </c>
      <c r="G598" s="16" t="n">
        <v>44.3851696893</v>
      </c>
      <c r="H598" s="18" t="n">
        <v>28</v>
      </c>
      <c r="I598" s="18" t="n">
        <v>168</v>
      </c>
      <c r="J598" s="19" t="n">
        <v>14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 t="n">
        <v>11</v>
      </c>
      <c r="W598" s="19"/>
      <c r="X598" s="19" t="n">
        <v>3</v>
      </c>
      <c r="Y598" s="19"/>
      <c r="Z598" s="19"/>
      <c r="AA598" s="19"/>
      <c r="AB598" s="19"/>
      <c r="AC598" s="19" t="n">
        <v>14</v>
      </c>
      <c r="AD598" s="19"/>
      <c r="AE598" s="19"/>
      <c r="AF598" s="19"/>
      <c r="AG598" s="19" t="n">
        <v>5</v>
      </c>
      <c r="AH598" s="19" t="n">
        <v>9</v>
      </c>
      <c r="AI598" s="19"/>
      <c r="AJ598" s="19"/>
      <c r="AK598" s="19"/>
      <c r="AL598" s="19" t="n">
        <v>3</v>
      </c>
      <c r="AM598" s="19"/>
      <c r="AN598" s="19" t="n">
        <v>11</v>
      </c>
      <c r="AO598" s="19" t="n">
        <v>9</v>
      </c>
      <c r="AP598" s="19" t="n">
        <v>5</v>
      </c>
      <c r="AQ598" s="19"/>
      <c r="AR598" s="19"/>
      <c r="AS598" s="20" t="str">
        <f aca="false">HYPERLINK("http://www.openstreetmap.org/?mlat=33.375&amp;mlon=44.3852&amp;zoom=12#map=12/33.375/44.3852","Maplink1")</f>
        <v>Maplink1</v>
      </c>
      <c r="AT598" s="20" t="str">
        <f aca="false">HYPERLINK("https://www.google.iq/maps/search/+33.375,44.3852/@33.375,44.3852,14z?hl=en","Maplink2")</f>
        <v>Maplink2</v>
      </c>
      <c r="AU598" s="20" t="str">
        <f aca="false">HYPERLINK("http://www.bing.com/maps/?lvl=14&amp;sty=h&amp;cp=33.375~44.3852&amp;sp=point.33.375_44.3852","Maplink3")</f>
        <v>Maplink3</v>
      </c>
    </row>
    <row r="599" customFormat="false" ht="15" hidden="false" customHeight="true" outlineLevel="0" collapsed="false">
      <c r="A599" s="15" t="n">
        <v>23729</v>
      </c>
      <c r="B599" s="16" t="s">
        <v>17</v>
      </c>
      <c r="C599" s="16" t="s">
        <v>1091</v>
      </c>
      <c r="D599" s="16" t="s">
        <v>1195</v>
      </c>
      <c r="E599" s="17" t="s">
        <v>1196</v>
      </c>
      <c r="F599" s="16" t="n">
        <v>33.38994919</v>
      </c>
      <c r="G599" s="16" t="n">
        <v>44.37580854</v>
      </c>
      <c r="H599" s="18" t="n">
        <v>87</v>
      </c>
      <c r="I599" s="18" t="n">
        <v>522</v>
      </c>
      <c r="J599" s="19" t="n">
        <v>20</v>
      </c>
      <c r="K599" s="19"/>
      <c r="L599" s="19"/>
      <c r="M599" s="19"/>
      <c r="N599" s="19"/>
      <c r="O599" s="19" t="n">
        <v>8</v>
      </c>
      <c r="P599" s="19"/>
      <c r="Q599" s="19"/>
      <c r="R599" s="19"/>
      <c r="S599" s="19"/>
      <c r="T599" s="19"/>
      <c r="U599" s="19"/>
      <c r="V599" s="19" t="n">
        <v>29</v>
      </c>
      <c r="W599" s="19"/>
      <c r="X599" s="19" t="n">
        <v>30</v>
      </c>
      <c r="Y599" s="19"/>
      <c r="Z599" s="19"/>
      <c r="AA599" s="19"/>
      <c r="AB599" s="19"/>
      <c r="AC599" s="19" t="n">
        <v>31</v>
      </c>
      <c r="AD599" s="19"/>
      <c r="AE599" s="19"/>
      <c r="AF599" s="19"/>
      <c r="AG599" s="19"/>
      <c r="AH599" s="19" t="n">
        <v>56</v>
      </c>
      <c r="AI599" s="19"/>
      <c r="AJ599" s="19"/>
      <c r="AK599" s="19"/>
      <c r="AL599" s="19" t="n">
        <v>39</v>
      </c>
      <c r="AM599" s="19" t="n">
        <v>32</v>
      </c>
      <c r="AN599" s="19" t="n">
        <v>2</v>
      </c>
      <c r="AO599" s="19" t="n">
        <v>6</v>
      </c>
      <c r="AP599" s="19" t="n">
        <v>4</v>
      </c>
      <c r="AQ599" s="19"/>
      <c r="AR599" s="19" t="n">
        <v>4</v>
      </c>
      <c r="AS599" s="20" t="str">
        <f aca="false">HYPERLINK("http://www.openstreetmap.org/?mlat=33.3899&amp;mlon=44.3758&amp;zoom=12#map=12/33.3899/44.3758","Maplink1")</f>
        <v>Maplink1</v>
      </c>
      <c r="AT599" s="20" t="str">
        <f aca="false">HYPERLINK("https://www.google.iq/maps/search/+33.3899,44.3758/@33.3899,44.3758,14z?hl=en","Maplink2")</f>
        <v>Maplink2</v>
      </c>
      <c r="AU599" s="20" t="str">
        <f aca="false">HYPERLINK("http://www.bing.com/maps/?lvl=14&amp;sty=h&amp;cp=33.3899~44.3758&amp;sp=point.33.3899_44.3758","Maplink3")</f>
        <v>Maplink3</v>
      </c>
    </row>
    <row r="600" customFormat="false" ht="15" hidden="false" customHeight="true" outlineLevel="0" collapsed="false">
      <c r="A600" s="15" t="n">
        <v>7548</v>
      </c>
      <c r="B600" s="16" t="s">
        <v>17</v>
      </c>
      <c r="C600" s="16" t="s">
        <v>1091</v>
      </c>
      <c r="D600" s="16" t="s">
        <v>1197</v>
      </c>
      <c r="E600" s="17" t="s">
        <v>1198</v>
      </c>
      <c r="F600" s="16" t="n">
        <v>33.55031251</v>
      </c>
      <c r="G600" s="16" t="n">
        <v>44.37315993</v>
      </c>
      <c r="H600" s="18" t="n">
        <v>53</v>
      </c>
      <c r="I600" s="18" t="n">
        <v>318</v>
      </c>
      <c r="J600" s="19" t="n">
        <v>3</v>
      </c>
      <c r="K600" s="19"/>
      <c r="L600" s="19"/>
      <c r="M600" s="19"/>
      <c r="N600" s="19"/>
      <c r="O600" s="19" t="n">
        <v>3</v>
      </c>
      <c r="P600" s="19"/>
      <c r="Q600" s="19"/>
      <c r="R600" s="19"/>
      <c r="S600" s="19"/>
      <c r="T600" s="19"/>
      <c r="U600" s="19"/>
      <c r="V600" s="19" t="n">
        <v>21</v>
      </c>
      <c r="W600" s="19"/>
      <c r="X600" s="19" t="n">
        <v>26</v>
      </c>
      <c r="Y600" s="19"/>
      <c r="Z600" s="19"/>
      <c r="AA600" s="19"/>
      <c r="AB600" s="19"/>
      <c r="AC600" s="19" t="n">
        <v>38</v>
      </c>
      <c r="AD600" s="19"/>
      <c r="AE600" s="19"/>
      <c r="AF600" s="19"/>
      <c r="AG600" s="19"/>
      <c r="AH600" s="19" t="n">
        <v>15</v>
      </c>
      <c r="AI600" s="19"/>
      <c r="AJ600" s="19"/>
      <c r="AK600" s="19"/>
      <c r="AL600" s="19"/>
      <c r="AM600" s="19"/>
      <c r="AN600" s="19"/>
      <c r="AO600" s="19" t="n">
        <v>47</v>
      </c>
      <c r="AP600" s="19"/>
      <c r="AQ600" s="19"/>
      <c r="AR600" s="19" t="n">
        <v>6</v>
      </c>
      <c r="AS600" s="20" t="str">
        <f aca="false">HYPERLINK("http://www.openstreetmap.org/?mlat=33.5503&amp;mlon=44.3732&amp;zoom=12#map=12/33.5503/44.3732","Maplink1")</f>
        <v>Maplink1</v>
      </c>
      <c r="AT600" s="20" t="str">
        <f aca="false">HYPERLINK("https://www.google.iq/maps/search/+33.5503,44.3732/@33.5503,44.3732,14z?hl=en","Maplink2")</f>
        <v>Maplink2</v>
      </c>
      <c r="AU600" s="20" t="str">
        <f aca="false">HYPERLINK("http://www.bing.com/maps/?lvl=14&amp;sty=h&amp;cp=33.5503~44.3732&amp;sp=point.33.5503_44.3732","Maplink3")</f>
        <v>Maplink3</v>
      </c>
    </row>
    <row r="601" customFormat="false" ht="15" hidden="false" customHeight="true" outlineLevel="0" collapsed="false">
      <c r="A601" s="15" t="n">
        <v>25213</v>
      </c>
      <c r="B601" s="16" t="s">
        <v>17</v>
      </c>
      <c r="C601" s="16" t="s">
        <v>1091</v>
      </c>
      <c r="D601" s="16" t="s">
        <v>1199</v>
      </c>
      <c r="E601" s="17" t="s">
        <v>354</v>
      </c>
      <c r="F601" s="16" t="n">
        <v>33.56737</v>
      </c>
      <c r="G601" s="16" t="n">
        <v>44.36116</v>
      </c>
      <c r="H601" s="18" t="n">
        <v>8</v>
      </c>
      <c r="I601" s="18" t="n">
        <v>48</v>
      </c>
      <c r="J601" s="19" t="n">
        <v>8</v>
      </c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 t="n">
        <v>8</v>
      </c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 t="n">
        <v>8</v>
      </c>
      <c r="AP601" s="19"/>
      <c r="AQ601" s="19"/>
      <c r="AR601" s="19"/>
      <c r="AS601" s="20" t="str">
        <f aca="false">HYPERLINK("http://www.openstreetmap.org/?mlat=33.5674&amp;mlon=44.3612&amp;zoom=12#map=12/33.5674/44.3612","Maplink1")</f>
        <v>Maplink1</v>
      </c>
      <c r="AT601" s="20" t="str">
        <f aca="false">HYPERLINK("https://www.google.iq/maps/search/+33.5674,44.3612/@33.5674,44.3612,14z?hl=en","Maplink2")</f>
        <v>Maplink2</v>
      </c>
      <c r="AU601" s="20" t="str">
        <f aca="false">HYPERLINK("http://www.bing.com/maps/?lvl=14&amp;sty=h&amp;cp=33.5674~44.3612&amp;sp=point.33.5674_44.3612","Maplink3")</f>
        <v>Maplink3</v>
      </c>
    </row>
    <row r="602" customFormat="false" ht="15" hidden="false" customHeight="true" outlineLevel="0" collapsed="false">
      <c r="A602" s="15" t="n">
        <v>23005</v>
      </c>
      <c r="B602" s="16" t="s">
        <v>17</v>
      </c>
      <c r="C602" s="16" t="s">
        <v>1091</v>
      </c>
      <c r="D602" s="16" t="s">
        <v>1200</v>
      </c>
      <c r="E602" s="17" t="s">
        <v>1201</v>
      </c>
      <c r="F602" s="16" t="n">
        <v>33.41974031</v>
      </c>
      <c r="G602" s="16" t="n">
        <v>44.41591117</v>
      </c>
      <c r="H602" s="18" t="n">
        <v>8</v>
      </c>
      <c r="I602" s="18" t="n">
        <v>48</v>
      </c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 t="n">
        <v>8</v>
      </c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 t="n">
        <v>8</v>
      </c>
      <c r="AI602" s="19"/>
      <c r="AJ602" s="19"/>
      <c r="AK602" s="19"/>
      <c r="AL602" s="19"/>
      <c r="AM602" s="19" t="n">
        <v>8</v>
      </c>
      <c r="AN602" s="19"/>
      <c r="AO602" s="19"/>
      <c r="AP602" s="19"/>
      <c r="AQ602" s="19"/>
      <c r="AR602" s="19"/>
      <c r="AS602" s="20" t="str">
        <f aca="false">HYPERLINK("http://www.openstreetmap.org/?mlat=33.4197&amp;mlon=44.4159&amp;zoom=12#map=12/33.4197/44.4159","Maplink1")</f>
        <v>Maplink1</v>
      </c>
      <c r="AT602" s="20" t="str">
        <f aca="false">HYPERLINK("https://www.google.iq/maps/search/+33.4197,44.4159/@33.4197,44.4159,14z?hl=en","Maplink2")</f>
        <v>Maplink2</v>
      </c>
      <c r="AU602" s="20" t="str">
        <f aca="false">HYPERLINK("http://www.bing.com/maps/?lvl=14&amp;sty=h&amp;cp=33.4197~44.4159&amp;sp=point.33.4197_44.4159","Maplink3")</f>
        <v>Maplink3</v>
      </c>
    </row>
    <row r="603" customFormat="false" ht="15" hidden="false" customHeight="true" outlineLevel="0" collapsed="false">
      <c r="A603" s="15" t="n">
        <v>23736</v>
      </c>
      <c r="B603" s="16" t="s">
        <v>17</v>
      </c>
      <c r="C603" s="16" t="s">
        <v>1091</v>
      </c>
      <c r="D603" s="16" t="s">
        <v>1202</v>
      </c>
      <c r="E603" s="17" t="s">
        <v>1203</v>
      </c>
      <c r="F603" s="16" t="n">
        <v>33.41265897</v>
      </c>
      <c r="G603" s="16" t="n">
        <v>44.41586316</v>
      </c>
      <c r="H603" s="18" t="n">
        <v>18</v>
      </c>
      <c r="I603" s="18" t="n">
        <v>108</v>
      </c>
      <c r="J603" s="19" t="n">
        <v>8</v>
      </c>
      <c r="K603" s="19"/>
      <c r="L603" s="19"/>
      <c r="M603" s="19"/>
      <c r="N603" s="19"/>
      <c r="O603" s="19" t="n">
        <v>2</v>
      </c>
      <c r="P603" s="19"/>
      <c r="Q603" s="19"/>
      <c r="R603" s="19"/>
      <c r="S603" s="19"/>
      <c r="T603" s="19"/>
      <c r="U603" s="19"/>
      <c r="V603" s="19"/>
      <c r="W603" s="19"/>
      <c r="X603" s="19" t="n">
        <v>8</v>
      </c>
      <c r="Y603" s="19"/>
      <c r="Z603" s="19"/>
      <c r="AA603" s="19"/>
      <c r="AB603" s="19"/>
      <c r="AC603" s="19"/>
      <c r="AD603" s="19"/>
      <c r="AE603" s="19"/>
      <c r="AF603" s="19"/>
      <c r="AG603" s="19"/>
      <c r="AH603" s="19" t="n">
        <v>18</v>
      </c>
      <c r="AI603" s="19"/>
      <c r="AJ603" s="19"/>
      <c r="AK603" s="19"/>
      <c r="AL603" s="19"/>
      <c r="AM603" s="19" t="n">
        <v>12</v>
      </c>
      <c r="AN603" s="19"/>
      <c r="AO603" s="19" t="n">
        <v>1</v>
      </c>
      <c r="AP603" s="19"/>
      <c r="AQ603" s="19" t="n">
        <v>5</v>
      </c>
      <c r="AR603" s="19"/>
      <c r="AS603" s="20" t="str">
        <f aca="false">HYPERLINK("http://www.openstreetmap.org/?mlat=33.4127&amp;mlon=44.4159&amp;zoom=12#map=12/33.4127/44.4159","Maplink1")</f>
        <v>Maplink1</v>
      </c>
      <c r="AT603" s="20" t="str">
        <f aca="false">HYPERLINK("https://www.google.iq/maps/search/+33.4127,44.4159/@33.4127,44.4159,14z?hl=en","Maplink2")</f>
        <v>Maplink2</v>
      </c>
      <c r="AU603" s="20" t="str">
        <f aca="false">HYPERLINK("http://www.bing.com/maps/?lvl=14&amp;sty=h&amp;cp=33.4127~44.4159&amp;sp=point.33.4127_44.4159","Maplink3")</f>
        <v>Maplink3</v>
      </c>
    </row>
    <row r="604" customFormat="false" ht="15" hidden="false" customHeight="true" outlineLevel="0" collapsed="false">
      <c r="A604" s="15" t="n">
        <v>23978</v>
      </c>
      <c r="B604" s="16" t="s">
        <v>17</v>
      </c>
      <c r="C604" s="16" t="s">
        <v>1091</v>
      </c>
      <c r="D604" s="16" t="s">
        <v>1204</v>
      </c>
      <c r="E604" s="17" t="s">
        <v>1205</v>
      </c>
      <c r="F604" s="16" t="n">
        <v>33.41575385</v>
      </c>
      <c r="G604" s="16" t="n">
        <v>44.38668865</v>
      </c>
      <c r="H604" s="18" t="n">
        <v>57</v>
      </c>
      <c r="I604" s="18" t="n">
        <v>342</v>
      </c>
      <c r="J604" s="19" t="n">
        <v>2</v>
      </c>
      <c r="K604" s="19"/>
      <c r="L604" s="19"/>
      <c r="M604" s="19"/>
      <c r="N604" s="19"/>
      <c r="O604" s="19" t="n">
        <v>3</v>
      </c>
      <c r="P604" s="19"/>
      <c r="Q604" s="19"/>
      <c r="R604" s="19"/>
      <c r="S604" s="19"/>
      <c r="T604" s="19"/>
      <c r="U604" s="19"/>
      <c r="V604" s="19" t="n">
        <v>50</v>
      </c>
      <c r="W604" s="19"/>
      <c r="X604" s="19" t="n">
        <v>2</v>
      </c>
      <c r="Y604" s="19"/>
      <c r="Z604" s="19"/>
      <c r="AA604" s="19"/>
      <c r="AB604" s="19"/>
      <c r="AC604" s="19" t="n">
        <v>17</v>
      </c>
      <c r="AD604" s="19"/>
      <c r="AE604" s="19"/>
      <c r="AF604" s="19"/>
      <c r="AG604" s="19"/>
      <c r="AH604" s="19" t="n">
        <v>40</v>
      </c>
      <c r="AI604" s="19"/>
      <c r="AJ604" s="19"/>
      <c r="AK604" s="19"/>
      <c r="AL604" s="19"/>
      <c r="AM604" s="19" t="n">
        <v>45</v>
      </c>
      <c r="AN604" s="19"/>
      <c r="AO604" s="19" t="n">
        <v>8</v>
      </c>
      <c r="AP604" s="19" t="n">
        <v>4</v>
      </c>
      <c r="AQ604" s="19"/>
      <c r="AR604" s="19"/>
      <c r="AS604" s="20" t="str">
        <f aca="false">HYPERLINK("http://www.openstreetmap.org/?mlat=33.4158&amp;mlon=44.3867&amp;zoom=12#map=12/33.4158/44.3867","Maplink1")</f>
        <v>Maplink1</v>
      </c>
      <c r="AT604" s="20" t="str">
        <f aca="false">HYPERLINK("https://www.google.iq/maps/search/+33.4158,44.3867/@33.4158,44.3867,14z?hl=en","Maplink2")</f>
        <v>Maplink2</v>
      </c>
      <c r="AU604" s="20" t="str">
        <f aca="false">HYPERLINK("http://www.bing.com/maps/?lvl=14&amp;sty=h&amp;cp=33.4158~44.3867&amp;sp=point.33.4158_44.3867","Maplink3")</f>
        <v>Maplink3</v>
      </c>
    </row>
    <row r="605" customFormat="false" ht="15" hidden="false" customHeight="true" outlineLevel="0" collapsed="false">
      <c r="A605" s="15" t="n">
        <v>21629</v>
      </c>
      <c r="B605" s="16" t="s">
        <v>17</v>
      </c>
      <c r="C605" s="16" t="s">
        <v>1091</v>
      </c>
      <c r="D605" s="16" t="s">
        <v>1206</v>
      </c>
      <c r="E605" s="17" t="s">
        <v>1207</v>
      </c>
      <c r="F605" s="16" t="n">
        <v>33.42453672</v>
      </c>
      <c r="G605" s="16" t="n">
        <v>44.38655287</v>
      </c>
      <c r="H605" s="18" t="n">
        <v>40</v>
      </c>
      <c r="I605" s="18" t="n">
        <v>240</v>
      </c>
      <c r="J605" s="19" t="n">
        <v>7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 t="n">
        <v>27</v>
      </c>
      <c r="W605" s="19"/>
      <c r="X605" s="19" t="n">
        <v>6</v>
      </c>
      <c r="Y605" s="19"/>
      <c r="Z605" s="19"/>
      <c r="AA605" s="19"/>
      <c r="AB605" s="19"/>
      <c r="AC605" s="19" t="n">
        <v>10</v>
      </c>
      <c r="AD605" s="19"/>
      <c r="AE605" s="19"/>
      <c r="AF605" s="19"/>
      <c r="AG605" s="19"/>
      <c r="AH605" s="19" t="n">
        <v>13</v>
      </c>
      <c r="AI605" s="19" t="n">
        <v>17</v>
      </c>
      <c r="AJ605" s="19"/>
      <c r="AK605" s="19"/>
      <c r="AL605" s="19" t="n">
        <v>12</v>
      </c>
      <c r="AM605" s="19"/>
      <c r="AN605" s="19" t="n">
        <v>26</v>
      </c>
      <c r="AO605" s="19" t="n">
        <v>2</v>
      </c>
      <c r="AP605" s="19"/>
      <c r="AQ605" s="19"/>
      <c r="AR605" s="19"/>
      <c r="AS605" s="20" t="str">
        <f aca="false">HYPERLINK("http://www.openstreetmap.org/?mlat=33.4245&amp;mlon=44.3866&amp;zoom=12#map=12/33.4245/44.3866","Maplink1")</f>
        <v>Maplink1</v>
      </c>
      <c r="AT605" s="20" t="str">
        <f aca="false">HYPERLINK("https://www.google.iq/maps/search/+33.4245,44.3866/@33.4245,44.3866,14z?hl=en","Maplink2")</f>
        <v>Maplink2</v>
      </c>
      <c r="AU605" s="20" t="str">
        <f aca="false">HYPERLINK("http://www.bing.com/maps/?lvl=14&amp;sty=h&amp;cp=33.4245~44.3866&amp;sp=point.33.4245_44.3866","Maplink3")</f>
        <v>Maplink3</v>
      </c>
    </row>
    <row r="606" customFormat="false" ht="15" hidden="false" customHeight="true" outlineLevel="0" collapsed="false">
      <c r="A606" s="15" t="n">
        <v>24440</v>
      </c>
      <c r="B606" s="16" t="s">
        <v>17</v>
      </c>
      <c r="C606" s="16" t="s">
        <v>1091</v>
      </c>
      <c r="D606" s="16" t="s">
        <v>1208</v>
      </c>
      <c r="E606" s="17" t="s">
        <v>1209</v>
      </c>
      <c r="F606" s="16" t="n">
        <v>33.42285028</v>
      </c>
      <c r="G606" s="16" t="n">
        <v>44.41603658</v>
      </c>
      <c r="H606" s="18" t="n">
        <v>22</v>
      </c>
      <c r="I606" s="18" t="n">
        <v>132</v>
      </c>
      <c r="J606" s="19" t="n">
        <v>9</v>
      </c>
      <c r="K606" s="19"/>
      <c r="L606" s="19"/>
      <c r="M606" s="19"/>
      <c r="N606" s="19"/>
      <c r="O606" s="19" t="n">
        <v>4</v>
      </c>
      <c r="P606" s="19"/>
      <c r="Q606" s="19"/>
      <c r="R606" s="19"/>
      <c r="S606" s="19"/>
      <c r="T606" s="19"/>
      <c r="U606" s="19"/>
      <c r="V606" s="19" t="n">
        <v>5</v>
      </c>
      <c r="W606" s="19"/>
      <c r="X606" s="19" t="n">
        <v>4</v>
      </c>
      <c r="Y606" s="19"/>
      <c r="Z606" s="19"/>
      <c r="AA606" s="19"/>
      <c r="AB606" s="19"/>
      <c r="AC606" s="19"/>
      <c r="AD606" s="19"/>
      <c r="AE606" s="19"/>
      <c r="AF606" s="19"/>
      <c r="AG606" s="19"/>
      <c r="AH606" s="19" t="n">
        <v>22</v>
      </c>
      <c r="AI606" s="19"/>
      <c r="AJ606" s="19"/>
      <c r="AK606" s="19"/>
      <c r="AL606" s="19"/>
      <c r="AM606" s="19"/>
      <c r="AN606" s="19" t="n">
        <v>8</v>
      </c>
      <c r="AO606" s="19" t="n">
        <v>6</v>
      </c>
      <c r="AP606" s="19" t="n">
        <v>7</v>
      </c>
      <c r="AQ606" s="19"/>
      <c r="AR606" s="19" t="n">
        <v>1</v>
      </c>
      <c r="AS606" s="20" t="str">
        <f aca="false">HYPERLINK("http://www.openstreetmap.org/?mlat=33.4229&amp;mlon=44.416&amp;zoom=12#map=12/33.4229/44.416","Maplink1")</f>
        <v>Maplink1</v>
      </c>
      <c r="AT606" s="20" t="str">
        <f aca="false">HYPERLINK("https://www.google.iq/maps/search/+33.4229,44.416/@33.4229,44.416,14z?hl=en","Maplink2")</f>
        <v>Maplink2</v>
      </c>
      <c r="AU606" s="20" t="str">
        <f aca="false">HYPERLINK("http://www.bing.com/maps/?lvl=14&amp;sty=h&amp;cp=33.4229~44.416&amp;sp=point.33.4229_44.416","Maplink3")</f>
        <v>Maplink3</v>
      </c>
    </row>
    <row r="607" customFormat="false" ht="15" hidden="false" customHeight="true" outlineLevel="0" collapsed="false">
      <c r="A607" s="15" t="n">
        <v>24441</v>
      </c>
      <c r="B607" s="16" t="s">
        <v>17</v>
      </c>
      <c r="C607" s="16" t="s">
        <v>1091</v>
      </c>
      <c r="D607" s="16" t="s">
        <v>1210</v>
      </c>
      <c r="E607" s="17" t="s">
        <v>1211</v>
      </c>
      <c r="F607" s="16" t="n">
        <v>33.40985987</v>
      </c>
      <c r="G607" s="16" t="n">
        <v>44.38831783</v>
      </c>
      <c r="H607" s="18" t="n">
        <v>25</v>
      </c>
      <c r="I607" s="18" t="n">
        <v>150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 t="n">
        <v>25</v>
      </c>
      <c r="W607" s="19"/>
      <c r="X607" s="19"/>
      <c r="Y607" s="19"/>
      <c r="Z607" s="19"/>
      <c r="AA607" s="19"/>
      <c r="AB607" s="19"/>
      <c r="AC607" s="19" t="n">
        <v>15</v>
      </c>
      <c r="AD607" s="19"/>
      <c r="AE607" s="19"/>
      <c r="AF607" s="19"/>
      <c r="AG607" s="19"/>
      <c r="AH607" s="19" t="n">
        <v>10</v>
      </c>
      <c r="AI607" s="19"/>
      <c r="AJ607" s="19"/>
      <c r="AK607" s="19"/>
      <c r="AL607" s="19"/>
      <c r="AM607" s="19"/>
      <c r="AN607" s="19"/>
      <c r="AO607" s="19" t="n">
        <v>25</v>
      </c>
      <c r="AP607" s="19"/>
      <c r="AQ607" s="19"/>
      <c r="AR607" s="19"/>
      <c r="AS607" s="20" t="str">
        <f aca="false">HYPERLINK("http://www.openstreetmap.org/?mlat=33.4099&amp;mlon=44.3883&amp;zoom=12#map=12/33.4099/44.3883","Maplink1")</f>
        <v>Maplink1</v>
      </c>
      <c r="AT607" s="20" t="str">
        <f aca="false">HYPERLINK("https://www.google.iq/maps/search/+33.4099,44.3883/@33.4099,44.3883,14z?hl=en","Maplink2")</f>
        <v>Maplink2</v>
      </c>
      <c r="AU607" s="20" t="str">
        <f aca="false">HYPERLINK("http://www.bing.com/maps/?lvl=14&amp;sty=h&amp;cp=33.4099~44.3883&amp;sp=point.33.4099_44.3883","Maplink3")</f>
        <v>Maplink3</v>
      </c>
    </row>
    <row r="608" customFormat="false" ht="15" hidden="false" customHeight="true" outlineLevel="0" collapsed="false">
      <c r="A608" s="15" t="n">
        <v>24443</v>
      </c>
      <c r="B608" s="16" t="s">
        <v>17</v>
      </c>
      <c r="C608" s="16" t="s">
        <v>1091</v>
      </c>
      <c r="D608" s="16" t="s">
        <v>1212</v>
      </c>
      <c r="E608" s="17" t="s">
        <v>1213</v>
      </c>
      <c r="F608" s="16" t="n">
        <v>33.42670271</v>
      </c>
      <c r="G608" s="16" t="n">
        <v>44.42157972</v>
      </c>
      <c r="H608" s="18" t="n">
        <v>8</v>
      </c>
      <c r="I608" s="18" t="n">
        <v>48</v>
      </c>
      <c r="J608" s="19" t="n">
        <v>2</v>
      </c>
      <c r="K608" s="19"/>
      <c r="L608" s="19"/>
      <c r="M608" s="19"/>
      <c r="N608" s="19"/>
      <c r="O608" s="19" t="n">
        <v>6</v>
      </c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 t="n">
        <v>3</v>
      </c>
      <c r="AD608" s="19"/>
      <c r="AE608" s="19"/>
      <c r="AF608" s="19"/>
      <c r="AG608" s="19"/>
      <c r="AH608" s="19" t="n">
        <v>5</v>
      </c>
      <c r="AI608" s="19"/>
      <c r="AJ608" s="19"/>
      <c r="AK608" s="19"/>
      <c r="AL608" s="19" t="n">
        <v>4</v>
      </c>
      <c r="AM608" s="19"/>
      <c r="AN608" s="19"/>
      <c r="AO608" s="19"/>
      <c r="AP608" s="19" t="n">
        <v>4</v>
      </c>
      <c r="AQ608" s="19"/>
      <c r="AR608" s="19"/>
      <c r="AS608" s="20" t="str">
        <f aca="false">HYPERLINK("http://www.openstreetmap.org/?mlat=33.4267&amp;mlon=44.4216&amp;zoom=12#map=12/33.4267/44.4216","Maplink1")</f>
        <v>Maplink1</v>
      </c>
      <c r="AT608" s="20" t="str">
        <f aca="false">HYPERLINK("https://www.google.iq/maps/search/+33.4267,44.4216/@33.4267,44.4216,14z?hl=en","Maplink2")</f>
        <v>Maplink2</v>
      </c>
      <c r="AU608" s="20" t="str">
        <f aca="false">HYPERLINK("http://www.bing.com/maps/?lvl=14&amp;sty=h&amp;cp=33.4267~44.4216&amp;sp=point.33.4267_44.4216","Maplink3")</f>
        <v>Maplink3</v>
      </c>
    </row>
    <row r="609" customFormat="false" ht="15" hidden="false" customHeight="true" outlineLevel="0" collapsed="false">
      <c r="A609" s="15" t="n">
        <v>24448</v>
      </c>
      <c r="B609" s="16" t="s">
        <v>17</v>
      </c>
      <c r="C609" s="16" t="s">
        <v>1091</v>
      </c>
      <c r="D609" s="16" t="s">
        <v>1214</v>
      </c>
      <c r="E609" s="17" t="s">
        <v>1215</v>
      </c>
      <c r="F609" s="16" t="n">
        <v>33.41890308</v>
      </c>
      <c r="G609" s="16" t="n">
        <v>44.39308053</v>
      </c>
      <c r="H609" s="18" t="n">
        <v>5</v>
      </c>
      <c r="I609" s="18" t="n">
        <v>30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 t="n">
        <v>2</v>
      </c>
      <c r="W609" s="19"/>
      <c r="X609" s="19" t="n">
        <v>3</v>
      </c>
      <c r="Y609" s="19"/>
      <c r="Z609" s="19"/>
      <c r="AA609" s="19"/>
      <c r="AB609" s="19"/>
      <c r="AC609" s="19" t="n">
        <v>5</v>
      </c>
      <c r="AD609" s="19"/>
      <c r="AE609" s="19"/>
      <c r="AF609" s="19"/>
      <c r="AG609" s="19"/>
      <c r="AH609" s="19"/>
      <c r="AI609" s="19"/>
      <c r="AJ609" s="19"/>
      <c r="AK609" s="19"/>
      <c r="AL609" s="19"/>
      <c r="AM609" s="19" t="n">
        <v>2</v>
      </c>
      <c r="AN609" s="19" t="n">
        <v>3</v>
      </c>
      <c r="AO609" s="19"/>
      <c r="AP609" s="19"/>
      <c r="AQ609" s="19"/>
      <c r="AR609" s="19"/>
      <c r="AS609" s="20" t="str">
        <f aca="false">HYPERLINK("http://www.openstreetmap.org/?mlat=33.4189&amp;mlon=44.3931&amp;zoom=12#map=12/33.4189/44.3931","Maplink1")</f>
        <v>Maplink1</v>
      </c>
      <c r="AT609" s="20" t="str">
        <f aca="false">HYPERLINK("https://www.google.iq/maps/search/+33.4189,44.3931/@33.4189,44.3931,14z?hl=en","Maplink2")</f>
        <v>Maplink2</v>
      </c>
      <c r="AU609" s="20" t="str">
        <f aca="false">HYPERLINK("http://www.bing.com/maps/?lvl=14&amp;sty=h&amp;cp=33.4189~44.3931&amp;sp=point.33.4189_44.3931","Maplink3")</f>
        <v>Maplink3</v>
      </c>
    </row>
    <row r="610" customFormat="false" ht="15" hidden="false" customHeight="true" outlineLevel="0" collapsed="false">
      <c r="A610" s="15" t="n">
        <v>24450</v>
      </c>
      <c r="B610" s="16" t="s">
        <v>17</v>
      </c>
      <c r="C610" s="16" t="s">
        <v>1091</v>
      </c>
      <c r="D610" s="16" t="s">
        <v>1216</v>
      </c>
      <c r="E610" s="17" t="s">
        <v>1217</v>
      </c>
      <c r="F610" s="16" t="n">
        <v>33.42711436</v>
      </c>
      <c r="G610" s="16" t="n">
        <v>44.39054539</v>
      </c>
      <c r="H610" s="18" t="n">
        <v>30</v>
      </c>
      <c r="I610" s="18" t="n">
        <v>180</v>
      </c>
      <c r="J610" s="19" t="n">
        <v>4</v>
      </c>
      <c r="K610" s="19"/>
      <c r="L610" s="19"/>
      <c r="M610" s="19"/>
      <c r="N610" s="19"/>
      <c r="O610" s="19" t="n">
        <v>9</v>
      </c>
      <c r="P610" s="19"/>
      <c r="Q610" s="19"/>
      <c r="R610" s="19"/>
      <c r="S610" s="19"/>
      <c r="T610" s="19"/>
      <c r="U610" s="19"/>
      <c r="V610" s="19" t="n">
        <v>14</v>
      </c>
      <c r="W610" s="19"/>
      <c r="X610" s="19" t="n">
        <v>3</v>
      </c>
      <c r="Y610" s="19"/>
      <c r="Z610" s="19"/>
      <c r="AA610" s="19"/>
      <c r="AB610" s="19"/>
      <c r="AC610" s="19" t="n">
        <v>13</v>
      </c>
      <c r="AD610" s="19"/>
      <c r="AE610" s="19"/>
      <c r="AF610" s="19"/>
      <c r="AG610" s="19"/>
      <c r="AH610" s="19" t="n">
        <v>17</v>
      </c>
      <c r="AI610" s="19"/>
      <c r="AJ610" s="19"/>
      <c r="AK610" s="19"/>
      <c r="AL610" s="19"/>
      <c r="AM610" s="19" t="n">
        <v>14</v>
      </c>
      <c r="AN610" s="19"/>
      <c r="AO610" s="19" t="n">
        <v>14</v>
      </c>
      <c r="AP610" s="19" t="n">
        <v>2</v>
      </c>
      <c r="AQ610" s="19"/>
      <c r="AR610" s="19"/>
      <c r="AS610" s="20" t="str">
        <f aca="false">HYPERLINK("http://www.openstreetmap.org/?mlat=33.4271&amp;mlon=44.3905&amp;zoom=12#map=12/33.4271/44.3905","Maplink1")</f>
        <v>Maplink1</v>
      </c>
      <c r="AT610" s="20" t="str">
        <f aca="false">HYPERLINK("https://www.google.iq/maps/search/+33.4271,44.3905/@33.4271,44.3905,14z?hl=en","Maplink2")</f>
        <v>Maplink2</v>
      </c>
      <c r="AU610" s="20" t="str">
        <f aca="false">HYPERLINK("http://www.bing.com/maps/?lvl=14&amp;sty=h&amp;cp=33.4271~44.3905&amp;sp=point.33.4271_44.3905","Maplink3")</f>
        <v>Maplink3</v>
      </c>
    </row>
    <row r="611" customFormat="false" ht="15" hidden="false" customHeight="true" outlineLevel="0" collapsed="false">
      <c r="A611" s="15" t="n">
        <v>24002</v>
      </c>
      <c r="B611" s="16" t="s">
        <v>17</v>
      </c>
      <c r="C611" s="16" t="s">
        <v>1091</v>
      </c>
      <c r="D611" s="16" t="s">
        <v>1218</v>
      </c>
      <c r="E611" s="17" t="s">
        <v>1219</v>
      </c>
      <c r="F611" s="16" t="n">
        <v>33.37155592</v>
      </c>
      <c r="G611" s="16" t="n">
        <v>44.36930771</v>
      </c>
      <c r="H611" s="18" t="n">
        <v>274</v>
      </c>
      <c r="I611" s="18" t="n">
        <v>1644</v>
      </c>
      <c r="J611" s="19" t="n">
        <v>84</v>
      </c>
      <c r="K611" s="19"/>
      <c r="L611" s="19"/>
      <c r="M611" s="19"/>
      <c r="N611" s="19"/>
      <c r="O611" s="19" t="n">
        <v>18</v>
      </c>
      <c r="P611" s="19"/>
      <c r="Q611" s="19"/>
      <c r="R611" s="19"/>
      <c r="S611" s="19"/>
      <c r="T611" s="19"/>
      <c r="U611" s="19"/>
      <c r="V611" s="19" t="n">
        <v>120</v>
      </c>
      <c r="W611" s="19"/>
      <c r="X611" s="19" t="n">
        <v>52</v>
      </c>
      <c r="Y611" s="19"/>
      <c r="Z611" s="19"/>
      <c r="AA611" s="19"/>
      <c r="AB611" s="19"/>
      <c r="AC611" s="19" t="n">
        <v>100</v>
      </c>
      <c r="AD611" s="19"/>
      <c r="AE611" s="19"/>
      <c r="AF611" s="19"/>
      <c r="AG611" s="19"/>
      <c r="AH611" s="19" t="n">
        <v>174</v>
      </c>
      <c r="AI611" s="19"/>
      <c r="AJ611" s="19"/>
      <c r="AK611" s="19"/>
      <c r="AL611" s="19" t="n">
        <v>84</v>
      </c>
      <c r="AM611" s="19" t="n">
        <v>175</v>
      </c>
      <c r="AN611" s="19" t="n">
        <v>5</v>
      </c>
      <c r="AO611" s="19"/>
      <c r="AP611" s="19"/>
      <c r="AQ611" s="19"/>
      <c r="AR611" s="19" t="n">
        <v>10</v>
      </c>
      <c r="AS611" s="20" t="str">
        <f aca="false">HYPERLINK("http://www.openstreetmap.org/?mlat=33.3716&amp;mlon=44.3693&amp;zoom=12#map=12/33.3716/44.3693","Maplink1")</f>
        <v>Maplink1</v>
      </c>
      <c r="AT611" s="20" t="str">
        <f aca="false">HYPERLINK("https://www.google.iq/maps/search/+33.3716,44.3693/@33.3716,44.3693,14z?hl=en","Maplink2")</f>
        <v>Maplink2</v>
      </c>
      <c r="AU611" s="20" t="str">
        <f aca="false">HYPERLINK("http://www.bing.com/maps/?lvl=14&amp;sty=h&amp;cp=33.3716~44.3693&amp;sp=point.33.3716_44.3693","Maplink3")</f>
        <v>Maplink3</v>
      </c>
    </row>
    <row r="612" customFormat="false" ht="15" hidden="false" customHeight="true" outlineLevel="0" collapsed="false">
      <c r="A612" s="15" t="n">
        <v>23987</v>
      </c>
      <c r="B612" s="16" t="s">
        <v>17</v>
      </c>
      <c r="C612" s="16" t="s">
        <v>1091</v>
      </c>
      <c r="D612" s="16" t="s">
        <v>1220</v>
      </c>
      <c r="E612" s="17" t="s">
        <v>1221</v>
      </c>
      <c r="F612" s="16" t="n">
        <v>33.37852471</v>
      </c>
      <c r="G612" s="16" t="n">
        <v>44.3688147</v>
      </c>
      <c r="H612" s="18" t="n">
        <v>380</v>
      </c>
      <c r="I612" s="18" t="n">
        <v>2280</v>
      </c>
      <c r="J612" s="19" t="n">
        <v>342</v>
      </c>
      <c r="K612" s="19"/>
      <c r="L612" s="19"/>
      <c r="M612" s="19"/>
      <c r="N612" s="19"/>
      <c r="O612" s="19" t="n">
        <v>26</v>
      </c>
      <c r="P612" s="19"/>
      <c r="Q612" s="19"/>
      <c r="R612" s="19"/>
      <c r="S612" s="19"/>
      <c r="T612" s="19"/>
      <c r="U612" s="19"/>
      <c r="V612" s="19" t="n">
        <v>12</v>
      </c>
      <c r="W612" s="19"/>
      <c r="X612" s="19"/>
      <c r="Y612" s="19"/>
      <c r="Z612" s="19"/>
      <c r="AA612" s="19"/>
      <c r="AB612" s="19"/>
      <c r="AC612" s="19" t="n">
        <v>114</v>
      </c>
      <c r="AD612" s="19"/>
      <c r="AE612" s="19"/>
      <c r="AF612" s="19"/>
      <c r="AG612" s="19"/>
      <c r="AH612" s="19" t="n">
        <v>266</v>
      </c>
      <c r="AI612" s="19"/>
      <c r="AJ612" s="19"/>
      <c r="AK612" s="19"/>
      <c r="AL612" s="19" t="n">
        <v>61</v>
      </c>
      <c r="AM612" s="19" t="n">
        <v>24</v>
      </c>
      <c r="AN612" s="19" t="n">
        <v>39</v>
      </c>
      <c r="AO612" s="19" t="n">
        <v>136</v>
      </c>
      <c r="AP612" s="19" t="n">
        <v>106</v>
      </c>
      <c r="AQ612" s="19" t="n">
        <v>2</v>
      </c>
      <c r="AR612" s="19" t="n">
        <v>12</v>
      </c>
      <c r="AS612" s="20" t="str">
        <f aca="false">HYPERLINK("http://www.openstreetmap.org/?mlat=33.3785&amp;mlon=44.3688&amp;zoom=12#map=12/33.3785/44.3688","Maplink1")</f>
        <v>Maplink1</v>
      </c>
      <c r="AT612" s="20" t="str">
        <f aca="false">HYPERLINK("https://www.google.iq/maps/search/+33.3785,44.3688/@33.3785,44.3688,14z?hl=en","Maplink2")</f>
        <v>Maplink2</v>
      </c>
      <c r="AU612" s="20" t="str">
        <f aca="false">HYPERLINK("http://www.bing.com/maps/?lvl=14&amp;sty=h&amp;cp=33.3785~44.3688&amp;sp=point.33.3785_44.3688","Maplink3")</f>
        <v>Maplink3</v>
      </c>
    </row>
    <row r="613" customFormat="false" ht="15" hidden="false" customHeight="true" outlineLevel="0" collapsed="false">
      <c r="A613" s="15" t="n">
        <v>24003</v>
      </c>
      <c r="B613" s="16" t="s">
        <v>17</v>
      </c>
      <c r="C613" s="16" t="s">
        <v>1091</v>
      </c>
      <c r="D613" s="16" t="s">
        <v>1222</v>
      </c>
      <c r="E613" s="17" t="s">
        <v>1223</v>
      </c>
      <c r="F613" s="16" t="n">
        <v>33.38110103</v>
      </c>
      <c r="G613" s="16" t="n">
        <v>44.37395195</v>
      </c>
      <c r="H613" s="18" t="n">
        <v>273</v>
      </c>
      <c r="I613" s="18" t="n">
        <v>1638</v>
      </c>
      <c r="J613" s="19" t="n">
        <v>264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 t="n">
        <v>9</v>
      </c>
      <c r="W613" s="19"/>
      <c r="X613" s="19"/>
      <c r="Y613" s="19"/>
      <c r="Z613" s="19"/>
      <c r="AA613" s="19"/>
      <c r="AB613" s="19"/>
      <c r="AC613" s="19" t="n">
        <v>104</v>
      </c>
      <c r="AD613" s="19"/>
      <c r="AE613" s="19"/>
      <c r="AF613" s="19"/>
      <c r="AG613" s="19"/>
      <c r="AH613" s="19" t="n">
        <v>169</v>
      </c>
      <c r="AI613" s="19"/>
      <c r="AJ613" s="19"/>
      <c r="AK613" s="19"/>
      <c r="AL613" s="19" t="n">
        <v>49</v>
      </c>
      <c r="AM613" s="19" t="n">
        <v>56</v>
      </c>
      <c r="AN613" s="19"/>
      <c r="AO613" s="19" t="n">
        <v>95</v>
      </c>
      <c r="AP613" s="19" t="n">
        <v>64</v>
      </c>
      <c r="AQ613" s="19"/>
      <c r="AR613" s="19" t="n">
        <v>9</v>
      </c>
      <c r="AS613" s="20" t="str">
        <f aca="false">HYPERLINK("http://www.openstreetmap.org/?mlat=33.3811&amp;mlon=44.374&amp;zoom=12#map=12/33.3811/44.374","Maplink1")</f>
        <v>Maplink1</v>
      </c>
      <c r="AT613" s="20" t="str">
        <f aca="false">HYPERLINK("https://www.google.iq/maps/search/+33.3811,44.374/@33.3811,44.374,14z?hl=en","Maplink2")</f>
        <v>Maplink2</v>
      </c>
      <c r="AU613" s="20" t="str">
        <f aca="false">HYPERLINK("http://www.bing.com/maps/?lvl=14&amp;sty=h&amp;cp=33.3811~44.374&amp;sp=point.33.3811_44.374","Maplink3")</f>
        <v>Maplink3</v>
      </c>
    </row>
    <row r="614" customFormat="false" ht="15" hidden="false" customHeight="true" outlineLevel="0" collapsed="false">
      <c r="A614" s="15" t="n">
        <v>25219</v>
      </c>
      <c r="B614" s="16" t="s">
        <v>17</v>
      </c>
      <c r="C614" s="16" t="s">
        <v>1091</v>
      </c>
      <c r="D614" s="16" t="s">
        <v>1224</v>
      </c>
      <c r="E614" s="17" t="s">
        <v>1225</v>
      </c>
      <c r="F614" s="16" t="n">
        <v>33.53802319</v>
      </c>
      <c r="G614" s="16" t="n">
        <v>44.32466751</v>
      </c>
      <c r="H614" s="18" t="n">
        <v>14</v>
      </c>
      <c r="I614" s="18" t="n">
        <v>84</v>
      </c>
      <c r="J614" s="19" t="n">
        <v>2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 t="n">
        <v>4</v>
      </c>
      <c r="W614" s="19"/>
      <c r="X614" s="19" t="n">
        <v>8</v>
      </c>
      <c r="Y614" s="19"/>
      <c r="Z614" s="19"/>
      <c r="AA614" s="19"/>
      <c r="AB614" s="19"/>
      <c r="AC614" s="19" t="n">
        <v>8</v>
      </c>
      <c r="AD614" s="19"/>
      <c r="AE614" s="19"/>
      <c r="AF614" s="19"/>
      <c r="AG614" s="19"/>
      <c r="AH614" s="19" t="n">
        <v>6</v>
      </c>
      <c r="AI614" s="19"/>
      <c r="AJ614" s="19"/>
      <c r="AK614" s="19"/>
      <c r="AL614" s="19"/>
      <c r="AM614" s="19"/>
      <c r="AN614" s="19"/>
      <c r="AO614" s="19" t="n">
        <v>7</v>
      </c>
      <c r="AP614" s="19" t="n">
        <v>3</v>
      </c>
      <c r="AQ614" s="19" t="n">
        <v>4</v>
      </c>
      <c r="AR614" s="19"/>
      <c r="AS614" s="20" t="str">
        <f aca="false">HYPERLINK("http://www.openstreetmap.org/?mlat=33.538&amp;mlon=44.3247&amp;zoom=12#map=12/33.538/44.3247","Maplink1")</f>
        <v>Maplink1</v>
      </c>
      <c r="AT614" s="20" t="str">
        <f aca="false">HYPERLINK("https://www.google.iq/maps/search/+33.538,44.3247/@33.538,44.3247,14z?hl=en","Maplink2")</f>
        <v>Maplink2</v>
      </c>
      <c r="AU614" s="20" t="str">
        <f aca="false">HYPERLINK("http://www.bing.com/maps/?lvl=14&amp;sty=h&amp;cp=33.538~44.3247&amp;sp=point.33.538_44.3247","Maplink3")</f>
        <v>Maplink3</v>
      </c>
    </row>
    <row r="615" customFormat="false" ht="15" hidden="false" customHeight="true" outlineLevel="0" collapsed="false">
      <c r="A615" s="15" t="n">
        <v>25619</v>
      </c>
      <c r="B615" s="16" t="s">
        <v>17</v>
      </c>
      <c r="C615" s="16" t="s">
        <v>1091</v>
      </c>
      <c r="D615" s="16" t="s">
        <v>1226</v>
      </c>
      <c r="E615" s="17" t="s">
        <v>1227</v>
      </c>
      <c r="F615" s="16" t="n">
        <v>33.35946215</v>
      </c>
      <c r="G615" s="16" t="n">
        <v>44.387588</v>
      </c>
      <c r="H615" s="18" t="n">
        <v>30</v>
      </c>
      <c r="I615" s="18" t="n">
        <v>180</v>
      </c>
      <c r="J615" s="19" t="n">
        <v>4</v>
      </c>
      <c r="K615" s="19"/>
      <c r="L615" s="19"/>
      <c r="M615" s="19"/>
      <c r="N615" s="19"/>
      <c r="O615" s="19" t="n">
        <v>5</v>
      </c>
      <c r="P615" s="19"/>
      <c r="Q615" s="19"/>
      <c r="R615" s="19"/>
      <c r="S615" s="19"/>
      <c r="T615" s="19"/>
      <c r="U615" s="19"/>
      <c r="V615" s="19" t="n">
        <v>19</v>
      </c>
      <c r="W615" s="19"/>
      <c r="X615" s="19" t="n">
        <v>2</v>
      </c>
      <c r="Y615" s="19"/>
      <c r="Z615" s="19"/>
      <c r="AA615" s="19"/>
      <c r="AB615" s="19"/>
      <c r="AC615" s="19"/>
      <c r="AD615" s="19"/>
      <c r="AE615" s="19"/>
      <c r="AF615" s="19" t="n">
        <v>23</v>
      </c>
      <c r="AG615" s="19"/>
      <c r="AH615" s="19" t="n">
        <v>7</v>
      </c>
      <c r="AI615" s="19"/>
      <c r="AJ615" s="19"/>
      <c r="AK615" s="19"/>
      <c r="AL615" s="19"/>
      <c r="AM615" s="19" t="n">
        <v>23</v>
      </c>
      <c r="AN615" s="19" t="n">
        <v>2</v>
      </c>
      <c r="AO615" s="19" t="n">
        <v>3</v>
      </c>
      <c r="AP615" s="19" t="n">
        <v>2</v>
      </c>
      <c r="AQ615" s="19"/>
      <c r="AR615" s="19"/>
      <c r="AS615" s="20" t="str">
        <f aca="false">HYPERLINK("http://www.openstreetmap.org/?mlat=33.3595&amp;mlon=44.3876&amp;zoom=12#map=12/33.3595/44.3876","Maplink1")</f>
        <v>Maplink1</v>
      </c>
      <c r="AT615" s="20" t="str">
        <f aca="false">HYPERLINK("https://www.google.iq/maps/search/+33.3595,44.3876/@33.3595,44.3876,14z?hl=en","Maplink2")</f>
        <v>Maplink2</v>
      </c>
      <c r="AU615" s="20" t="str">
        <f aca="false">HYPERLINK("http://www.bing.com/maps/?lvl=14&amp;sty=h&amp;cp=33.3595~44.3876&amp;sp=point.33.3595_44.3876","Maplink3")</f>
        <v>Maplink3</v>
      </c>
    </row>
    <row r="616" customFormat="false" ht="15" hidden="false" customHeight="true" outlineLevel="0" collapsed="false">
      <c r="A616" s="15" t="n">
        <v>24006</v>
      </c>
      <c r="B616" s="16" t="s">
        <v>17</v>
      </c>
      <c r="C616" s="16" t="s">
        <v>1091</v>
      </c>
      <c r="D616" s="16" t="s">
        <v>1228</v>
      </c>
      <c r="E616" s="17" t="s">
        <v>1229</v>
      </c>
      <c r="F616" s="16" t="n">
        <v>33.37497016</v>
      </c>
      <c r="G616" s="16" t="n">
        <v>44.3949509</v>
      </c>
      <c r="H616" s="18" t="n">
        <v>7</v>
      </c>
      <c r="I616" s="18" t="n">
        <v>42</v>
      </c>
      <c r="J616" s="19" t="n">
        <v>2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 t="n">
        <v>3</v>
      </c>
      <c r="W616" s="19"/>
      <c r="X616" s="19" t="n">
        <v>2</v>
      </c>
      <c r="Y616" s="19"/>
      <c r="Z616" s="19"/>
      <c r="AA616" s="19"/>
      <c r="AB616" s="19"/>
      <c r="AC616" s="19"/>
      <c r="AD616" s="19"/>
      <c r="AE616" s="19"/>
      <c r="AF616" s="19"/>
      <c r="AG616" s="19"/>
      <c r="AH616" s="19" t="n">
        <v>7</v>
      </c>
      <c r="AI616" s="19"/>
      <c r="AJ616" s="19"/>
      <c r="AK616" s="19"/>
      <c r="AL616" s="19"/>
      <c r="AM616" s="19"/>
      <c r="AN616" s="19" t="n">
        <v>3</v>
      </c>
      <c r="AO616" s="19" t="n">
        <v>4</v>
      </c>
      <c r="AP616" s="19"/>
      <c r="AQ616" s="19"/>
      <c r="AR616" s="19"/>
      <c r="AS616" s="20" t="str">
        <f aca="false">HYPERLINK("http://www.openstreetmap.org/?mlat=33.375&amp;mlon=44.395&amp;zoom=12#map=12/33.375/44.395","Maplink1")</f>
        <v>Maplink1</v>
      </c>
      <c r="AT616" s="20" t="str">
        <f aca="false">HYPERLINK("https://www.google.iq/maps/search/+33.375,44.395/@33.375,44.395,14z?hl=en","Maplink2")</f>
        <v>Maplink2</v>
      </c>
      <c r="AU616" s="20" t="str">
        <f aca="false">HYPERLINK("http://www.bing.com/maps/?lvl=14&amp;sty=h&amp;cp=33.375~44.395&amp;sp=point.33.375_44.395","Maplink3")</f>
        <v>Maplink3</v>
      </c>
    </row>
    <row r="617" customFormat="false" ht="15" hidden="false" customHeight="true" outlineLevel="0" collapsed="false">
      <c r="A617" s="15" t="n">
        <v>24759</v>
      </c>
      <c r="B617" s="16" t="s">
        <v>17</v>
      </c>
      <c r="C617" s="16" t="s">
        <v>1091</v>
      </c>
      <c r="D617" s="16" t="s">
        <v>1230</v>
      </c>
      <c r="E617" s="17" t="s">
        <v>1231</v>
      </c>
      <c r="F617" s="16" t="n">
        <v>33.472742434</v>
      </c>
      <c r="G617" s="16" t="n">
        <v>44.3829206407</v>
      </c>
      <c r="H617" s="18" t="n">
        <v>95</v>
      </c>
      <c r="I617" s="18" t="n">
        <v>570</v>
      </c>
      <c r="J617" s="19" t="n">
        <v>2</v>
      </c>
      <c r="K617" s="19"/>
      <c r="L617" s="19"/>
      <c r="M617" s="19"/>
      <c r="N617" s="19"/>
      <c r="O617" s="19" t="n">
        <v>3</v>
      </c>
      <c r="P617" s="19"/>
      <c r="Q617" s="19"/>
      <c r="R617" s="19"/>
      <c r="S617" s="19"/>
      <c r="T617" s="19"/>
      <c r="U617" s="19"/>
      <c r="V617" s="19" t="n">
        <v>89</v>
      </c>
      <c r="W617" s="19"/>
      <c r="X617" s="19" t="n">
        <v>1</v>
      </c>
      <c r="Y617" s="19"/>
      <c r="Z617" s="19"/>
      <c r="AA617" s="19"/>
      <c r="AB617" s="19" t="n">
        <v>95</v>
      </c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 t="n">
        <v>87</v>
      </c>
      <c r="AN617" s="19"/>
      <c r="AO617" s="19" t="n">
        <v>2</v>
      </c>
      <c r="AP617" s="19" t="n">
        <v>4</v>
      </c>
      <c r="AQ617" s="19"/>
      <c r="AR617" s="19" t="n">
        <v>2</v>
      </c>
      <c r="AS617" s="20" t="str">
        <f aca="false">HYPERLINK("http://www.openstreetmap.org/?mlat=33.4727&amp;mlon=44.3829&amp;zoom=12#map=12/33.4727/44.3829","Maplink1")</f>
        <v>Maplink1</v>
      </c>
      <c r="AT617" s="20" t="str">
        <f aca="false">HYPERLINK("https://www.google.iq/maps/search/+33.4727,44.3829/@33.4727,44.3829,14z?hl=en","Maplink2")</f>
        <v>Maplink2</v>
      </c>
      <c r="AU617" s="20" t="str">
        <f aca="false">HYPERLINK("http://www.bing.com/maps/?lvl=14&amp;sty=h&amp;cp=33.4727~44.3829&amp;sp=point.33.4727_44.3829","Maplink3")</f>
        <v>Maplink3</v>
      </c>
    </row>
    <row r="618" customFormat="false" ht="15" hidden="false" customHeight="true" outlineLevel="0" collapsed="false">
      <c r="A618" s="15" t="n">
        <v>7302</v>
      </c>
      <c r="B618" s="16" t="s">
        <v>17</v>
      </c>
      <c r="C618" s="16" t="s">
        <v>1091</v>
      </c>
      <c r="D618" s="16" t="s">
        <v>1232</v>
      </c>
      <c r="E618" s="17" t="s">
        <v>1233</v>
      </c>
      <c r="F618" s="16" t="n">
        <v>33.536216</v>
      </c>
      <c r="G618" s="16" t="n">
        <v>44.3482725</v>
      </c>
      <c r="H618" s="18" t="n">
        <v>20</v>
      </c>
      <c r="I618" s="18" t="n">
        <v>120</v>
      </c>
      <c r="J618" s="19"/>
      <c r="K618" s="19"/>
      <c r="L618" s="19"/>
      <c r="M618" s="19"/>
      <c r="N618" s="19"/>
      <c r="O618" s="19" t="n">
        <v>6</v>
      </c>
      <c r="P618" s="19"/>
      <c r="Q618" s="19"/>
      <c r="R618" s="19"/>
      <c r="S618" s="19"/>
      <c r="T618" s="19"/>
      <c r="U618" s="19"/>
      <c r="V618" s="19"/>
      <c r="W618" s="19"/>
      <c r="X618" s="19" t="n">
        <v>14</v>
      </c>
      <c r="Y618" s="19"/>
      <c r="Z618" s="19"/>
      <c r="AA618" s="19"/>
      <c r="AB618" s="19"/>
      <c r="AC618" s="19" t="n">
        <v>9</v>
      </c>
      <c r="AD618" s="19"/>
      <c r="AE618" s="19"/>
      <c r="AF618" s="19"/>
      <c r="AG618" s="19"/>
      <c r="AH618" s="19" t="n">
        <v>11</v>
      </c>
      <c r="AI618" s="19"/>
      <c r="AJ618" s="19"/>
      <c r="AK618" s="19"/>
      <c r="AL618" s="19"/>
      <c r="AM618" s="19"/>
      <c r="AN618" s="19" t="n">
        <v>15</v>
      </c>
      <c r="AO618" s="19" t="n">
        <v>2</v>
      </c>
      <c r="AP618" s="19"/>
      <c r="AQ618" s="19" t="n">
        <v>3</v>
      </c>
      <c r="AR618" s="19"/>
      <c r="AS618" s="20" t="str">
        <f aca="false">HYPERLINK("http://www.openstreetmap.org/?mlat=33.5362&amp;mlon=44.3483&amp;zoom=12#map=12/33.5362/44.3483","Maplink1")</f>
        <v>Maplink1</v>
      </c>
      <c r="AT618" s="20" t="str">
        <f aca="false">HYPERLINK("https://www.google.iq/maps/search/+33.5362,44.3483/@33.5362,44.3483,14z?hl=en","Maplink2")</f>
        <v>Maplink2</v>
      </c>
      <c r="AU618" s="20" t="str">
        <f aca="false">HYPERLINK("http://www.bing.com/maps/?lvl=14&amp;sty=h&amp;cp=33.5362~44.3483&amp;sp=point.33.5362_44.3483","Maplink3")</f>
        <v>Maplink3</v>
      </c>
    </row>
    <row r="619" customFormat="false" ht="15" hidden="false" customHeight="true" outlineLevel="0" collapsed="false">
      <c r="A619" s="15" t="n">
        <v>25216</v>
      </c>
      <c r="B619" s="16" t="s">
        <v>17</v>
      </c>
      <c r="C619" s="16" t="s">
        <v>1091</v>
      </c>
      <c r="D619" s="16" t="s">
        <v>1234</v>
      </c>
      <c r="E619" s="17" t="s">
        <v>1235</v>
      </c>
      <c r="F619" s="16" t="n">
        <v>33.56016</v>
      </c>
      <c r="G619" s="16" t="n">
        <v>44.35535</v>
      </c>
      <c r="H619" s="18" t="n">
        <v>11</v>
      </c>
      <c r="I619" s="18" t="n">
        <v>66</v>
      </c>
      <c r="J619" s="19"/>
      <c r="K619" s="19"/>
      <c r="L619" s="19"/>
      <c r="M619" s="19"/>
      <c r="N619" s="19"/>
      <c r="O619" s="19" t="n">
        <v>2</v>
      </c>
      <c r="P619" s="19"/>
      <c r="Q619" s="19"/>
      <c r="R619" s="19"/>
      <c r="S619" s="19"/>
      <c r="T619" s="19"/>
      <c r="U619" s="19"/>
      <c r="V619" s="19" t="n">
        <v>9</v>
      </c>
      <c r="W619" s="19"/>
      <c r="X619" s="19"/>
      <c r="Y619" s="19"/>
      <c r="Z619" s="19"/>
      <c r="AA619" s="19"/>
      <c r="AB619" s="19"/>
      <c r="AC619" s="19" t="n">
        <v>11</v>
      </c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 t="n">
        <v>11</v>
      </c>
      <c r="AP619" s="19"/>
      <c r="AQ619" s="19"/>
      <c r="AR619" s="19"/>
      <c r="AS619" s="20" t="str">
        <f aca="false">HYPERLINK("http://www.openstreetmap.org/?mlat=33.5602&amp;mlon=44.3554&amp;zoom=12#map=12/33.5602/44.3554","Maplink1")</f>
        <v>Maplink1</v>
      </c>
      <c r="AT619" s="20" t="str">
        <f aca="false">HYPERLINK("https://www.google.iq/maps/search/+33.5602,44.3554/@33.5602,44.3554,14z?hl=en","Maplink2")</f>
        <v>Maplink2</v>
      </c>
      <c r="AU619" s="20" t="str">
        <f aca="false">HYPERLINK("http://www.bing.com/maps/?lvl=14&amp;sty=h&amp;cp=33.5602~44.3554&amp;sp=point.33.5602_44.3554","Maplink3")</f>
        <v>Maplink3</v>
      </c>
    </row>
    <row r="620" customFormat="false" ht="15" hidden="false" customHeight="true" outlineLevel="0" collapsed="false">
      <c r="A620" s="15" t="n">
        <v>25394</v>
      </c>
      <c r="B620" s="16" t="s">
        <v>17</v>
      </c>
      <c r="C620" s="16" t="s">
        <v>1091</v>
      </c>
      <c r="D620" s="16" t="s">
        <v>1236</v>
      </c>
      <c r="E620" s="17" t="s">
        <v>1237</v>
      </c>
      <c r="F620" s="16" t="n">
        <v>33.4702525934</v>
      </c>
      <c r="G620" s="16" t="n">
        <v>44.3824935572</v>
      </c>
      <c r="H620" s="18" t="n">
        <v>19</v>
      </c>
      <c r="I620" s="18" t="n">
        <v>114</v>
      </c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 t="n">
        <v>19</v>
      </c>
      <c r="W620" s="19"/>
      <c r="X620" s="19"/>
      <c r="Y620" s="19"/>
      <c r="Z620" s="19"/>
      <c r="AA620" s="19"/>
      <c r="AB620" s="19"/>
      <c r="AC620" s="19" t="n">
        <v>4</v>
      </c>
      <c r="AD620" s="19"/>
      <c r="AE620" s="19"/>
      <c r="AF620" s="19"/>
      <c r="AG620" s="19"/>
      <c r="AH620" s="19" t="n">
        <v>15</v>
      </c>
      <c r="AI620" s="19"/>
      <c r="AJ620" s="19"/>
      <c r="AK620" s="19"/>
      <c r="AL620" s="19"/>
      <c r="AM620" s="19" t="n">
        <v>17</v>
      </c>
      <c r="AN620" s="19"/>
      <c r="AO620" s="19" t="n">
        <v>2</v>
      </c>
      <c r="AP620" s="19"/>
      <c r="AQ620" s="19"/>
      <c r="AR620" s="19"/>
      <c r="AS620" s="20" t="str">
        <f aca="false">HYPERLINK("http://www.openstreetmap.org/?mlat=33.4703&amp;mlon=44.3825&amp;zoom=12#map=12/33.4703/44.3825","Maplink1")</f>
        <v>Maplink1</v>
      </c>
      <c r="AT620" s="20" t="str">
        <f aca="false">HYPERLINK("https://www.google.iq/maps/search/+33.4703,44.3825/@33.4703,44.3825,14z?hl=en","Maplink2")</f>
        <v>Maplink2</v>
      </c>
      <c r="AU620" s="20" t="str">
        <f aca="false">HYPERLINK("http://www.bing.com/maps/?lvl=14&amp;sty=h&amp;cp=33.4703~44.3825&amp;sp=point.33.4703_44.3825","Maplink3")</f>
        <v>Maplink3</v>
      </c>
    </row>
    <row r="621" customFormat="false" ht="15" hidden="false" customHeight="true" outlineLevel="0" collapsed="false">
      <c r="A621" s="15" t="n">
        <v>25395</v>
      </c>
      <c r="B621" s="16" t="s">
        <v>17</v>
      </c>
      <c r="C621" s="16" t="s">
        <v>1091</v>
      </c>
      <c r="D621" s="16" t="s">
        <v>1238</v>
      </c>
      <c r="E621" s="17" t="s">
        <v>1239</v>
      </c>
      <c r="F621" s="16" t="n">
        <v>33.44037678</v>
      </c>
      <c r="G621" s="16" t="n">
        <v>44.38127634</v>
      </c>
      <c r="H621" s="18" t="n">
        <v>13</v>
      </c>
      <c r="I621" s="18" t="n">
        <v>78</v>
      </c>
      <c r="J621" s="19"/>
      <c r="K621" s="19"/>
      <c r="L621" s="19"/>
      <c r="M621" s="19"/>
      <c r="N621" s="19"/>
      <c r="O621" s="19" t="n">
        <v>10</v>
      </c>
      <c r="P621" s="19"/>
      <c r="Q621" s="19"/>
      <c r="R621" s="19"/>
      <c r="S621" s="19"/>
      <c r="T621" s="19"/>
      <c r="U621" s="19"/>
      <c r="V621" s="19"/>
      <c r="W621" s="19"/>
      <c r="X621" s="19" t="n">
        <v>3</v>
      </c>
      <c r="Y621" s="19"/>
      <c r="Z621" s="19"/>
      <c r="AA621" s="19"/>
      <c r="AB621" s="19"/>
      <c r="AC621" s="19" t="n">
        <v>13</v>
      </c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 t="n">
        <v>13</v>
      </c>
      <c r="AO621" s="19"/>
      <c r="AP621" s="19"/>
      <c r="AQ621" s="19"/>
      <c r="AR621" s="19"/>
      <c r="AS621" s="20" t="str">
        <f aca="false">HYPERLINK("http://www.openstreetmap.org/?mlat=33.4404&amp;mlon=44.3813&amp;zoom=12#map=12/33.4404/44.3813","Maplink1")</f>
        <v>Maplink1</v>
      </c>
      <c r="AT621" s="20" t="str">
        <f aca="false">HYPERLINK("https://www.google.iq/maps/search/+33.4404,44.3813/@33.4404,44.3813,14z?hl=en","Maplink2")</f>
        <v>Maplink2</v>
      </c>
      <c r="AU621" s="20" t="str">
        <f aca="false">HYPERLINK("http://www.bing.com/maps/?lvl=14&amp;sty=h&amp;cp=33.4404~44.3813&amp;sp=point.33.4404_44.3813","Maplink3")</f>
        <v>Maplink3</v>
      </c>
    </row>
    <row r="622" customFormat="false" ht="15" hidden="false" customHeight="true" outlineLevel="0" collapsed="false">
      <c r="A622" s="15" t="n">
        <v>25397</v>
      </c>
      <c r="B622" s="16" t="s">
        <v>17</v>
      </c>
      <c r="C622" s="16" t="s">
        <v>1091</v>
      </c>
      <c r="D622" s="16" t="s">
        <v>1240</v>
      </c>
      <c r="E622" s="17" t="s">
        <v>1241</v>
      </c>
      <c r="F622" s="16" t="n">
        <v>33.46543</v>
      </c>
      <c r="G622" s="16" t="n">
        <v>44.38844</v>
      </c>
      <c r="H622" s="18" t="n">
        <v>112</v>
      </c>
      <c r="I622" s="18" t="n">
        <v>672</v>
      </c>
      <c r="J622" s="19" t="n">
        <v>64</v>
      </c>
      <c r="K622" s="19"/>
      <c r="L622" s="19"/>
      <c r="M622" s="19"/>
      <c r="N622" s="19"/>
      <c r="O622" s="19" t="n">
        <v>23</v>
      </c>
      <c r="P622" s="19"/>
      <c r="Q622" s="19"/>
      <c r="R622" s="19"/>
      <c r="S622" s="19"/>
      <c r="T622" s="19"/>
      <c r="U622" s="19"/>
      <c r="V622" s="19" t="n">
        <v>25</v>
      </c>
      <c r="W622" s="19"/>
      <c r="X622" s="19"/>
      <c r="Y622" s="19"/>
      <c r="Z622" s="19"/>
      <c r="AA622" s="19"/>
      <c r="AB622" s="19"/>
      <c r="AC622" s="19" t="n">
        <v>33</v>
      </c>
      <c r="AD622" s="19"/>
      <c r="AE622" s="19"/>
      <c r="AF622" s="19"/>
      <c r="AG622" s="19"/>
      <c r="AH622" s="19" t="n">
        <v>79</v>
      </c>
      <c r="AI622" s="19"/>
      <c r="AJ622" s="19"/>
      <c r="AK622" s="19"/>
      <c r="AL622" s="19"/>
      <c r="AM622" s="19" t="n">
        <v>16</v>
      </c>
      <c r="AN622" s="19" t="n">
        <v>29</v>
      </c>
      <c r="AO622" s="19"/>
      <c r="AP622" s="19" t="n">
        <v>64</v>
      </c>
      <c r="AQ622" s="19"/>
      <c r="AR622" s="19" t="n">
        <v>3</v>
      </c>
      <c r="AS622" s="20" t="str">
        <f aca="false">HYPERLINK("http://www.openstreetmap.org/?mlat=33.4654&amp;mlon=44.3884&amp;zoom=12#map=12/33.4654/44.3884","Maplink1")</f>
        <v>Maplink1</v>
      </c>
      <c r="AT622" s="20" t="str">
        <f aca="false">HYPERLINK("https://www.google.iq/maps/search/+33.4654,44.3884/@33.4654,44.3884,14z?hl=en","Maplink2")</f>
        <v>Maplink2</v>
      </c>
      <c r="AU622" s="20" t="str">
        <f aca="false">HYPERLINK("http://www.bing.com/maps/?lvl=14&amp;sty=h&amp;cp=33.4654~44.3884&amp;sp=point.33.4654_44.3884","Maplink3")</f>
        <v>Maplink3</v>
      </c>
    </row>
    <row r="623" customFormat="false" ht="15" hidden="false" customHeight="true" outlineLevel="0" collapsed="false">
      <c r="A623" s="15" t="n">
        <v>25396</v>
      </c>
      <c r="B623" s="16" t="s">
        <v>17</v>
      </c>
      <c r="C623" s="16" t="s">
        <v>1091</v>
      </c>
      <c r="D623" s="16" t="s">
        <v>1242</v>
      </c>
      <c r="E623" s="17" t="s">
        <v>1243</v>
      </c>
      <c r="F623" s="16" t="n">
        <v>33.46847</v>
      </c>
      <c r="G623" s="16" t="n">
        <v>44.38916</v>
      </c>
      <c r="H623" s="18" t="n">
        <v>56</v>
      </c>
      <c r="I623" s="18" t="n">
        <v>336</v>
      </c>
      <c r="J623" s="19" t="n">
        <v>15</v>
      </c>
      <c r="K623" s="19"/>
      <c r="L623" s="19"/>
      <c r="M623" s="19"/>
      <c r="N623" s="19"/>
      <c r="O623" s="19" t="n">
        <v>20</v>
      </c>
      <c r="P623" s="19"/>
      <c r="Q623" s="19"/>
      <c r="R623" s="19"/>
      <c r="S623" s="19"/>
      <c r="T623" s="19"/>
      <c r="U623" s="19"/>
      <c r="V623" s="19"/>
      <c r="W623" s="19"/>
      <c r="X623" s="19" t="n">
        <v>21</v>
      </c>
      <c r="Y623" s="19"/>
      <c r="Z623" s="19"/>
      <c r="AA623" s="19"/>
      <c r="AB623" s="19"/>
      <c r="AC623" s="19" t="n">
        <v>24</v>
      </c>
      <c r="AD623" s="19"/>
      <c r="AE623" s="19"/>
      <c r="AF623" s="19"/>
      <c r="AG623" s="19"/>
      <c r="AH623" s="19" t="n">
        <v>32</v>
      </c>
      <c r="AI623" s="19"/>
      <c r="AJ623" s="19"/>
      <c r="AK623" s="19"/>
      <c r="AL623" s="19"/>
      <c r="AM623" s="19"/>
      <c r="AN623" s="19" t="n">
        <v>15</v>
      </c>
      <c r="AO623" s="19" t="n">
        <v>16</v>
      </c>
      <c r="AP623" s="19" t="n">
        <v>25</v>
      </c>
      <c r="AQ623" s="19"/>
      <c r="AR623" s="19"/>
      <c r="AS623" s="20" t="str">
        <f aca="false">HYPERLINK("http://www.openstreetmap.org/?mlat=33.4685&amp;mlon=44.3892&amp;zoom=12#map=12/33.4685/44.3892","Maplink1")</f>
        <v>Maplink1</v>
      </c>
      <c r="AT623" s="20" t="str">
        <f aca="false">HYPERLINK("https://www.google.iq/maps/search/+33.4685,44.3892/@33.4685,44.3892,14z?hl=en","Maplink2")</f>
        <v>Maplink2</v>
      </c>
      <c r="AU623" s="20" t="str">
        <f aca="false">HYPERLINK("http://www.bing.com/maps/?lvl=14&amp;sty=h&amp;cp=33.4685~44.3892&amp;sp=point.33.4685_44.3892","Maplink3")</f>
        <v>Maplink3</v>
      </c>
    </row>
    <row r="624" customFormat="false" ht="15" hidden="false" customHeight="true" outlineLevel="0" collapsed="false">
      <c r="A624" s="15" t="n">
        <v>25398</v>
      </c>
      <c r="B624" s="16" t="s">
        <v>17</v>
      </c>
      <c r="C624" s="16" t="s">
        <v>1091</v>
      </c>
      <c r="D624" s="16" t="s">
        <v>1244</v>
      </c>
      <c r="E624" s="17" t="s">
        <v>1245</v>
      </c>
      <c r="F624" s="16" t="n">
        <v>33.4607</v>
      </c>
      <c r="G624" s="16" t="n">
        <v>44.38583</v>
      </c>
      <c r="H624" s="18" t="n">
        <v>29</v>
      </c>
      <c r="I624" s="18" t="n">
        <v>174</v>
      </c>
      <c r="J624" s="19" t="n">
        <v>6</v>
      </c>
      <c r="K624" s="19"/>
      <c r="L624" s="19"/>
      <c r="M624" s="19"/>
      <c r="N624" s="19"/>
      <c r="O624" s="19" t="n">
        <v>10</v>
      </c>
      <c r="P624" s="19"/>
      <c r="Q624" s="19"/>
      <c r="R624" s="19"/>
      <c r="S624" s="19"/>
      <c r="T624" s="19"/>
      <c r="U624" s="19"/>
      <c r="V624" s="19"/>
      <c r="W624" s="19"/>
      <c r="X624" s="19" t="n">
        <v>13</v>
      </c>
      <c r="Y624" s="19"/>
      <c r="Z624" s="19"/>
      <c r="AA624" s="19"/>
      <c r="AB624" s="19"/>
      <c r="AC624" s="19" t="n">
        <v>11</v>
      </c>
      <c r="AD624" s="19"/>
      <c r="AE624" s="19"/>
      <c r="AF624" s="19"/>
      <c r="AG624" s="19"/>
      <c r="AH624" s="19" t="n">
        <v>18</v>
      </c>
      <c r="AI624" s="19"/>
      <c r="AJ624" s="19"/>
      <c r="AK624" s="19"/>
      <c r="AL624" s="19"/>
      <c r="AM624" s="19"/>
      <c r="AN624" s="19" t="n">
        <v>15</v>
      </c>
      <c r="AO624" s="19" t="n">
        <v>8</v>
      </c>
      <c r="AP624" s="19" t="n">
        <v>6</v>
      </c>
      <c r="AQ624" s="19"/>
      <c r="AR624" s="19"/>
      <c r="AS624" s="20" t="str">
        <f aca="false">HYPERLINK("http://www.openstreetmap.org/?mlat=33.4607&amp;mlon=44.3858&amp;zoom=12#map=12/33.4607/44.3858","Maplink1")</f>
        <v>Maplink1</v>
      </c>
      <c r="AT624" s="20" t="str">
        <f aca="false">HYPERLINK("https://www.google.iq/maps/search/+33.4607,44.3858/@33.4607,44.3858,14z?hl=en","Maplink2")</f>
        <v>Maplink2</v>
      </c>
      <c r="AU624" s="20" t="str">
        <f aca="false">HYPERLINK("http://www.bing.com/maps/?lvl=14&amp;sty=h&amp;cp=33.4607~44.3858&amp;sp=point.33.4607_44.3858","Maplink3")</f>
        <v>Maplink3</v>
      </c>
    </row>
    <row r="625" customFormat="false" ht="15" hidden="false" customHeight="true" outlineLevel="0" collapsed="false">
      <c r="A625" s="15" t="n">
        <v>24988</v>
      </c>
      <c r="B625" s="16" t="s">
        <v>17</v>
      </c>
      <c r="C625" s="16" t="s">
        <v>1091</v>
      </c>
      <c r="D625" s="16" t="s">
        <v>1246</v>
      </c>
      <c r="E625" s="17" t="s">
        <v>1247</v>
      </c>
      <c r="F625" s="16" t="n">
        <v>33.45354245</v>
      </c>
      <c r="G625" s="16" t="n">
        <v>44.34530718</v>
      </c>
      <c r="H625" s="18" t="n">
        <v>144</v>
      </c>
      <c r="I625" s="18" t="n">
        <v>864</v>
      </c>
      <c r="J625" s="19" t="n">
        <v>75</v>
      </c>
      <c r="K625" s="19"/>
      <c r="L625" s="19"/>
      <c r="M625" s="19"/>
      <c r="N625" s="19"/>
      <c r="O625" s="19" t="n">
        <v>30</v>
      </c>
      <c r="P625" s="19"/>
      <c r="Q625" s="19"/>
      <c r="R625" s="19" t="n">
        <v>6</v>
      </c>
      <c r="S625" s="19"/>
      <c r="T625" s="19"/>
      <c r="U625" s="19"/>
      <c r="V625" s="19" t="n">
        <v>8</v>
      </c>
      <c r="W625" s="19"/>
      <c r="X625" s="19" t="n">
        <v>25</v>
      </c>
      <c r="Y625" s="19"/>
      <c r="Z625" s="19"/>
      <c r="AA625" s="19"/>
      <c r="AB625" s="19"/>
      <c r="AC625" s="19" t="n">
        <v>35</v>
      </c>
      <c r="AD625" s="19"/>
      <c r="AE625" s="19"/>
      <c r="AF625" s="19"/>
      <c r="AG625" s="19"/>
      <c r="AH625" s="19" t="n">
        <v>84</v>
      </c>
      <c r="AI625" s="19"/>
      <c r="AJ625" s="19" t="n">
        <v>25</v>
      </c>
      <c r="AK625" s="19"/>
      <c r="AL625" s="19" t="n">
        <v>22</v>
      </c>
      <c r="AM625" s="19"/>
      <c r="AN625" s="19" t="n">
        <v>86</v>
      </c>
      <c r="AO625" s="19" t="n">
        <v>11</v>
      </c>
      <c r="AP625" s="19" t="n">
        <v>11</v>
      </c>
      <c r="AQ625" s="19"/>
      <c r="AR625" s="19" t="n">
        <v>14</v>
      </c>
      <c r="AS625" s="20" t="str">
        <f aca="false">HYPERLINK("http://www.openstreetmap.org/?mlat=33.4535&amp;mlon=44.3453&amp;zoom=12#map=12/33.4535/44.3453","Maplink1")</f>
        <v>Maplink1</v>
      </c>
      <c r="AT625" s="20" t="str">
        <f aca="false">HYPERLINK("https://www.google.iq/maps/search/+33.4535,44.3453/@33.4535,44.3453,14z?hl=en","Maplink2")</f>
        <v>Maplink2</v>
      </c>
      <c r="AU625" s="20" t="str">
        <f aca="false">HYPERLINK("http://www.bing.com/maps/?lvl=14&amp;sty=h&amp;cp=33.4535~44.3453&amp;sp=point.33.4535_44.3453","Maplink3")</f>
        <v>Maplink3</v>
      </c>
    </row>
    <row r="626" customFormat="false" ht="15" hidden="false" customHeight="true" outlineLevel="0" collapsed="false">
      <c r="A626" s="15" t="n">
        <v>25215</v>
      </c>
      <c r="B626" s="16" t="s">
        <v>17</v>
      </c>
      <c r="C626" s="16" t="s">
        <v>1091</v>
      </c>
      <c r="D626" s="16" t="s">
        <v>1248</v>
      </c>
      <c r="E626" s="17" t="s">
        <v>1249</v>
      </c>
      <c r="F626" s="16" t="n">
        <v>33.55004</v>
      </c>
      <c r="G626" s="16" t="n">
        <v>44.34983</v>
      </c>
      <c r="H626" s="18" t="n">
        <v>5</v>
      </c>
      <c r="I626" s="18" t="n">
        <v>30</v>
      </c>
      <c r="J626" s="19" t="n">
        <v>2</v>
      </c>
      <c r="K626" s="19"/>
      <c r="L626" s="19"/>
      <c r="M626" s="19"/>
      <c r="N626" s="19"/>
      <c r="O626" s="19" t="n">
        <v>3</v>
      </c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 t="n">
        <v>5</v>
      </c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 t="n">
        <v>5</v>
      </c>
      <c r="AP626" s="19"/>
      <c r="AQ626" s="19"/>
      <c r="AR626" s="19"/>
      <c r="AS626" s="20" t="str">
        <f aca="false">HYPERLINK("http://www.openstreetmap.org/?mlat=33.55&amp;mlon=44.3498&amp;zoom=12#map=12/33.55/44.3498","Maplink1")</f>
        <v>Maplink1</v>
      </c>
      <c r="AT626" s="20" t="str">
        <f aca="false">HYPERLINK("https://www.google.iq/maps/search/+33.55,44.3498/@33.55,44.3498,14z?hl=en","Maplink2")</f>
        <v>Maplink2</v>
      </c>
      <c r="AU626" s="20" t="str">
        <f aca="false">HYPERLINK("http://www.bing.com/maps/?lvl=14&amp;sty=h&amp;cp=33.55~44.3498&amp;sp=point.33.55_44.3498","Maplink3")</f>
        <v>Maplink3</v>
      </c>
    </row>
    <row r="627" customFormat="false" ht="15" hidden="false" customHeight="true" outlineLevel="0" collapsed="false">
      <c r="A627" s="15" t="n">
        <v>24176</v>
      </c>
      <c r="B627" s="16" t="s">
        <v>17</v>
      </c>
      <c r="C627" s="16" t="s">
        <v>1091</v>
      </c>
      <c r="D627" s="16" t="s">
        <v>1250</v>
      </c>
      <c r="E627" s="17" t="s">
        <v>1251</v>
      </c>
      <c r="F627" s="16" t="n">
        <v>33.39174247</v>
      </c>
      <c r="G627" s="16" t="n">
        <v>44.35819166</v>
      </c>
      <c r="H627" s="18" t="n">
        <v>208</v>
      </c>
      <c r="I627" s="18" t="n">
        <v>1248</v>
      </c>
      <c r="J627" s="19" t="n">
        <v>173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 t="n">
        <v>16</v>
      </c>
      <c r="W627" s="19"/>
      <c r="X627" s="19" t="n">
        <v>19</v>
      </c>
      <c r="Y627" s="19"/>
      <c r="Z627" s="19"/>
      <c r="AA627" s="19"/>
      <c r="AB627" s="19"/>
      <c r="AC627" s="19" t="n">
        <v>77</v>
      </c>
      <c r="AD627" s="19"/>
      <c r="AE627" s="19"/>
      <c r="AF627" s="19"/>
      <c r="AG627" s="19"/>
      <c r="AH627" s="19" t="n">
        <v>131</v>
      </c>
      <c r="AI627" s="19"/>
      <c r="AJ627" s="19"/>
      <c r="AK627" s="19"/>
      <c r="AL627" s="19" t="n">
        <v>33</v>
      </c>
      <c r="AM627" s="19" t="n">
        <v>57</v>
      </c>
      <c r="AN627" s="19"/>
      <c r="AO627" s="19" t="n">
        <v>59</v>
      </c>
      <c r="AP627" s="19" t="n">
        <v>49</v>
      </c>
      <c r="AQ627" s="19"/>
      <c r="AR627" s="19" t="n">
        <v>10</v>
      </c>
      <c r="AS627" s="20" t="str">
        <f aca="false">HYPERLINK("http://www.openstreetmap.org/?mlat=33.3917&amp;mlon=44.3582&amp;zoom=12#map=12/33.3917/44.3582","Maplink1")</f>
        <v>Maplink1</v>
      </c>
      <c r="AT627" s="20" t="str">
        <f aca="false">HYPERLINK("https://www.google.iq/maps/search/+33.3917,44.3582/@33.3917,44.3582,14z?hl=en","Maplink2")</f>
        <v>Maplink2</v>
      </c>
      <c r="AU627" s="20" t="str">
        <f aca="false">HYPERLINK("http://www.bing.com/maps/?lvl=14&amp;sty=h&amp;cp=33.3917~44.3582&amp;sp=point.33.3917_44.3582","Maplink3")</f>
        <v>Maplink3</v>
      </c>
    </row>
    <row r="628" customFormat="false" ht="15" hidden="false" customHeight="true" outlineLevel="0" collapsed="false">
      <c r="A628" s="15" t="n">
        <v>27255</v>
      </c>
      <c r="B628" s="16" t="s">
        <v>17</v>
      </c>
      <c r="C628" s="16" t="s">
        <v>1091</v>
      </c>
      <c r="D628" s="16" t="s">
        <v>1252</v>
      </c>
      <c r="E628" s="17" t="s">
        <v>1253</v>
      </c>
      <c r="F628" s="16" t="n">
        <v>33.39395798</v>
      </c>
      <c r="G628" s="16" t="n">
        <v>44.35104958</v>
      </c>
      <c r="H628" s="18" t="n">
        <v>66</v>
      </c>
      <c r="I628" s="18" t="n">
        <v>396</v>
      </c>
      <c r="J628" s="19" t="n">
        <v>37</v>
      </c>
      <c r="K628" s="19"/>
      <c r="L628" s="19"/>
      <c r="M628" s="19"/>
      <c r="N628" s="19"/>
      <c r="O628" s="19" t="n">
        <v>6</v>
      </c>
      <c r="P628" s="19"/>
      <c r="Q628" s="19"/>
      <c r="R628" s="19"/>
      <c r="S628" s="19"/>
      <c r="T628" s="19"/>
      <c r="U628" s="19"/>
      <c r="V628" s="19" t="n">
        <v>18</v>
      </c>
      <c r="W628" s="19"/>
      <c r="X628" s="19" t="n">
        <v>5</v>
      </c>
      <c r="Y628" s="19"/>
      <c r="Z628" s="19"/>
      <c r="AA628" s="19"/>
      <c r="AB628" s="19"/>
      <c r="AC628" s="19" t="n">
        <v>9</v>
      </c>
      <c r="AD628" s="19"/>
      <c r="AE628" s="19"/>
      <c r="AF628" s="19"/>
      <c r="AG628" s="19"/>
      <c r="AH628" s="19" t="n">
        <v>57</v>
      </c>
      <c r="AI628" s="19"/>
      <c r="AJ628" s="19"/>
      <c r="AK628" s="19"/>
      <c r="AL628" s="19"/>
      <c r="AM628" s="19"/>
      <c r="AN628" s="19"/>
      <c r="AO628" s="19" t="n">
        <v>26</v>
      </c>
      <c r="AP628" s="19" t="n">
        <v>37</v>
      </c>
      <c r="AQ628" s="19"/>
      <c r="AR628" s="19" t="n">
        <v>3</v>
      </c>
      <c r="AS628" s="20" t="str">
        <f aca="false">HYPERLINK("http://www.openstreetmap.org/?mlat=33.394&amp;mlon=44.351&amp;zoom=12#map=12/33.394/44.351","Maplink1")</f>
        <v>Maplink1</v>
      </c>
      <c r="AT628" s="20" t="str">
        <f aca="false">HYPERLINK("https://www.google.iq/maps/search/+33.394,44.351/@33.394,44.351,14z?hl=en","Maplink2")</f>
        <v>Maplink2</v>
      </c>
      <c r="AU628" s="20" t="str">
        <f aca="false">HYPERLINK("http://www.bing.com/maps/?lvl=14&amp;sty=h&amp;cp=33.394~44.351&amp;sp=point.33.394_44.351","Maplink3")</f>
        <v>Maplink3</v>
      </c>
    </row>
    <row r="629" customFormat="false" ht="15" hidden="false" customHeight="true" outlineLevel="0" collapsed="false">
      <c r="A629" s="15" t="n">
        <v>27256</v>
      </c>
      <c r="B629" s="16" t="s">
        <v>17</v>
      </c>
      <c r="C629" s="16" t="s">
        <v>1091</v>
      </c>
      <c r="D629" s="16" t="s">
        <v>1254</v>
      </c>
      <c r="E629" s="17" t="s">
        <v>1255</v>
      </c>
      <c r="F629" s="16" t="n">
        <v>33.3916475</v>
      </c>
      <c r="G629" s="16" t="n">
        <v>44.34061198</v>
      </c>
      <c r="H629" s="18" t="n">
        <v>96</v>
      </c>
      <c r="I629" s="18" t="n">
        <v>576</v>
      </c>
      <c r="J629" s="19" t="n">
        <v>34</v>
      </c>
      <c r="K629" s="19"/>
      <c r="L629" s="19"/>
      <c r="M629" s="19"/>
      <c r="N629" s="19"/>
      <c r="O629" s="19" t="n">
        <v>11</v>
      </c>
      <c r="P629" s="19"/>
      <c r="Q629" s="19"/>
      <c r="R629" s="19" t="n">
        <v>2</v>
      </c>
      <c r="S629" s="19"/>
      <c r="T629" s="19"/>
      <c r="U629" s="19"/>
      <c r="V629" s="19" t="n">
        <v>20</v>
      </c>
      <c r="W629" s="19"/>
      <c r="X629" s="19" t="n">
        <v>29</v>
      </c>
      <c r="Y629" s="19"/>
      <c r="Z629" s="19"/>
      <c r="AA629" s="19"/>
      <c r="AB629" s="19"/>
      <c r="AC629" s="19" t="n">
        <v>28</v>
      </c>
      <c r="AD629" s="19"/>
      <c r="AE629" s="19"/>
      <c r="AF629" s="19"/>
      <c r="AG629" s="19"/>
      <c r="AH629" s="19" t="n">
        <v>68</v>
      </c>
      <c r="AI629" s="19"/>
      <c r="AJ629" s="19"/>
      <c r="AK629" s="19"/>
      <c r="AL629" s="19"/>
      <c r="AM629" s="19"/>
      <c r="AN629" s="19"/>
      <c r="AO629" s="19" t="n">
        <v>57</v>
      </c>
      <c r="AP629" s="19" t="n">
        <v>32</v>
      </c>
      <c r="AQ629" s="19"/>
      <c r="AR629" s="19" t="n">
        <v>7</v>
      </c>
      <c r="AS629" s="20" t="str">
        <f aca="false">HYPERLINK("http://www.openstreetmap.org/?mlat=33.3916&amp;mlon=44.3406&amp;zoom=12#map=12/33.3916/44.3406","Maplink1")</f>
        <v>Maplink1</v>
      </c>
      <c r="AT629" s="20" t="str">
        <f aca="false">HYPERLINK("https://www.google.iq/maps/search/+33.3916,44.3406/@33.3916,44.3406,14z?hl=en","Maplink2")</f>
        <v>Maplink2</v>
      </c>
      <c r="AU629" s="20" t="str">
        <f aca="false">HYPERLINK("http://www.bing.com/maps/?lvl=14&amp;sty=h&amp;cp=33.3916~44.3406&amp;sp=point.33.3916_44.3406","Maplink3")</f>
        <v>Maplink3</v>
      </c>
    </row>
    <row r="630" customFormat="false" ht="15" hidden="false" customHeight="true" outlineLevel="0" collapsed="false">
      <c r="A630" s="15" t="n">
        <v>22777</v>
      </c>
      <c r="B630" s="16" t="s">
        <v>17</v>
      </c>
      <c r="C630" s="16" t="s">
        <v>1091</v>
      </c>
      <c r="D630" s="16" t="s">
        <v>1256</v>
      </c>
      <c r="E630" s="17" t="s">
        <v>1257</v>
      </c>
      <c r="F630" s="16" t="n">
        <v>33.39256788</v>
      </c>
      <c r="G630" s="16" t="n">
        <v>44.36566905</v>
      </c>
      <c r="H630" s="18" t="n">
        <v>195</v>
      </c>
      <c r="I630" s="18" t="n">
        <v>1170</v>
      </c>
      <c r="J630" s="19" t="n">
        <v>145</v>
      </c>
      <c r="K630" s="19"/>
      <c r="L630" s="19"/>
      <c r="M630" s="19"/>
      <c r="N630" s="19"/>
      <c r="O630" s="19" t="n">
        <v>4</v>
      </c>
      <c r="P630" s="19"/>
      <c r="Q630" s="19"/>
      <c r="R630" s="19"/>
      <c r="S630" s="19"/>
      <c r="T630" s="19"/>
      <c r="U630" s="19"/>
      <c r="V630" s="19" t="n">
        <v>40</v>
      </c>
      <c r="W630" s="19"/>
      <c r="X630" s="19" t="n">
        <v>6</v>
      </c>
      <c r="Y630" s="19"/>
      <c r="Z630" s="19"/>
      <c r="AA630" s="19"/>
      <c r="AB630" s="19"/>
      <c r="AC630" s="19" t="n">
        <v>80</v>
      </c>
      <c r="AD630" s="19"/>
      <c r="AE630" s="19"/>
      <c r="AF630" s="19"/>
      <c r="AG630" s="19"/>
      <c r="AH630" s="19" t="n">
        <v>115</v>
      </c>
      <c r="AI630" s="19"/>
      <c r="AJ630" s="19"/>
      <c r="AK630" s="19"/>
      <c r="AL630" s="19" t="n">
        <v>78</v>
      </c>
      <c r="AM630" s="19" t="n">
        <v>45</v>
      </c>
      <c r="AN630" s="19" t="n">
        <v>61</v>
      </c>
      <c r="AO630" s="19" t="n">
        <v>1</v>
      </c>
      <c r="AP630" s="19"/>
      <c r="AQ630" s="19"/>
      <c r="AR630" s="19" t="n">
        <v>10</v>
      </c>
      <c r="AS630" s="20" t="str">
        <f aca="false">HYPERLINK("http://www.openstreetmap.org/?mlat=33.3926&amp;mlon=44.3657&amp;zoom=12#map=12/33.3926/44.3657","Maplink1")</f>
        <v>Maplink1</v>
      </c>
      <c r="AT630" s="20" t="str">
        <f aca="false">HYPERLINK("https://www.google.iq/maps/search/+33.3926,44.3657/@33.3926,44.3657,14z?hl=en","Maplink2")</f>
        <v>Maplink2</v>
      </c>
      <c r="AU630" s="20" t="str">
        <f aca="false">HYPERLINK("http://www.bing.com/maps/?lvl=14&amp;sty=h&amp;cp=33.3926~44.3657&amp;sp=point.33.3926_44.3657","Maplink3")</f>
        <v>Maplink3</v>
      </c>
    </row>
    <row r="631" customFormat="false" ht="15" hidden="false" customHeight="true" outlineLevel="0" collapsed="false">
      <c r="A631" s="15" t="n">
        <v>22874</v>
      </c>
      <c r="B631" s="16" t="s">
        <v>17</v>
      </c>
      <c r="C631" s="16" t="s">
        <v>1091</v>
      </c>
      <c r="D631" s="16" t="s">
        <v>1258</v>
      </c>
      <c r="E631" s="17" t="s">
        <v>1259</v>
      </c>
      <c r="F631" s="16" t="n">
        <v>33.41933911</v>
      </c>
      <c r="G631" s="16" t="n">
        <v>44.35256073</v>
      </c>
      <c r="H631" s="18" t="n">
        <v>76</v>
      </c>
      <c r="I631" s="18" t="n">
        <v>456</v>
      </c>
      <c r="J631" s="19" t="n">
        <v>53</v>
      </c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 t="n">
        <v>23</v>
      </c>
      <c r="W631" s="19"/>
      <c r="X631" s="19"/>
      <c r="Y631" s="19"/>
      <c r="Z631" s="19"/>
      <c r="AA631" s="19"/>
      <c r="AB631" s="19"/>
      <c r="AC631" s="19" t="n">
        <v>27</v>
      </c>
      <c r="AD631" s="19"/>
      <c r="AE631" s="19"/>
      <c r="AF631" s="19"/>
      <c r="AG631" s="19"/>
      <c r="AH631" s="19" t="n">
        <v>49</v>
      </c>
      <c r="AI631" s="19"/>
      <c r="AJ631" s="19"/>
      <c r="AK631" s="19"/>
      <c r="AL631" s="19" t="n">
        <v>42</v>
      </c>
      <c r="AM631" s="19"/>
      <c r="AN631" s="19" t="n">
        <v>23</v>
      </c>
      <c r="AO631" s="19"/>
      <c r="AP631" s="19" t="n">
        <v>11</v>
      </c>
      <c r="AQ631" s="19"/>
      <c r="AR631" s="19"/>
      <c r="AS631" s="20" t="str">
        <f aca="false">HYPERLINK("http://www.openstreetmap.org/?mlat=33.4193&amp;mlon=44.3526&amp;zoom=12#map=12/33.4193/44.3526","Maplink1")</f>
        <v>Maplink1</v>
      </c>
      <c r="AT631" s="20" t="str">
        <f aca="false">HYPERLINK("https://www.google.iq/maps/search/+33.4193,44.3526/@33.4193,44.3526,14z?hl=en","Maplink2")</f>
        <v>Maplink2</v>
      </c>
      <c r="AU631" s="20" t="str">
        <f aca="false">HYPERLINK("http://www.bing.com/maps/?lvl=14&amp;sty=h&amp;cp=33.4193~44.3526&amp;sp=point.33.4193_44.3526","Maplink3")</f>
        <v>Maplink3</v>
      </c>
    </row>
    <row r="632" customFormat="false" ht="15" hidden="false" customHeight="true" outlineLevel="0" collapsed="false">
      <c r="A632" s="15" t="n">
        <v>27325</v>
      </c>
      <c r="B632" s="16" t="s">
        <v>17</v>
      </c>
      <c r="C632" s="16" t="s">
        <v>1091</v>
      </c>
      <c r="D632" s="16" t="s">
        <v>1260</v>
      </c>
      <c r="E632" s="17" t="s">
        <v>1261</v>
      </c>
      <c r="F632" s="16" t="n">
        <v>33.4009299</v>
      </c>
      <c r="G632" s="16" t="n">
        <v>44.40984272</v>
      </c>
      <c r="H632" s="18" t="n">
        <v>38</v>
      </c>
      <c r="I632" s="18" t="n">
        <v>228</v>
      </c>
      <c r="J632" s="19" t="n">
        <v>7</v>
      </c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 t="n">
        <v>27</v>
      </c>
      <c r="W632" s="19"/>
      <c r="X632" s="19" t="n">
        <v>4</v>
      </c>
      <c r="Y632" s="19"/>
      <c r="Z632" s="19"/>
      <c r="AA632" s="19"/>
      <c r="AB632" s="19"/>
      <c r="AC632" s="19" t="n">
        <v>11</v>
      </c>
      <c r="AD632" s="19"/>
      <c r="AE632" s="19" t="n">
        <v>5</v>
      </c>
      <c r="AF632" s="19"/>
      <c r="AG632" s="19"/>
      <c r="AH632" s="19" t="n">
        <v>22</v>
      </c>
      <c r="AI632" s="19"/>
      <c r="AJ632" s="19"/>
      <c r="AK632" s="19"/>
      <c r="AL632" s="19" t="n">
        <v>12</v>
      </c>
      <c r="AM632" s="19"/>
      <c r="AN632" s="19" t="n">
        <v>23</v>
      </c>
      <c r="AO632" s="19" t="n">
        <v>3</v>
      </c>
      <c r="AP632" s="19"/>
      <c r="AQ632" s="19"/>
      <c r="AR632" s="19"/>
      <c r="AS632" s="20" t="str">
        <f aca="false">HYPERLINK("http://www.openstreetmap.org/?mlat=33.4009&amp;mlon=44.4098&amp;zoom=12#map=12/33.4009/44.4098","Maplink1")</f>
        <v>Maplink1</v>
      </c>
      <c r="AT632" s="20" t="str">
        <f aca="false">HYPERLINK("https://www.google.iq/maps/search/+33.4009,44.4098/@33.4009,44.4098,14z?hl=en","Maplink2")</f>
        <v>Maplink2</v>
      </c>
      <c r="AU632" s="20" t="str">
        <f aca="false">HYPERLINK("http://www.bing.com/maps/?lvl=14&amp;sty=h&amp;cp=33.4009~44.4098&amp;sp=point.33.4009_44.4098","Maplink3")</f>
        <v>Maplink3</v>
      </c>
    </row>
    <row r="633" customFormat="false" ht="15" hidden="false" customHeight="true" outlineLevel="0" collapsed="false">
      <c r="A633" s="15" t="n">
        <v>24029</v>
      </c>
      <c r="B633" s="16" t="s">
        <v>17</v>
      </c>
      <c r="C633" s="16" t="s">
        <v>1091</v>
      </c>
      <c r="D633" s="16" t="s">
        <v>1262</v>
      </c>
      <c r="E633" s="17" t="s">
        <v>1263</v>
      </c>
      <c r="F633" s="16" t="n">
        <v>33.40919776</v>
      </c>
      <c r="G633" s="16" t="n">
        <v>44.42332682</v>
      </c>
      <c r="H633" s="18" t="n">
        <v>16</v>
      </c>
      <c r="I633" s="18" t="n">
        <v>96</v>
      </c>
      <c r="J633" s="19" t="n">
        <v>2</v>
      </c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 t="n">
        <v>13</v>
      </c>
      <c r="W633" s="19"/>
      <c r="X633" s="19" t="n">
        <v>1</v>
      </c>
      <c r="Y633" s="19"/>
      <c r="Z633" s="19"/>
      <c r="AA633" s="19"/>
      <c r="AB633" s="19"/>
      <c r="AC633" s="19"/>
      <c r="AD633" s="19"/>
      <c r="AE633" s="19"/>
      <c r="AF633" s="19"/>
      <c r="AG633" s="19"/>
      <c r="AH633" s="19" t="n">
        <v>16</v>
      </c>
      <c r="AI633" s="19"/>
      <c r="AJ633" s="19"/>
      <c r="AK633" s="19"/>
      <c r="AL633" s="19" t="n">
        <v>4</v>
      </c>
      <c r="AM633" s="19"/>
      <c r="AN633" s="19" t="n">
        <v>1</v>
      </c>
      <c r="AO633" s="19" t="n">
        <v>11</v>
      </c>
      <c r="AP633" s="19"/>
      <c r="AQ633" s="19"/>
      <c r="AR633" s="19"/>
      <c r="AS633" s="20" t="str">
        <f aca="false">HYPERLINK("http://www.openstreetmap.org/?mlat=33.4092&amp;mlon=44.4233&amp;zoom=12#map=12/33.4092/44.4233","Maplink1")</f>
        <v>Maplink1</v>
      </c>
      <c r="AT633" s="20" t="str">
        <f aca="false">HYPERLINK("https://www.google.iq/maps/search/+33.4092,44.4233/@33.4092,44.4233,14z?hl=en","Maplink2")</f>
        <v>Maplink2</v>
      </c>
      <c r="AU633" s="20" t="str">
        <f aca="false">HYPERLINK("http://www.bing.com/maps/?lvl=14&amp;sty=h&amp;cp=33.4092~44.4233&amp;sp=point.33.4092_44.4233","Maplink3")</f>
        <v>Maplink3</v>
      </c>
    </row>
    <row r="634" customFormat="false" ht="15" hidden="false" customHeight="true" outlineLevel="0" collapsed="false">
      <c r="A634" s="15" t="n">
        <v>27326</v>
      </c>
      <c r="B634" s="16" t="s">
        <v>17</v>
      </c>
      <c r="C634" s="16" t="s">
        <v>1091</v>
      </c>
      <c r="D634" s="16" t="s">
        <v>1264</v>
      </c>
      <c r="E634" s="17" t="s">
        <v>1265</v>
      </c>
      <c r="F634" s="16" t="n">
        <v>33.41818548</v>
      </c>
      <c r="G634" s="16" t="n">
        <v>44.42487533</v>
      </c>
      <c r="H634" s="18" t="n">
        <v>21</v>
      </c>
      <c r="I634" s="18" t="n">
        <v>126</v>
      </c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 t="n">
        <v>21</v>
      </c>
      <c r="W634" s="19"/>
      <c r="X634" s="19"/>
      <c r="Y634" s="19"/>
      <c r="Z634" s="19"/>
      <c r="AA634" s="19"/>
      <c r="AB634" s="19"/>
      <c r="AC634" s="19" t="n">
        <v>2</v>
      </c>
      <c r="AD634" s="19"/>
      <c r="AE634" s="19"/>
      <c r="AF634" s="19"/>
      <c r="AG634" s="19"/>
      <c r="AH634" s="19" t="n">
        <v>19</v>
      </c>
      <c r="AI634" s="19"/>
      <c r="AJ634" s="19"/>
      <c r="AK634" s="19"/>
      <c r="AL634" s="19"/>
      <c r="AM634" s="19"/>
      <c r="AN634" s="19" t="n">
        <v>4</v>
      </c>
      <c r="AO634" s="19" t="n">
        <v>17</v>
      </c>
      <c r="AP634" s="19"/>
      <c r="AQ634" s="19"/>
      <c r="AR634" s="19"/>
      <c r="AS634" s="20" t="str">
        <f aca="false">HYPERLINK("http://www.openstreetmap.org/?mlat=33.4182&amp;mlon=44.4249&amp;zoom=12#map=12/33.4182/44.4249","Maplink1")</f>
        <v>Maplink1</v>
      </c>
      <c r="AT634" s="20" t="str">
        <f aca="false">HYPERLINK("https://www.google.iq/maps/search/+33.4182,44.4249/@33.4182,44.4249,14z?hl=en","Maplink2")</f>
        <v>Maplink2</v>
      </c>
      <c r="AU634" s="20" t="str">
        <f aca="false">HYPERLINK("http://www.bing.com/maps/?lvl=14&amp;sty=h&amp;cp=33.4182~44.4249&amp;sp=point.33.4182_44.4249","Maplink3")</f>
        <v>Maplink3</v>
      </c>
    </row>
    <row r="635" customFormat="false" ht="15" hidden="false" customHeight="true" outlineLevel="0" collapsed="false">
      <c r="A635" s="15" t="n">
        <v>25211</v>
      </c>
      <c r="B635" s="16" t="s">
        <v>17</v>
      </c>
      <c r="C635" s="16" t="s">
        <v>1091</v>
      </c>
      <c r="D635" s="16" t="s">
        <v>1266</v>
      </c>
      <c r="E635" s="17" t="s">
        <v>1267</v>
      </c>
      <c r="F635" s="16" t="n">
        <v>33.52258</v>
      </c>
      <c r="G635" s="16" t="n">
        <v>44.38163</v>
      </c>
      <c r="H635" s="18" t="n">
        <v>15</v>
      </c>
      <c r="I635" s="18" t="n">
        <v>90</v>
      </c>
      <c r="J635" s="19" t="n">
        <v>2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 t="n">
        <v>13</v>
      </c>
      <c r="Y635" s="19"/>
      <c r="Z635" s="19"/>
      <c r="AA635" s="19"/>
      <c r="AB635" s="19"/>
      <c r="AC635" s="19" t="n">
        <v>15</v>
      </c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 t="n">
        <v>13</v>
      </c>
      <c r="AO635" s="19"/>
      <c r="AP635" s="19"/>
      <c r="AQ635" s="19" t="n">
        <v>2</v>
      </c>
      <c r="AR635" s="19"/>
      <c r="AS635" s="20" t="str">
        <f aca="false">HYPERLINK("http://www.openstreetmap.org/?mlat=33.5226&amp;mlon=44.3816&amp;zoom=12#map=12/33.5226/44.3816","Maplink1")</f>
        <v>Maplink1</v>
      </c>
      <c r="AT635" s="20" t="str">
        <f aca="false">HYPERLINK("https://www.google.iq/maps/search/+33.5226,44.3816/@33.5226,44.3816,14z?hl=en","Maplink2")</f>
        <v>Maplink2</v>
      </c>
      <c r="AU635" s="20" t="str">
        <f aca="false">HYPERLINK("http://www.bing.com/maps/?lvl=14&amp;sty=h&amp;cp=33.5226~44.3816&amp;sp=point.33.5226_44.3816","Maplink3")</f>
        <v>Maplink3</v>
      </c>
    </row>
    <row r="636" customFormat="false" ht="15" hidden="false" customHeight="true" outlineLevel="0" collapsed="false">
      <c r="A636" s="15" t="n">
        <v>25218</v>
      </c>
      <c r="B636" s="16" t="s">
        <v>17</v>
      </c>
      <c r="C636" s="16" t="s">
        <v>1091</v>
      </c>
      <c r="D636" s="16" t="s">
        <v>1268</v>
      </c>
      <c r="E636" s="17" t="s">
        <v>1269</v>
      </c>
      <c r="F636" s="16" t="n">
        <v>33.62195</v>
      </c>
      <c r="G636" s="16" t="n">
        <v>44.35448</v>
      </c>
      <c r="H636" s="18" t="n">
        <v>6</v>
      </c>
      <c r="I636" s="18" t="n">
        <v>36</v>
      </c>
      <c r="J636" s="19" t="n">
        <v>6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 t="n">
        <v>6</v>
      </c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 t="n">
        <v>6</v>
      </c>
      <c r="AP636" s="19"/>
      <c r="AQ636" s="19"/>
      <c r="AR636" s="19"/>
      <c r="AS636" s="20" t="str">
        <f aca="false">HYPERLINK("http://www.openstreetmap.org/?mlat=33.6219&amp;mlon=44.3545&amp;zoom=12#map=12/33.6219/44.3545","Maplink1")</f>
        <v>Maplink1</v>
      </c>
      <c r="AT636" s="20" t="str">
        <f aca="false">HYPERLINK("https://www.google.iq/maps/search/+33.6219,44.3545/@33.6219,44.3545,14z?hl=en","Maplink2")</f>
        <v>Maplink2</v>
      </c>
      <c r="AU636" s="20" t="str">
        <f aca="false">HYPERLINK("http://www.bing.com/maps/?lvl=14&amp;sty=h&amp;cp=33.6219~44.3545&amp;sp=point.33.6219_44.3545","Maplink3")</f>
        <v>Maplink3</v>
      </c>
    </row>
    <row r="637" customFormat="false" ht="15" hidden="false" customHeight="true" outlineLevel="0" collapsed="false">
      <c r="A637" s="15" t="n">
        <v>25212</v>
      </c>
      <c r="B637" s="16" t="s">
        <v>17</v>
      </c>
      <c r="C637" s="16" t="s">
        <v>1091</v>
      </c>
      <c r="D637" s="16" t="s">
        <v>1270</v>
      </c>
      <c r="E637" s="17" t="s">
        <v>1271</v>
      </c>
      <c r="F637" s="16" t="n">
        <v>33.53340508</v>
      </c>
      <c r="G637" s="16" t="n">
        <v>44.33582302</v>
      </c>
      <c r="H637" s="18" t="n">
        <v>6</v>
      </c>
      <c r="I637" s="18" t="n">
        <v>36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 t="n">
        <v>6</v>
      </c>
      <c r="Y637" s="19"/>
      <c r="Z637" s="19"/>
      <c r="AA637" s="19"/>
      <c r="AB637" s="19"/>
      <c r="AC637" s="19" t="n">
        <v>6</v>
      </c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 t="n">
        <v>6</v>
      </c>
      <c r="AP637" s="19"/>
      <c r="AQ637" s="19"/>
      <c r="AR637" s="19"/>
      <c r="AS637" s="20" t="str">
        <f aca="false">HYPERLINK("http://www.openstreetmap.org/?mlat=33.5334&amp;mlon=44.3358&amp;zoom=12#map=12/33.5334/44.3358","Maplink1")</f>
        <v>Maplink1</v>
      </c>
      <c r="AT637" s="20" t="str">
        <f aca="false">HYPERLINK("https://www.google.iq/maps/search/+33.5334,44.3358/@33.5334,44.3358,14z?hl=en","Maplink2")</f>
        <v>Maplink2</v>
      </c>
      <c r="AU637" s="20" t="str">
        <f aca="false">HYPERLINK("http://www.bing.com/maps/?lvl=14&amp;sty=h&amp;cp=33.5334~44.3358&amp;sp=point.33.5334_44.3358","Maplink3")</f>
        <v>Maplink3</v>
      </c>
    </row>
    <row r="638" customFormat="false" ht="15" hidden="false" customHeight="true" outlineLevel="0" collapsed="false">
      <c r="A638" s="15" t="n">
        <v>7688</v>
      </c>
      <c r="B638" s="16" t="s">
        <v>17</v>
      </c>
      <c r="C638" s="16" t="s">
        <v>1091</v>
      </c>
      <c r="D638" s="16" t="s">
        <v>1272</v>
      </c>
      <c r="E638" s="17" t="s">
        <v>1273</v>
      </c>
      <c r="F638" s="16" t="n">
        <v>33.52562289</v>
      </c>
      <c r="G638" s="16" t="n">
        <v>44.38432586</v>
      </c>
      <c r="H638" s="18" t="n">
        <v>59</v>
      </c>
      <c r="I638" s="18" t="n">
        <v>354</v>
      </c>
      <c r="J638" s="19" t="n">
        <v>8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 t="n">
        <v>28</v>
      </c>
      <c r="W638" s="19"/>
      <c r="X638" s="19" t="n">
        <v>23</v>
      </c>
      <c r="Y638" s="19"/>
      <c r="Z638" s="19"/>
      <c r="AA638" s="19"/>
      <c r="AB638" s="19"/>
      <c r="AC638" s="19" t="n">
        <v>38</v>
      </c>
      <c r="AD638" s="19"/>
      <c r="AE638" s="19"/>
      <c r="AF638" s="19"/>
      <c r="AG638" s="19"/>
      <c r="AH638" s="19" t="n">
        <v>21</v>
      </c>
      <c r="AI638" s="19"/>
      <c r="AJ638" s="19"/>
      <c r="AK638" s="19"/>
      <c r="AL638" s="19"/>
      <c r="AM638" s="19" t="n">
        <v>18</v>
      </c>
      <c r="AN638" s="19"/>
      <c r="AO638" s="19" t="n">
        <v>30</v>
      </c>
      <c r="AP638" s="19" t="n">
        <v>11</v>
      </c>
      <c r="AQ638" s="19"/>
      <c r="AR638" s="19"/>
      <c r="AS638" s="20" t="str">
        <f aca="false">HYPERLINK("http://www.openstreetmap.org/?mlat=33.5256&amp;mlon=44.3843&amp;zoom=12#map=12/33.5256/44.3843","Maplink1")</f>
        <v>Maplink1</v>
      </c>
      <c r="AT638" s="20" t="str">
        <f aca="false">HYPERLINK("https://www.google.iq/maps/search/+33.5256,44.3843/@33.5256,44.3843,14z?hl=en","Maplink2")</f>
        <v>Maplink2</v>
      </c>
      <c r="AU638" s="20" t="str">
        <f aca="false">HYPERLINK("http://www.bing.com/maps/?lvl=14&amp;sty=h&amp;cp=33.5256~44.3843&amp;sp=point.33.5256_44.3843","Maplink3")</f>
        <v>Maplink3</v>
      </c>
    </row>
    <row r="639" customFormat="false" ht="15" hidden="false" customHeight="true" outlineLevel="0" collapsed="false">
      <c r="A639" s="15" t="n">
        <v>7646</v>
      </c>
      <c r="B639" s="16" t="s">
        <v>17</v>
      </c>
      <c r="C639" s="16" t="s">
        <v>1091</v>
      </c>
      <c r="D639" s="16" t="s">
        <v>1274</v>
      </c>
      <c r="E639" s="17" t="s">
        <v>1275</v>
      </c>
      <c r="F639" s="16" t="n">
        <v>33.43009498</v>
      </c>
      <c r="G639" s="16" t="n">
        <v>44.43239632</v>
      </c>
      <c r="H639" s="18" t="n">
        <v>61</v>
      </c>
      <c r="I639" s="18" t="n">
        <v>366</v>
      </c>
      <c r="J639" s="19" t="n">
        <v>11</v>
      </c>
      <c r="K639" s="19"/>
      <c r="L639" s="19"/>
      <c r="M639" s="19"/>
      <c r="N639" s="19"/>
      <c r="O639" s="19" t="n">
        <v>10</v>
      </c>
      <c r="P639" s="19"/>
      <c r="Q639" s="19"/>
      <c r="R639" s="19"/>
      <c r="S639" s="19"/>
      <c r="T639" s="19"/>
      <c r="U639" s="19"/>
      <c r="V639" s="19" t="n">
        <v>23</v>
      </c>
      <c r="W639" s="19"/>
      <c r="X639" s="19" t="n">
        <v>17</v>
      </c>
      <c r="Y639" s="19"/>
      <c r="Z639" s="19"/>
      <c r="AA639" s="19"/>
      <c r="AB639" s="19"/>
      <c r="AC639" s="19" t="n">
        <v>14</v>
      </c>
      <c r="AD639" s="19"/>
      <c r="AE639" s="19"/>
      <c r="AF639" s="19"/>
      <c r="AG639" s="19"/>
      <c r="AH639" s="19" t="n">
        <v>47</v>
      </c>
      <c r="AI639" s="19"/>
      <c r="AJ639" s="19"/>
      <c r="AK639" s="19"/>
      <c r="AL639" s="19" t="n">
        <v>4</v>
      </c>
      <c r="AM639" s="19" t="n">
        <v>20</v>
      </c>
      <c r="AN639" s="19" t="n">
        <v>10</v>
      </c>
      <c r="AO639" s="19" t="n">
        <v>21</v>
      </c>
      <c r="AP639" s="19" t="n">
        <v>6</v>
      </c>
      <c r="AQ639" s="19"/>
      <c r="AR639" s="19"/>
      <c r="AS639" s="20" t="str">
        <f aca="false">HYPERLINK("http://www.openstreetmap.org/?mlat=33.4301&amp;mlon=44.4324&amp;zoom=12#map=12/33.4301/44.4324","Maplink1")</f>
        <v>Maplink1</v>
      </c>
      <c r="AT639" s="20" t="str">
        <f aca="false">HYPERLINK("https://www.google.iq/maps/search/+33.4301,44.4324/@33.4301,44.4324,14z?hl=en","Maplink2")</f>
        <v>Maplink2</v>
      </c>
      <c r="AU639" s="20" t="str">
        <f aca="false">HYPERLINK("http://www.bing.com/maps/?lvl=14&amp;sty=h&amp;cp=33.4301~44.4324&amp;sp=point.33.4301_44.4324","Maplink3")</f>
        <v>Maplink3</v>
      </c>
    </row>
    <row r="640" customFormat="false" ht="15" hidden="false" customHeight="true" outlineLevel="0" collapsed="false">
      <c r="A640" s="15" t="n">
        <v>25210</v>
      </c>
      <c r="B640" s="16" t="s">
        <v>17</v>
      </c>
      <c r="C640" s="16" t="s">
        <v>1091</v>
      </c>
      <c r="D640" s="16" t="s">
        <v>1276</v>
      </c>
      <c r="E640" s="17" t="s">
        <v>1277</v>
      </c>
      <c r="F640" s="16" t="n">
        <v>33.52206152</v>
      </c>
      <c r="G640" s="16" t="n">
        <v>44.30812335</v>
      </c>
      <c r="H640" s="18" t="n">
        <v>7</v>
      </c>
      <c r="I640" s="18" t="n">
        <v>42</v>
      </c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 t="n">
        <v>7</v>
      </c>
      <c r="Y640" s="19"/>
      <c r="Z640" s="19"/>
      <c r="AA640" s="19"/>
      <c r="AB640" s="19"/>
      <c r="AC640" s="19" t="n">
        <v>7</v>
      </c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 t="n">
        <v>7</v>
      </c>
      <c r="AO640" s="19"/>
      <c r="AP640" s="19"/>
      <c r="AQ640" s="19"/>
      <c r="AR640" s="19"/>
      <c r="AS640" s="20" t="str">
        <f aca="false">HYPERLINK("http://www.openstreetmap.org/?mlat=33.5221&amp;mlon=44.3081&amp;zoom=12#map=12/33.5221/44.3081","Maplink1")</f>
        <v>Maplink1</v>
      </c>
      <c r="AT640" s="20" t="str">
        <f aca="false">HYPERLINK("https://www.google.iq/maps/search/+33.5221,44.3081/@33.5221,44.3081,14z?hl=en","Maplink2")</f>
        <v>Maplink2</v>
      </c>
      <c r="AU640" s="20" t="str">
        <f aca="false">HYPERLINK("http://www.bing.com/maps/?lvl=14&amp;sty=h&amp;cp=33.5221~44.3081&amp;sp=point.33.5221_44.3081","Maplink3")</f>
        <v>Maplink3</v>
      </c>
    </row>
    <row r="641" customFormat="false" ht="15" hidden="false" customHeight="true" outlineLevel="0" collapsed="false">
      <c r="A641" s="15" t="n">
        <v>24439</v>
      </c>
      <c r="B641" s="16" t="s">
        <v>17</v>
      </c>
      <c r="C641" s="16" t="s">
        <v>1091</v>
      </c>
      <c r="D641" s="16" t="s">
        <v>1278</v>
      </c>
      <c r="E641" s="17" t="s">
        <v>1279</v>
      </c>
      <c r="F641" s="16" t="n">
        <v>33.40335043</v>
      </c>
      <c r="G641" s="16" t="n">
        <v>44.3920137</v>
      </c>
      <c r="H641" s="18" t="n">
        <v>35</v>
      </c>
      <c r="I641" s="18" t="n">
        <v>210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 t="n">
        <v>35</v>
      </c>
      <c r="W641" s="19"/>
      <c r="X641" s="19"/>
      <c r="Y641" s="19"/>
      <c r="Z641" s="19"/>
      <c r="AA641" s="19"/>
      <c r="AB641" s="19"/>
      <c r="AC641" s="19" t="n">
        <v>7</v>
      </c>
      <c r="AD641" s="19"/>
      <c r="AE641" s="19"/>
      <c r="AF641" s="19"/>
      <c r="AG641" s="19"/>
      <c r="AH641" s="19" t="n">
        <v>28</v>
      </c>
      <c r="AI641" s="19"/>
      <c r="AJ641" s="19"/>
      <c r="AK641" s="19"/>
      <c r="AL641" s="19"/>
      <c r="AM641" s="19" t="n">
        <v>35</v>
      </c>
      <c r="AN641" s="19"/>
      <c r="AO641" s="19"/>
      <c r="AP641" s="19"/>
      <c r="AQ641" s="19"/>
      <c r="AR641" s="19"/>
      <c r="AS641" s="20" t="str">
        <f aca="false">HYPERLINK("http://www.openstreetmap.org/?mlat=33.4034&amp;mlon=44.392&amp;zoom=12#map=12/33.4034/44.392","Maplink1")</f>
        <v>Maplink1</v>
      </c>
      <c r="AT641" s="20" t="str">
        <f aca="false">HYPERLINK("https://www.google.iq/maps/search/+33.4034,44.392/@33.4034,44.392,14z?hl=en","Maplink2")</f>
        <v>Maplink2</v>
      </c>
      <c r="AU641" s="20" t="str">
        <f aca="false">HYPERLINK("http://www.bing.com/maps/?lvl=14&amp;sty=h&amp;cp=33.4034~44.392&amp;sp=point.33.4034_44.392","Maplink3")</f>
        <v>Maplink3</v>
      </c>
    </row>
    <row r="642" customFormat="false" ht="15" hidden="false" customHeight="true" outlineLevel="0" collapsed="false">
      <c r="A642" s="15" t="n">
        <v>24001</v>
      </c>
      <c r="B642" s="16" t="s">
        <v>17</v>
      </c>
      <c r="C642" s="16" t="s">
        <v>1091</v>
      </c>
      <c r="D642" s="16" t="s">
        <v>1280</v>
      </c>
      <c r="E642" s="17" t="s">
        <v>1281</v>
      </c>
      <c r="F642" s="16" t="n">
        <v>33.40191</v>
      </c>
      <c r="G642" s="16" t="n">
        <v>44.36891</v>
      </c>
      <c r="H642" s="18" t="n">
        <v>131</v>
      </c>
      <c r="I642" s="18" t="n">
        <v>786</v>
      </c>
      <c r="J642" s="19" t="n">
        <v>87</v>
      </c>
      <c r="K642" s="19"/>
      <c r="L642" s="19"/>
      <c r="M642" s="19"/>
      <c r="N642" s="19"/>
      <c r="O642" s="19" t="n">
        <v>4</v>
      </c>
      <c r="P642" s="19"/>
      <c r="Q642" s="19"/>
      <c r="R642" s="19"/>
      <c r="S642" s="19"/>
      <c r="T642" s="19"/>
      <c r="U642" s="19"/>
      <c r="V642" s="19" t="n">
        <v>27</v>
      </c>
      <c r="W642" s="19"/>
      <c r="X642" s="19" t="n">
        <v>13</v>
      </c>
      <c r="Y642" s="19"/>
      <c r="Z642" s="19"/>
      <c r="AA642" s="19"/>
      <c r="AB642" s="19"/>
      <c r="AC642" s="19" t="n">
        <v>105</v>
      </c>
      <c r="AD642" s="19"/>
      <c r="AE642" s="19"/>
      <c r="AF642" s="19"/>
      <c r="AG642" s="19"/>
      <c r="AH642" s="19" t="n">
        <v>26</v>
      </c>
      <c r="AI642" s="19"/>
      <c r="AJ642" s="19"/>
      <c r="AK642" s="19"/>
      <c r="AL642" s="19" t="n">
        <v>60</v>
      </c>
      <c r="AM642" s="19" t="n">
        <v>43</v>
      </c>
      <c r="AN642" s="19"/>
      <c r="AO642" s="19" t="n">
        <v>9</v>
      </c>
      <c r="AP642" s="19" t="n">
        <v>16</v>
      </c>
      <c r="AQ642" s="19"/>
      <c r="AR642" s="19" t="n">
        <v>3</v>
      </c>
      <c r="AS642" s="20" t="str">
        <f aca="false">HYPERLINK("http://www.openstreetmap.org/?mlat=33.4019&amp;mlon=44.3689&amp;zoom=12#map=12/33.4019/44.3689","Maplink1")</f>
        <v>Maplink1</v>
      </c>
      <c r="AT642" s="20" t="str">
        <f aca="false">HYPERLINK("https://www.google.iq/maps/search/+33.4019,44.3689/@33.4019,44.3689,14z?hl=en","Maplink2")</f>
        <v>Maplink2</v>
      </c>
      <c r="AU642" s="20" t="str">
        <f aca="false">HYPERLINK("http://www.bing.com/maps/?lvl=14&amp;sty=h&amp;cp=33.4019~44.3689&amp;sp=point.33.4019_44.3689","Maplink3")</f>
        <v>Maplink3</v>
      </c>
    </row>
    <row r="643" customFormat="false" ht="15" hidden="false" customHeight="true" outlineLevel="0" collapsed="false">
      <c r="A643" s="15" t="n">
        <v>27254</v>
      </c>
      <c r="B643" s="16" t="s">
        <v>17</v>
      </c>
      <c r="C643" s="16" t="s">
        <v>1091</v>
      </c>
      <c r="D643" s="16" t="s">
        <v>1282</v>
      </c>
      <c r="E643" s="17" t="s">
        <v>1283</v>
      </c>
      <c r="F643" s="16" t="n">
        <v>33.39287538</v>
      </c>
      <c r="G643" s="16" t="n">
        <v>44.36897476</v>
      </c>
      <c r="H643" s="18" t="n">
        <v>39</v>
      </c>
      <c r="I643" s="18" t="n">
        <v>234</v>
      </c>
      <c r="J643" s="19" t="n">
        <v>15</v>
      </c>
      <c r="K643" s="19"/>
      <c r="L643" s="19"/>
      <c r="M643" s="19"/>
      <c r="N643" s="19"/>
      <c r="O643" s="19" t="n">
        <v>6</v>
      </c>
      <c r="P643" s="19"/>
      <c r="Q643" s="19"/>
      <c r="R643" s="19"/>
      <c r="S643" s="19"/>
      <c r="T643" s="19"/>
      <c r="U643" s="19"/>
      <c r="V643" s="19" t="n">
        <v>18</v>
      </c>
      <c r="W643" s="19"/>
      <c r="X643" s="19"/>
      <c r="Y643" s="19"/>
      <c r="Z643" s="19"/>
      <c r="AA643" s="19"/>
      <c r="AB643" s="19"/>
      <c r="AC643" s="19" t="n">
        <v>11</v>
      </c>
      <c r="AD643" s="19"/>
      <c r="AE643" s="19"/>
      <c r="AF643" s="19"/>
      <c r="AG643" s="19"/>
      <c r="AH643" s="19" t="n">
        <v>28</v>
      </c>
      <c r="AI643" s="19"/>
      <c r="AJ643" s="19"/>
      <c r="AK643" s="19"/>
      <c r="AL643" s="19"/>
      <c r="AM643" s="19"/>
      <c r="AN643" s="19"/>
      <c r="AO643" s="19" t="n">
        <v>20</v>
      </c>
      <c r="AP643" s="19" t="n">
        <v>19</v>
      </c>
      <c r="AQ643" s="19"/>
      <c r="AR643" s="19"/>
      <c r="AS643" s="20" t="str">
        <f aca="false">HYPERLINK("http://www.openstreetmap.org/?mlat=33.3929&amp;mlon=44.369&amp;zoom=12#map=12/33.3929/44.369","Maplink1")</f>
        <v>Maplink1</v>
      </c>
      <c r="AT643" s="20" t="str">
        <f aca="false">HYPERLINK("https://www.google.iq/maps/search/+33.3929,44.369/@33.3929,44.369,14z?hl=en","Maplink2")</f>
        <v>Maplink2</v>
      </c>
      <c r="AU643" s="20" t="str">
        <f aca="false">HYPERLINK("http://www.bing.com/maps/?lvl=14&amp;sty=h&amp;cp=33.3929~44.369&amp;sp=point.33.3929_44.369","Maplink3")</f>
        <v>Maplink3</v>
      </c>
    </row>
    <row r="644" customFormat="false" ht="15" hidden="false" customHeight="true" outlineLevel="0" collapsed="false">
      <c r="A644" s="15" t="n">
        <v>22538</v>
      </c>
      <c r="B644" s="16" t="s">
        <v>17</v>
      </c>
      <c r="C644" s="16" t="s">
        <v>1091</v>
      </c>
      <c r="D644" s="16" t="s">
        <v>1284</v>
      </c>
      <c r="E644" s="17" t="s">
        <v>1285</v>
      </c>
      <c r="F644" s="16" t="n">
        <v>33.40146346</v>
      </c>
      <c r="G644" s="16" t="n">
        <v>44.36682057</v>
      </c>
      <c r="H644" s="18" t="n">
        <v>130</v>
      </c>
      <c r="I644" s="18" t="n">
        <v>780</v>
      </c>
      <c r="J644" s="19" t="n">
        <v>56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 t="n">
        <v>19</v>
      </c>
      <c r="W644" s="19"/>
      <c r="X644" s="19" t="n">
        <v>55</v>
      </c>
      <c r="Y644" s="19"/>
      <c r="Z644" s="19"/>
      <c r="AA644" s="19"/>
      <c r="AB644" s="19"/>
      <c r="AC644" s="19" t="n">
        <v>43</v>
      </c>
      <c r="AD644" s="19"/>
      <c r="AE644" s="19"/>
      <c r="AF644" s="19"/>
      <c r="AG644" s="19"/>
      <c r="AH644" s="19" t="n">
        <v>87</v>
      </c>
      <c r="AI644" s="19"/>
      <c r="AJ644" s="19"/>
      <c r="AK644" s="19"/>
      <c r="AL644" s="19"/>
      <c r="AM644" s="19" t="n">
        <v>58</v>
      </c>
      <c r="AN644" s="19" t="n">
        <v>12</v>
      </c>
      <c r="AO644" s="19"/>
      <c r="AP644" s="19" t="n">
        <v>53</v>
      </c>
      <c r="AQ644" s="19"/>
      <c r="AR644" s="19" t="n">
        <v>7</v>
      </c>
      <c r="AS644" s="20" t="str">
        <f aca="false">HYPERLINK("http://www.openstreetmap.org/?mlat=33.4015&amp;mlon=44.3668&amp;zoom=12#map=12/33.4015/44.3668","Maplink1")</f>
        <v>Maplink1</v>
      </c>
      <c r="AT644" s="20" t="str">
        <f aca="false">HYPERLINK("https://www.google.iq/maps/search/+33.4015,44.3668/@33.4015,44.3668,14z?hl=en","Maplink2")</f>
        <v>Maplink2</v>
      </c>
      <c r="AU644" s="20" t="str">
        <f aca="false">HYPERLINK("http://www.bing.com/maps/?lvl=14&amp;sty=h&amp;cp=33.4015~44.3668&amp;sp=point.33.4015_44.3668","Maplink3")</f>
        <v>Maplink3</v>
      </c>
    </row>
    <row r="645" customFormat="false" ht="15" hidden="false" customHeight="true" outlineLevel="0" collapsed="false">
      <c r="A645" s="15" t="n">
        <v>25214</v>
      </c>
      <c r="B645" s="16" t="s">
        <v>17</v>
      </c>
      <c r="C645" s="16" t="s">
        <v>1091</v>
      </c>
      <c r="D645" s="16" t="s">
        <v>1286</v>
      </c>
      <c r="E645" s="17" t="s">
        <v>1287</v>
      </c>
      <c r="F645" s="16" t="n">
        <v>33.51894</v>
      </c>
      <c r="G645" s="16" t="n">
        <v>44.34072</v>
      </c>
      <c r="H645" s="18" t="n">
        <v>5</v>
      </c>
      <c r="I645" s="18" t="n">
        <v>30</v>
      </c>
      <c r="J645" s="19" t="n">
        <v>5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 t="n">
        <v>5</v>
      </c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 t="n">
        <v>5</v>
      </c>
      <c r="AP645" s="19"/>
      <c r="AQ645" s="19"/>
      <c r="AR645" s="19"/>
      <c r="AS645" s="20" t="str">
        <f aca="false">HYPERLINK("http://www.openstreetmap.org/?mlat=33.5189&amp;mlon=44.3407&amp;zoom=12#map=12/33.5189/44.3407","Maplink1")</f>
        <v>Maplink1</v>
      </c>
      <c r="AT645" s="20" t="str">
        <f aca="false">HYPERLINK("https://www.google.iq/maps/search/+33.5189,44.3407/@33.5189,44.3407,14z?hl=en","Maplink2")</f>
        <v>Maplink2</v>
      </c>
      <c r="AU645" s="20" t="str">
        <f aca="false">HYPERLINK("http://www.bing.com/maps/?lvl=14&amp;sty=h&amp;cp=33.5189~44.3407&amp;sp=point.33.5189_44.3407","Maplink3")</f>
        <v>Maplink3</v>
      </c>
    </row>
    <row r="646" customFormat="false" ht="15" hidden="false" customHeight="true" outlineLevel="0" collapsed="false">
      <c r="A646" s="15" t="n">
        <v>24734</v>
      </c>
      <c r="B646" s="16" t="s">
        <v>17</v>
      </c>
      <c r="C646" s="16" t="s">
        <v>1288</v>
      </c>
      <c r="D646" s="16" t="s">
        <v>1289</v>
      </c>
      <c r="E646" s="16" t="s">
        <v>1290</v>
      </c>
      <c r="F646" s="16" t="n">
        <v>33.36093149</v>
      </c>
      <c r="G646" s="16" t="n">
        <v>44.41806082</v>
      </c>
      <c r="H646" s="18" t="n">
        <v>47</v>
      </c>
      <c r="I646" s="18" t="n">
        <v>282</v>
      </c>
      <c r="J646" s="19" t="n">
        <v>9</v>
      </c>
      <c r="K646" s="19"/>
      <c r="L646" s="19"/>
      <c r="M646" s="19"/>
      <c r="N646" s="19"/>
      <c r="O646" s="19" t="n">
        <v>5</v>
      </c>
      <c r="P646" s="19"/>
      <c r="Q646" s="19"/>
      <c r="R646" s="19"/>
      <c r="S646" s="19"/>
      <c r="T646" s="19"/>
      <c r="U646" s="19"/>
      <c r="V646" s="19" t="n">
        <v>25</v>
      </c>
      <c r="W646" s="19"/>
      <c r="X646" s="19" t="n">
        <v>8</v>
      </c>
      <c r="Y646" s="19"/>
      <c r="Z646" s="19"/>
      <c r="AA646" s="19"/>
      <c r="AB646" s="19"/>
      <c r="AC646" s="19" t="n">
        <v>20</v>
      </c>
      <c r="AD646" s="19"/>
      <c r="AE646" s="19"/>
      <c r="AF646" s="19"/>
      <c r="AG646" s="19"/>
      <c r="AH646" s="19" t="n">
        <v>27</v>
      </c>
      <c r="AI646" s="19"/>
      <c r="AJ646" s="19"/>
      <c r="AK646" s="19"/>
      <c r="AL646" s="19" t="n">
        <v>25</v>
      </c>
      <c r="AM646" s="19"/>
      <c r="AN646" s="19"/>
      <c r="AO646" s="19" t="n">
        <v>6</v>
      </c>
      <c r="AP646" s="19" t="n">
        <v>8</v>
      </c>
      <c r="AQ646" s="19" t="n">
        <v>5</v>
      </c>
      <c r="AR646" s="19" t="n">
        <v>3</v>
      </c>
      <c r="AS646" s="20" t="str">
        <f aca="false">HYPERLINK("http://www.openstreetmap.org/?mlat=33.3609&amp;mlon=44.4181&amp;zoom=12#map=12/33.3609/44.4181","Maplink1")</f>
        <v>Maplink1</v>
      </c>
      <c r="AT646" s="20" t="str">
        <f aca="false">HYPERLINK("https://www.google.iq/maps/search/+33.3609,44.4181/@33.3609,44.4181,14z?hl=en","Maplink2")</f>
        <v>Maplink2</v>
      </c>
      <c r="AU646" s="20" t="str">
        <f aca="false">HYPERLINK("http://www.bing.com/maps/?lvl=14&amp;sty=h&amp;cp=33.3609~44.4181&amp;sp=point.33.3609_44.4181","Maplink3")</f>
        <v>Maplink3</v>
      </c>
    </row>
    <row r="647" customFormat="false" ht="15" hidden="false" customHeight="true" outlineLevel="0" collapsed="false">
      <c r="A647" s="15" t="n">
        <v>24735</v>
      </c>
      <c r="B647" s="16" t="s">
        <v>17</v>
      </c>
      <c r="C647" s="16" t="s">
        <v>1288</v>
      </c>
      <c r="D647" s="16" t="s">
        <v>1291</v>
      </c>
      <c r="E647" s="16" t="s">
        <v>1292</v>
      </c>
      <c r="F647" s="16" t="n">
        <v>33.36481833</v>
      </c>
      <c r="G647" s="16" t="n">
        <v>44.41218467</v>
      </c>
      <c r="H647" s="18" t="n">
        <v>29</v>
      </c>
      <c r="I647" s="18" t="n">
        <v>174</v>
      </c>
      <c r="J647" s="19" t="n">
        <v>9</v>
      </c>
      <c r="K647" s="19"/>
      <c r="L647" s="19"/>
      <c r="M647" s="19"/>
      <c r="N647" s="19"/>
      <c r="O647" s="19" t="n">
        <v>3</v>
      </c>
      <c r="P647" s="19"/>
      <c r="Q647" s="19"/>
      <c r="R647" s="19"/>
      <c r="S647" s="19"/>
      <c r="T647" s="19"/>
      <c r="U647" s="19"/>
      <c r="V647" s="19" t="n">
        <v>13</v>
      </c>
      <c r="W647" s="19"/>
      <c r="X647" s="19" t="n">
        <v>4</v>
      </c>
      <c r="Y647" s="19"/>
      <c r="Z647" s="19"/>
      <c r="AA647" s="19"/>
      <c r="AB647" s="19"/>
      <c r="AC647" s="19" t="n">
        <v>16</v>
      </c>
      <c r="AD647" s="19"/>
      <c r="AE647" s="19"/>
      <c r="AF647" s="19"/>
      <c r="AG647" s="19"/>
      <c r="AH647" s="19" t="n">
        <v>13</v>
      </c>
      <c r="AI647" s="19"/>
      <c r="AJ647" s="19"/>
      <c r="AK647" s="19"/>
      <c r="AL647" s="19" t="n">
        <v>7</v>
      </c>
      <c r="AM647" s="19" t="n">
        <v>11</v>
      </c>
      <c r="AN647" s="19"/>
      <c r="AO647" s="19" t="n">
        <v>9</v>
      </c>
      <c r="AP647" s="19"/>
      <c r="AQ647" s="19" t="n">
        <v>2</v>
      </c>
      <c r="AR647" s="19"/>
      <c r="AS647" s="20" t="str">
        <f aca="false">HYPERLINK("http://www.openstreetmap.org/?mlat=33.3648&amp;mlon=44.4122&amp;zoom=12#map=12/33.3648/44.4122","Maplink1")</f>
        <v>Maplink1</v>
      </c>
      <c r="AT647" s="20" t="str">
        <f aca="false">HYPERLINK("https://www.google.iq/maps/search/+33.3648,44.4122/@33.3648,44.4122,14z?hl=en","Maplink2")</f>
        <v>Maplink2</v>
      </c>
      <c r="AU647" s="20" t="str">
        <f aca="false">HYPERLINK("http://www.bing.com/maps/?lvl=14&amp;sty=h&amp;cp=33.3648~44.4122&amp;sp=point.33.3648_44.4122","Maplink3")</f>
        <v>Maplink3</v>
      </c>
    </row>
    <row r="648" customFormat="false" ht="15" hidden="false" customHeight="true" outlineLevel="0" collapsed="false">
      <c r="A648" s="15" t="n">
        <v>24714</v>
      </c>
      <c r="B648" s="16" t="s">
        <v>17</v>
      </c>
      <c r="C648" s="16" t="s">
        <v>1288</v>
      </c>
      <c r="D648" s="16" t="s">
        <v>1293</v>
      </c>
      <c r="E648" s="17" t="s">
        <v>1294</v>
      </c>
      <c r="F648" s="16" t="n">
        <v>33.32433463</v>
      </c>
      <c r="G648" s="16" t="n">
        <v>44.40897301</v>
      </c>
      <c r="H648" s="18" t="n">
        <v>20</v>
      </c>
      <c r="I648" s="18" t="n">
        <v>120</v>
      </c>
      <c r="J648" s="19" t="n">
        <v>6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 t="n">
        <v>14</v>
      </c>
      <c r="W648" s="19"/>
      <c r="X648" s="19"/>
      <c r="Y648" s="19"/>
      <c r="Z648" s="19"/>
      <c r="AA648" s="19"/>
      <c r="AB648" s="19"/>
      <c r="AC648" s="19" t="n">
        <v>6</v>
      </c>
      <c r="AD648" s="19"/>
      <c r="AE648" s="19"/>
      <c r="AF648" s="19"/>
      <c r="AG648" s="19"/>
      <c r="AH648" s="19" t="n">
        <v>14</v>
      </c>
      <c r="AI648" s="19"/>
      <c r="AJ648" s="19"/>
      <c r="AK648" s="19"/>
      <c r="AL648" s="19"/>
      <c r="AM648" s="19" t="n">
        <v>8</v>
      </c>
      <c r="AN648" s="19"/>
      <c r="AO648" s="19" t="n">
        <v>5</v>
      </c>
      <c r="AP648" s="19" t="n">
        <v>6</v>
      </c>
      <c r="AQ648" s="19" t="n">
        <v>1</v>
      </c>
      <c r="AR648" s="19"/>
      <c r="AS648" s="20" t="str">
        <f aca="false">HYPERLINK("http://www.openstreetmap.org/?mlat=33.3243&amp;mlon=44.409&amp;zoom=12#map=12/33.3243/44.409","Maplink1")</f>
        <v>Maplink1</v>
      </c>
      <c r="AT648" s="20" t="str">
        <f aca="false">HYPERLINK("https://www.google.iq/maps/search/+33.3243,44.409/@33.3243,44.409,14z?hl=en","Maplink2")</f>
        <v>Maplink2</v>
      </c>
      <c r="AU648" s="20" t="str">
        <f aca="false">HYPERLINK("http://www.bing.com/maps/?lvl=14&amp;sty=h&amp;cp=33.3243~44.409&amp;sp=point.33.3243_44.409","Maplink3")</f>
        <v>Maplink3</v>
      </c>
    </row>
    <row r="649" customFormat="false" ht="15" hidden="false" customHeight="true" outlineLevel="0" collapsed="false">
      <c r="A649" s="15" t="n">
        <v>21752</v>
      </c>
      <c r="B649" s="16" t="s">
        <v>17</v>
      </c>
      <c r="C649" s="16" t="s">
        <v>1288</v>
      </c>
      <c r="D649" s="16" t="s">
        <v>1295</v>
      </c>
      <c r="E649" s="17" t="s">
        <v>1296</v>
      </c>
      <c r="F649" s="16" t="n">
        <v>33.30972714</v>
      </c>
      <c r="G649" s="16" t="n">
        <v>44.50628707</v>
      </c>
      <c r="H649" s="18" t="n">
        <v>31</v>
      </c>
      <c r="I649" s="18" t="n">
        <v>186</v>
      </c>
      <c r="J649" s="19" t="n">
        <v>5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 t="n">
        <v>18</v>
      </c>
      <c r="W649" s="19"/>
      <c r="X649" s="19" t="n">
        <v>8</v>
      </c>
      <c r="Y649" s="19"/>
      <c r="Z649" s="19"/>
      <c r="AA649" s="19"/>
      <c r="AB649" s="19"/>
      <c r="AC649" s="19" t="n">
        <v>3</v>
      </c>
      <c r="AD649" s="19"/>
      <c r="AE649" s="19"/>
      <c r="AF649" s="19"/>
      <c r="AG649" s="19" t="n">
        <v>8</v>
      </c>
      <c r="AH649" s="19" t="n">
        <v>20</v>
      </c>
      <c r="AI649" s="19"/>
      <c r="AJ649" s="19"/>
      <c r="AK649" s="19"/>
      <c r="AL649" s="19" t="n">
        <v>3</v>
      </c>
      <c r="AM649" s="19"/>
      <c r="AN649" s="19" t="n">
        <v>18</v>
      </c>
      <c r="AO649" s="19" t="n">
        <v>1</v>
      </c>
      <c r="AP649" s="19" t="n">
        <v>9</v>
      </c>
      <c r="AQ649" s="19"/>
      <c r="AR649" s="19"/>
      <c r="AS649" s="20" t="str">
        <f aca="false">HYPERLINK("http://www.openstreetmap.org/?mlat=33.3097&amp;mlon=44.5063&amp;zoom=12#map=12/33.3097/44.5063","Maplink1")</f>
        <v>Maplink1</v>
      </c>
      <c r="AT649" s="20" t="str">
        <f aca="false">HYPERLINK("https://www.google.iq/maps/search/+33.3097,44.5063/@33.3097,44.5063,14z?hl=en","Maplink2")</f>
        <v>Maplink2</v>
      </c>
      <c r="AU649" s="20" t="str">
        <f aca="false">HYPERLINK("http://www.bing.com/maps/?lvl=14&amp;sty=h&amp;cp=33.3097~44.5063&amp;sp=point.33.3097_44.5063","Maplink3")</f>
        <v>Maplink3</v>
      </c>
    </row>
    <row r="650" customFormat="false" ht="15" hidden="false" customHeight="true" outlineLevel="0" collapsed="false">
      <c r="A650" s="15" t="n">
        <v>22054</v>
      </c>
      <c r="B650" s="16" t="s">
        <v>17</v>
      </c>
      <c r="C650" s="16" t="s">
        <v>1288</v>
      </c>
      <c r="D650" s="16" t="s">
        <v>1297</v>
      </c>
      <c r="E650" s="17" t="s">
        <v>1298</v>
      </c>
      <c r="F650" s="16" t="n">
        <v>33.30629999</v>
      </c>
      <c r="G650" s="16" t="n">
        <v>44.51802768</v>
      </c>
      <c r="H650" s="18" t="n">
        <v>20</v>
      </c>
      <c r="I650" s="18" t="n">
        <v>120</v>
      </c>
      <c r="J650" s="19" t="n">
        <v>2</v>
      </c>
      <c r="K650" s="19"/>
      <c r="L650" s="19"/>
      <c r="M650" s="19"/>
      <c r="N650" s="19"/>
      <c r="O650" s="19" t="n">
        <v>3</v>
      </c>
      <c r="P650" s="19"/>
      <c r="Q650" s="19"/>
      <c r="R650" s="19"/>
      <c r="S650" s="19"/>
      <c r="T650" s="19"/>
      <c r="U650" s="19"/>
      <c r="V650" s="19" t="n">
        <v>15</v>
      </c>
      <c r="W650" s="19"/>
      <c r="X650" s="19"/>
      <c r="Y650" s="19"/>
      <c r="Z650" s="19"/>
      <c r="AA650" s="19"/>
      <c r="AB650" s="19"/>
      <c r="AC650" s="19" t="n">
        <v>8</v>
      </c>
      <c r="AD650" s="19"/>
      <c r="AE650" s="19"/>
      <c r="AF650" s="19"/>
      <c r="AG650" s="19" t="n">
        <v>7</v>
      </c>
      <c r="AH650" s="19" t="n">
        <v>5</v>
      </c>
      <c r="AI650" s="19"/>
      <c r="AJ650" s="19"/>
      <c r="AK650" s="19"/>
      <c r="AL650" s="19" t="n">
        <v>5</v>
      </c>
      <c r="AM650" s="19"/>
      <c r="AN650" s="19" t="n">
        <v>13</v>
      </c>
      <c r="AO650" s="19" t="n">
        <v>2</v>
      </c>
      <c r="AP650" s="19"/>
      <c r="AQ650" s="19"/>
      <c r="AR650" s="19"/>
      <c r="AS650" s="20" t="str">
        <f aca="false">HYPERLINK("http://www.openstreetmap.org/?mlat=33.3063&amp;mlon=44.518&amp;zoom=12#map=12/33.3063/44.518","Maplink1")</f>
        <v>Maplink1</v>
      </c>
      <c r="AT650" s="20" t="str">
        <f aca="false">HYPERLINK("https://www.google.iq/maps/search/+33.3063,44.518/@33.3063,44.518,14z?hl=en","Maplink2")</f>
        <v>Maplink2</v>
      </c>
      <c r="AU650" s="20" t="str">
        <f aca="false">HYPERLINK("http://www.bing.com/maps/?lvl=14&amp;sty=h&amp;cp=33.3063~44.518&amp;sp=point.33.3063_44.518","Maplink3")</f>
        <v>Maplink3</v>
      </c>
    </row>
    <row r="651" customFormat="false" ht="15" hidden="false" customHeight="true" outlineLevel="0" collapsed="false">
      <c r="A651" s="15" t="n">
        <v>21888</v>
      </c>
      <c r="B651" s="16" t="s">
        <v>17</v>
      </c>
      <c r="C651" s="16" t="s">
        <v>1288</v>
      </c>
      <c r="D651" s="16" t="s">
        <v>1299</v>
      </c>
      <c r="E651" s="17" t="s">
        <v>1300</v>
      </c>
      <c r="F651" s="16" t="n">
        <v>33.30058232</v>
      </c>
      <c r="G651" s="16" t="n">
        <v>44.5128146</v>
      </c>
      <c r="H651" s="18" t="n">
        <v>22</v>
      </c>
      <c r="I651" s="18" t="n">
        <v>132</v>
      </c>
      <c r="J651" s="19" t="n">
        <v>2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 t="n">
        <v>20</v>
      </c>
      <c r="W651" s="19"/>
      <c r="X651" s="19"/>
      <c r="Y651" s="19"/>
      <c r="Z651" s="19"/>
      <c r="AA651" s="19"/>
      <c r="AB651" s="19"/>
      <c r="AC651" s="19" t="n">
        <v>4</v>
      </c>
      <c r="AD651" s="19"/>
      <c r="AE651" s="19"/>
      <c r="AF651" s="19"/>
      <c r="AG651" s="19" t="n">
        <v>10</v>
      </c>
      <c r="AH651" s="19" t="n">
        <v>8</v>
      </c>
      <c r="AI651" s="19"/>
      <c r="AJ651" s="19"/>
      <c r="AK651" s="19"/>
      <c r="AL651" s="19"/>
      <c r="AM651" s="19" t="n">
        <v>6</v>
      </c>
      <c r="AN651" s="19" t="n">
        <v>12</v>
      </c>
      <c r="AO651" s="19" t="n">
        <v>4</v>
      </c>
      <c r="AP651" s="19"/>
      <c r="AQ651" s="19"/>
      <c r="AR651" s="19"/>
      <c r="AS651" s="20" t="str">
        <f aca="false">HYPERLINK("http://www.openstreetmap.org/?mlat=33.3006&amp;mlon=44.5128&amp;zoom=12#map=12/33.3006/44.5128","Maplink1")</f>
        <v>Maplink1</v>
      </c>
      <c r="AT651" s="20" t="str">
        <f aca="false">HYPERLINK("https://www.google.iq/maps/search/+33.3006,44.5128/@33.3006,44.5128,14z?hl=en","Maplink2")</f>
        <v>Maplink2</v>
      </c>
      <c r="AU651" s="20" t="str">
        <f aca="false">HYPERLINK("http://www.bing.com/maps/?lvl=14&amp;sty=h&amp;cp=33.3006~44.5128&amp;sp=point.33.3006_44.5128","Maplink3")</f>
        <v>Maplink3</v>
      </c>
    </row>
    <row r="652" customFormat="false" ht="15" hidden="false" customHeight="true" outlineLevel="0" collapsed="false">
      <c r="A652" s="15" t="n">
        <v>22055</v>
      </c>
      <c r="B652" s="16" t="s">
        <v>17</v>
      </c>
      <c r="C652" s="16" t="s">
        <v>1288</v>
      </c>
      <c r="D652" s="16" t="s">
        <v>1301</v>
      </c>
      <c r="E652" s="17" t="s">
        <v>1302</v>
      </c>
      <c r="F652" s="16" t="n">
        <v>33.30291727</v>
      </c>
      <c r="G652" s="16" t="n">
        <v>44.52005931</v>
      </c>
      <c r="H652" s="18" t="n">
        <v>36</v>
      </c>
      <c r="I652" s="18" t="n">
        <v>216</v>
      </c>
      <c r="J652" s="19" t="n">
        <v>5</v>
      </c>
      <c r="K652" s="19"/>
      <c r="L652" s="19"/>
      <c r="M652" s="19"/>
      <c r="N652" s="19"/>
      <c r="O652" s="19" t="n">
        <v>3</v>
      </c>
      <c r="P652" s="19"/>
      <c r="Q652" s="19"/>
      <c r="R652" s="19"/>
      <c r="S652" s="19"/>
      <c r="T652" s="19"/>
      <c r="U652" s="19"/>
      <c r="V652" s="19" t="n">
        <v>24</v>
      </c>
      <c r="W652" s="19"/>
      <c r="X652" s="19" t="n">
        <v>4</v>
      </c>
      <c r="Y652" s="19"/>
      <c r="Z652" s="19"/>
      <c r="AA652" s="19"/>
      <c r="AB652" s="19"/>
      <c r="AC652" s="19" t="n">
        <v>7</v>
      </c>
      <c r="AD652" s="19"/>
      <c r="AE652" s="19"/>
      <c r="AF652" s="19"/>
      <c r="AG652" s="19" t="n">
        <v>8</v>
      </c>
      <c r="AH652" s="19" t="n">
        <v>21</v>
      </c>
      <c r="AI652" s="19"/>
      <c r="AJ652" s="19"/>
      <c r="AK652" s="19"/>
      <c r="AL652" s="19" t="n">
        <v>3</v>
      </c>
      <c r="AM652" s="19"/>
      <c r="AN652" s="19" t="n">
        <v>20</v>
      </c>
      <c r="AO652" s="19" t="n">
        <v>6</v>
      </c>
      <c r="AP652" s="19" t="n">
        <v>7</v>
      </c>
      <c r="AQ652" s="19"/>
      <c r="AR652" s="19"/>
      <c r="AS652" s="20" t="str">
        <f aca="false">HYPERLINK("http://www.openstreetmap.org/?mlat=33.3029&amp;mlon=44.5201&amp;zoom=12#map=12/33.3029/44.5201","Maplink1")</f>
        <v>Maplink1</v>
      </c>
      <c r="AT652" s="20" t="str">
        <f aca="false">HYPERLINK("https://www.google.iq/maps/search/+33.3029,44.5201/@33.3029,44.5201,14z?hl=en","Maplink2")</f>
        <v>Maplink2</v>
      </c>
      <c r="AU652" s="20" t="str">
        <f aca="false">HYPERLINK("http://www.bing.com/maps/?lvl=14&amp;sty=h&amp;cp=33.3029~44.5201&amp;sp=point.33.3029_44.5201","Maplink3")</f>
        <v>Maplink3</v>
      </c>
    </row>
    <row r="653" customFormat="false" ht="15" hidden="false" customHeight="true" outlineLevel="0" collapsed="false">
      <c r="A653" s="15" t="n">
        <v>21751</v>
      </c>
      <c r="B653" s="16" t="s">
        <v>17</v>
      </c>
      <c r="C653" s="16" t="s">
        <v>1288</v>
      </c>
      <c r="D653" s="16" t="s">
        <v>1303</v>
      </c>
      <c r="E653" s="17" t="s">
        <v>1304</v>
      </c>
      <c r="F653" s="16" t="n">
        <v>33.30292404</v>
      </c>
      <c r="G653" s="16" t="n">
        <v>44.52765615</v>
      </c>
      <c r="H653" s="18" t="n">
        <v>59</v>
      </c>
      <c r="I653" s="18" t="n">
        <v>354</v>
      </c>
      <c r="J653" s="19" t="n">
        <v>6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 t="n">
        <v>53</v>
      </c>
      <c r="W653" s="19"/>
      <c r="X653" s="19"/>
      <c r="Y653" s="19"/>
      <c r="Z653" s="19"/>
      <c r="AA653" s="19"/>
      <c r="AB653" s="19"/>
      <c r="AC653" s="19" t="n">
        <v>23</v>
      </c>
      <c r="AD653" s="19"/>
      <c r="AE653" s="19"/>
      <c r="AF653" s="19"/>
      <c r="AG653" s="19"/>
      <c r="AH653" s="19" t="n">
        <v>36</v>
      </c>
      <c r="AI653" s="19"/>
      <c r="AJ653" s="19"/>
      <c r="AK653" s="19"/>
      <c r="AL653" s="19" t="n">
        <v>10</v>
      </c>
      <c r="AM653" s="19"/>
      <c r="AN653" s="19" t="n">
        <v>38</v>
      </c>
      <c r="AO653" s="19" t="n">
        <v>7</v>
      </c>
      <c r="AP653" s="19"/>
      <c r="AQ653" s="19"/>
      <c r="AR653" s="19" t="n">
        <v>4</v>
      </c>
      <c r="AS653" s="20" t="str">
        <f aca="false">HYPERLINK("http://www.openstreetmap.org/?mlat=33.3029&amp;mlon=44.5277&amp;zoom=12#map=12/33.3029/44.5277","Maplink1")</f>
        <v>Maplink1</v>
      </c>
      <c r="AT653" s="20" t="str">
        <f aca="false">HYPERLINK("https://www.google.iq/maps/search/+33.3029,44.5277/@33.3029,44.5277,14z?hl=en","Maplink2")</f>
        <v>Maplink2</v>
      </c>
      <c r="AU653" s="20" t="str">
        <f aca="false">HYPERLINK("http://www.bing.com/maps/?lvl=14&amp;sty=h&amp;cp=33.3029~44.5277&amp;sp=point.33.3029_44.5277","Maplink3")</f>
        <v>Maplink3</v>
      </c>
    </row>
    <row r="654" customFormat="false" ht="15" hidden="false" customHeight="true" outlineLevel="0" collapsed="false">
      <c r="A654" s="15" t="n">
        <v>21889</v>
      </c>
      <c r="B654" s="16" t="s">
        <v>17</v>
      </c>
      <c r="C654" s="16" t="s">
        <v>1288</v>
      </c>
      <c r="D654" s="16" t="s">
        <v>1305</v>
      </c>
      <c r="E654" s="17" t="s">
        <v>1306</v>
      </c>
      <c r="F654" s="16" t="n">
        <v>33.29390074</v>
      </c>
      <c r="G654" s="16" t="n">
        <v>44.52263944</v>
      </c>
      <c r="H654" s="18" t="n">
        <v>29</v>
      </c>
      <c r="I654" s="18" t="n">
        <v>174</v>
      </c>
      <c r="J654" s="19" t="n">
        <v>4</v>
      </c>
      <c r="K654" s="19"/>
      <c r="L654" s="19"/>
      <c r="M654" s="19"/>
      <c r="N654" s="19"/>
      <c r="O654" s="19" t="n">
        <v>2</v>
      </c>
      <c r="P654" s="19"/>
      <c r="Q654" s="19"/>
      <c r="R654" s="19"/>
      <c r="S654" s="19"/>
      <c r="T654" s="19"/>
      <c r="U654" s="19"/>
      <c r="V654" s="19" t="n">
        <v>23</v>
      </c>
      <c r="W654" s="19"/>
      <c r="X654" s="19"/>
      <c r="Y654" s="19"/>
      <c r="Z654" s="19"/>
      <c r="AA654" s="19"/>
      <c r="AB654" s="19"/>
      <c r="AC654" s="19" t="n">
        <v>13</v>
      </c>
      <c r="AD654" s="19"/>
      <c r="AE654" s="19"/>
      <c r="AF654" s="19"/>
      <c r="AG654" s="19"/>
      <c r="AH654" s="19" t="n">
        <v>11</v>
      </c>
      <c r="AI654" s="19"/>
      <c r="AJ654" s="19" t="n">
        <v>5</v>
      </c>
      <c r="AK654" s="19"/>
      <c r="AL654" s="19"/>
      <c r="AM654" s="19"/>
      <c r="AN654" s="19" t="n">
        <v>20</v>
      </c>
      <c r="AO654" s="19" t="n">
        <v>5</v>
      </c>
      <c r="AP654" s="19" t="n">
        <v>4</v>
      </c>
      <c r="AQ654" s="19"/>
      <c r="AR654" s="19"/>
      <c r="AS654" s="20" t="str">
        <f aca="false">HYPERLINK("http://www.openstreetmap.org/?mlat=33.2939&amp;mlon=44.5226&amp;zoom=12#map=12/33.2939/44.5226","Maplink1")</f>
        <v>Maplink1</v>
      </c>
      <c r="AT654" s="20" t="str">
        <f aca="false">HYPERLINK("https://www.google.iq/maps/search/+33.2939,44.5226/@33.2939,44.5226,14z?hl=en","Maplink2")</f>
        <v>Maplink2</v>
      </c>
      <c r="AU654" s="20" t="str">
        <f aca="false">HYPERLINK("http://www.bing.com/maps/?lvl=14&amp;sty=h&amp;cp=33.2939~44.5226&amp;sp=point.33.2939_44.5226","Maplink3")</f>
        <v>Maplink3</v>
      </c>
    </row>
    <row r="655" customFormat="false" ht="15" hidden="false" customHeight="true" outlineLevel="0" collapsed="false">
      <c r="A655" s="15" t="n">
        <v>24939</v>
      </c>
      <c r="B655" s="16" t="s">
        <v>17</v>
      </c>
      <c r="C655" s="16" t="s">
        <v>1288</v>
      </c>
      <c r="D655" s="16" t="s">
        <v>1307</v>
      </c>
      <c r="E655" s="17" t="s">
        <v>1308</v>
      </c>
      <c r="F655" s="16" t="n">
        <v>33.35059212</v>
      </c>
      <c r="G655" s="16" t="n">
        <v>44.38108625</v>
      </c>
      <c r="H655" s="18" t="n">
        <v>14</v>
      </c>
      <c r="I655" s="18" t="n">
        <v>84</v>
      </c>
      <c r="J655" s="19" t="n">
        <v>4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 t="n">
        <v>7</v>
      </c>
      <c r="W655" s="19"/>
      <c r="X655" s="19" t="n">
        <v>3</v>
      </c>
      <c r="Y655" s="19"/>
      <c r="Z655" s="19"/>
      <c r="AA655" s="19"/>
      <c r="AB655" s="19"/>
      <c r="AC655" s="19" t="n">
        <v>8</v>
      </c>
      <c r="AD655" s="19"/>
      <c r="AE655" s="19"/>
      <c r="AF655" s="19"/>
      <c r="AG655" s="19"/>
      <c r="AH655" s="19" t="n">
        <v>6</v>
      </c>
      <c r="AI655" s="19"/>
      <c r="AJ655" s="19"/>
      <c r="AK655" s="19"/>
      <c r="AL655" s="19"/>
      <c r="AM655" s="19" t="n">
        <v>5</v>
      </c>
      <c r="AN655" s="19" t="n">
        <v>6</v>
      </c>
      <c r="AO655" s="19"/>
      <c r="AP655" s="19" t="n">
        <v>2</v>
      </c>
      <c r="AQ655" s="19" t="n">
        <v>1</v>
      </c>
      <c r="AR655" s="19"/>
      <c r="AS655" s="20" t="str">
        <f aca="false">HYPERLINK("http://www.openstreetmap.org/?mlat=33.3506&amp;mlon=44.3811&amp;zoom=12#map=12/33.3506/44.3811","Maplink1")</f>
        <v>Maplink1</v>
      </c>
      <c r="AT655" s="20" t="str">
        <f aca="false">HYPERLINK("https://www.google.iq/maps/search/+33.3506,44.3811/@33.3506,44.3811,14z?hl=en","Maplink2")</f>
        <v>Maplink2</v>
      </c>
      <c r="AU655" s="20" t="str">
        <f aca="false">HYPERLINK("http://www.bing.com/maps/?lvl=14&amp;sty=h&amp;cp=33.3506~44.3811&amp;sp=point.33.3506_44.3811","Maplink3")</f>
        <v>Maplink3</v>
      </c>
    </row>
    <row r="656" customFormat="false" ht="15" hidden="false" customHeight="true" outlineLevel="0" collapsed="false">
      <c r="A656" s="15" t="n">
        <v>24940</v>
      </c>
      <c r="B656" s="16" t="s">
        <v>17</v>
      </c>
      <c r="C656" s="16" t="s">
        <v>1288</v>
      </c>
      <c r="D656" s="16" t="s">
        <v>1309</v>
      </c>
      <c r="E656" s="17" t="s">
        <v>1310</v>
      </c>
      <c r="F656" s="16" t="n">
        <v>33.35193556</v>
      </c>
      <c r="G656" s="16" t="n">
        <v>44.37452721</v>
      </c>
      <c r="H656" s="18" t="n">
        <v>6</v>
      </c>
      <c r="I656" s="18" t="n">
        <v>36</v>
      </c>
      <c r="J656" s="19" t="n">
        <v>3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 t="n">
        <v>3</v>
      </c>
      <c r="W656" s="19"/>
      <c r="X656" s="19"/>
      <c r="Y656" s="19"/>
      <c r="Z656" s="19"/>
      <c r="AA656" s="19"/>
      <c r="AB656" s="19"/>
      <c r="AC656" s="19" t="n">
        <v>6</v>
      </c>
      <c r="AD656" s="19"/>
      <c r="AE656" s="19"/>
      <c r="AF656" s="19"/>
      <c r="AG656" s="19"/>
      <c r="AH656" s="19"/>
      <c r="AI656" s="19"/>
      <c r="AJ656" s="19"/>
      <c r="AK656" s="19"/>
      <c r="AL656" s="19"/>
      <c r="AM656" s="19" t="n">
        <v>3</v>
      </c>
      <c r="AN656" s="19"/>
      <c r="AO656" s="19"/>
      <c r="AP656" s="19" t="n">
        <v>3</v>
      </c>
      <c r="AQ656" s="19"/>
      <c r="AR656" s="19"/>
      <c r="AS656" s="20" t="str">
        <f aca="false">HYPERLINK("http://www.openstreetmap.org/?mlat=33.3519&amp;mlon=44.3745&amp;zoom=12#map=12/33.3519/44.3745","Maplink1")</f>
        <v>Maplink1</v>
      </c>
      <c r="AT656" s="20" t="str">
        <f aca="false">HYPERLINK("https://www.google.iq/maps/search/+33.3519,44.3745/@33.3519,44.3745,14z?hl=en","Maplink2")</f>
        <v>Maplink2</v>
      </c>
      <c r="AU656" s="20" t="str">
        <f aca="false">HYPERLINK("http://www.bing.com/maps/?lvl=14&amp;sty=h&amp;cp=33.3519~44.3745&amp;sp=point.33.3519_44.3745","Maplink3")</f>
        <v>Maplink3</v>
      </c>
    </row>
    <row r="657" customFormat="false" ht="15" hidden="false" customHeight="true" outlineLevel="0" collapsed="false">
      <c r="A657" s="15" t="n">
        <v>24938</v>
      </c>
      <c r="B657" s="16" t="s">
        <v>17</v>
      </c>
      <c r="C657" s="16" t="s">
        <v>1288</v>
      </c>
      <c r="D657" s="16" t="s">
        <v>1311</v>
      </c>
      <c r="E657" s="17" t="s">
        <v>1312</v>
      </c>
      <c r="F657" s="16" t="n">
        <v>33.35287901</v>
      </c>
      <c r="G657" s="16" t="n">
        <v>44.38205542</v>
      </c>
      <c r="H657" s="18" t="n">
        <v>9</v>
      </c>
      <c r="I657" s="18" t="n">
        <v>54</v>
      </c>
      <c r="J657" s="19" t="n">
        <v>9</v>
      </c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 t="n">
        <v>9</v>
      </c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 t="n">
        <v>9</v>
      </c>
      <c r="AP657" s="19"/>
      <c r="AQ657" s="19"/>
      <c r="AR657" s="19"/>
      <c r="AS657" s="20" t="str">
        <f aca="false">HYPERLINK("http://www.openstreetmap.org/?mlat=33.3529&amp;mlon=44.3821&amp;zoom=12#map=12/33.3529/44.3821","Maplink1")</f>
        <v>Maplink1</v>
      </c>
      <c r="AT657" s="20" t="str">
        <f aca="false">HYPERLINK("https://www.google.iq/maps/search/+33.3529,44.3821/@33.3529,44.3821,14z?hl=en","Maplink2")</f>
        <v>Maplink2</v>
      </c>
      <c r="AU657" s="20" t="str">
        <f aca="false">HYPERLINK("http://www.bing.com/maps/?lvl=14&amp;sty=h&amp;cp=33.3529~44.3821&amp;sp=point.33.3529_44.3821","Maplink3")</f>
        <v>Maplink3</v>
      </c>
    </row>
    <row r="658" customFormat="false" ht="15" hidden="false" customHeight="true" outlineLevel="0" collapsed="false">
      <c r="A658" s="15" t="n">
        <v>24497</v>
      </c>
      <c r="B658" s="16" t="s">
        <v>17</v>
      </c>
      <c r="C658" s="16" t="s">
        <v>1288</v>
      </c>
      <c r="D658" s="16" t="s">
        <v>1313</v>
      </c>
      <c r="E658" s="17" t="s">
        <v>1314</v>
      </c>
      <c r="F658" s="16" t="n">
        <v>33.3337597</v>
      </c>
      <c r="G658" s="16" t="n">
        <v>44.48108336</v>
      </c>
      <c r="H658" s="18" t="n">
        <v>44</v>
      </c>
      <c r="I658" s="18" t="n">
        <v>264</v>
      </c>
      <c r="J658" s="19" t="n">
        <v>15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 t="n">
        <v>29</v>
      </c>
      <c r="W658" s="19"/>
      <c r="X658" s="19"/>
      <c r="Y658" s="19"/>
      <c r="Z658" s="19"/>
      <c r="AA658" s="19"/>
      <c r="AB658" s="19"/>
      <c r="AC658" s="19" t="n">
        <v>13</v>
      </c>
      <c r="AD658" s="19"/>
      <c r="AE658" s="19"/>
      <c r="AF658" s="19"/>
      <c r="AG658" s="19"/>
      <c r="AH658" s="19" t="n">
        <v>31</v>
      </c>
      <c r="AI658" s="19"/>
      <c r="AJ658" s="19"/>
      <c r="AK658" s="19"/>
      <c r="AL658" s="19"/>
      <c r="AM658" s="19"/>
      <c r="AN658" s="19" t="n">
        <v>31</v>
      </c>
      <c r="AO658" s="19"/>
      <c r="AP658" s="19" t="n">
        <v>13</v>
      </c>
      <c r="AQ658" s="19"/>
      <c r="AR658" s="19"/>
      <c r="AS658" s="20" t="str">
        <f aca="false">HYPERLINK("http://www.openstreetmap.org/?mlat=33.3338&amp;mlon=44.4811&amp;zoom=12#map=12/33.3338/44.4811","Maplink1")</f>
        <v>Maplink1</v>
      </c>
      <c r="AT658" s="20" t="str">
        <f aca="false">HYPERLINK("https://www.google.iq/maps/search/+33.3338,44.4811/@33.3338,44.4811,14z?hl=en","Maplink2")</f>
        <v>Maplink2</v>
      </c>
      <c r="AU658" s="20" t="str">
        <f aca="false">HYPERLINK("http://www.bing.com/maps/?lvl=14&amp;sty=h&amp;cp=33.3338~44.4811&amp;sp=point.33.3338_44.4811","Maplink3")</f>
        <v>Maplink3</v>
      </c>
    </row>
    <row r="659" customFormat="false" ht="15" hidden="false" customHeight="true" outlineLevel="0" collapsed="false">
      <c r="A659" s="15" t="n">
        <v>24498</v>
      </c>
      <c r="B659" s="16" t="s">
        <v>17</v>
      </c>
      <c r="C659" s="16" t="s">
        <v>1288</v>
      </c>
      <c r="D659" s="16" t="s">
        <v>1315</v>
      </c>
      <c r="E659" s="17" t="s">
        <v>1316</v>
      </c>
      <c r="F659" s="16" t="n">
        <v>33.33668046</v>
      </c>
      <c r="G659" s="16" t="n">
        <v>44.48315317</v>
      </c>
      <c r="H659" s="18" t="n">
        <v>36</v>
      </c>
      <c r="I659" s="18" t="n">
        <v>216</v>
      </c>
      <c r="J659" s="19" t="n">
        <v>10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 t="n">
        <v>26</v>
      </c>
      <c r="W659" s="19"/>
      <c r="X659" s="19"/>
      <c r="Y659" s="19"/>
      <c r="Z659" s="19"/>
      <c r="AA659" s="19"/>
      <c r="AB659" s="19"/>
      <c r="AC659" s="19" t="n">
        <v>10</v>
      </c>
      <c r="AD659" s="19"/>
      <c r="AE659" s="19"/>
      <c r="AF659" s="19"/>
      <c r="AG659" s="19"/>
      <c r="AH659" s="19" t="n">
        <v>26</v>
      </c>
      <c r="AI659" s="19"/>
      <c r="AJ659" s="19"/>
      <c r="AK659" s="19"/>
      <c r="AL659" s="19"/>
      <c r="AM659" s="19"/>
      <c r="AN659" s="19" t="n">
        <v>11</v>
      </c>
      <c r="AO659" s="19" t="n">
        <v>20</v>
      </c>
      <c r="AP659" s="19" t="n">
        <v>5</v>
      </c>
      <c r="AQ659" s="19"/>
      <c r="AR659" s="19"/>
      <c r="AS659" s="20" t="str">
        <f aca="false">HYPERLINK("http://www.openstreetmap.org/?mlat=33.3367&amp;mlon=44.4832&amp;zoom=12#map=12/33.3367/44.4832","Maplink1")</f>
        <v>Maplink1</v>
      </c>
      <c r="AT659" s="20" t="str">
        <f aca="false">HYPERLINK("https://www.google.iq/maps/search/+33.3367,44.4832/@33.3367,44.4832,14z?hl=en","Maplink2")</f>
        <v>Maplink2</v>
      </c>
      <c r="AU659" s="20" t="str">
        <f aca="false">HYPERLINK("http://www.bing.com/maps/?lvl=14&amp;sty=h&amp;cp=33.3367~44.4832&amp;sp=point.33.3367_44.4832","Maplink3")</f>
        <v>Maplink3</v>
      </c>
    </row>
    <row r="660" customFormat="false" ht="15" hidden="false" customHeight="true" outlineLevel="0" collapsed="false">
      <c r="A660" s="15" t="n">
        <v>24500</v>
      </c>
      <c r="B660" s="16" t="s">
        <v>17</v>
      </c>
      <c r="C660" s="16" t="s">
        <v>1288</v>
      </c>
      <c r="D660" s="16" t="s">
        <v>1317</v>
      </c>
      <c r="E660" s="17" t="s">
        <v>1318</v>
      </c>
      <c r="F660" s="16" t="n">
        <v>33.34872729</v>
      </c>
      <c r="G660" s="16" t="n">
        <v>44.4667296</v>
      </c>
      <c r="H660" s="18" t="n">
        <v>71</v>
      </c>
      <c r="I660" s="18" t="n">
        <v>426</v>
      </c>
      <c r="J660" s="19" t="n">
        <v>10</v>
      </c>
      <c r="K660" s="19"/>
      <c r="L660" s="19"/>
      <c r="M660" s="19"/>
      <c r="N660" s="19"/>
      <c r="O660" s="19" t="n">
        <v>6</v>
      </c>
      <c r="P660" s="19"/>
      <c r="Q660" s="19"/>
      <c r="R660" s="19"/>
      <c r="S660" s="19"/>
      <c r="T660" s="19"/>
      <c r="U660" s="19"/>
      <c r="V660" s="19" t="n">
        <v>40</v>
      </c>
      <c r="W660" s="19"/>
      <c r="X660" s="19" t="n">
        <v>15</v>
      </c>
      <c r="Y660" s="19"/>
      <c r="Z660" s="19"/>
      <c r="AA660" s="19"/>
      <c r="AB660" s="19"/>
      <c r="AC660" s="19" t="n">
        <v>38</v>
      </c>
      <c r="AD660" s="19"/>
      <c r="AE660" s="19"/>
      <c r="AF660" s="19"/>
      <c r="AG660" s="19"/>
      <c r="AH660" s="19" t="n">
        <v>33</v>
      </c>
      <c r="AI660" s="19"/>
      <c r="AJ660" s="19"/>
      <c r="AK660" s="19"/>
      <c r="AL660" s="19"/>
      <c r="AM660" s="19"/>
      <c r="AN660" s="19" t="n">
        <v>36</v>
      </c>
      <c r="AO660" s="19" t="n">
        <v>19</v>
      </c>
      <c r="AP660" s="19" t="n">
        <v>10</v>
      </c>
      <c r="AQ660" s="19"/>
      <c r="AR660" s="19" t="n">
        <v>6</v>
      </c>
      <c r="AS660" s="20" t="str">
        <f aca="false">HYPERLINK("http://www.openstreetmap.org/?mlat=33.3487&amp;mlon=44.4667&amp;zoom=12#map=12/33.3487/44.4667","Maplink1")</f>
        <v>Maplink1</v>
      </c>
      <c r="AT660" s="20" t="str">
        <f aca="false">HYPERLINK("https://www.google.iq/maps/search/+33.3487,44.4667/@33.3487,44.4667,14z?hl=en","Maplink2")</f>
        <v>Maplink2</v>
      </c>
      <c r="AU660" s="20" t="str">
        <f aca="false">HYPERLINK("http://www.bing.com/maps/?lvl=14&amp;sty=h&amp;cp=33.3487~44.4667&amp;sp=point.33.3487_44.4667","Maplink3")</f>
        <v>Maplink3</v>
      </c>
    </row>
    <row r="661" customFormat="false" ht="15" hidden="false" customHeight="true" outlineLevel="0" collapsed="false">
      <c r="A661" s="15" t="n">
        <v>24499</v>
      </c>
      <c r="B661" s="16" t="s">
        <v>17</v>
      </c>
      <c r="C661" s="16" t="s">
        <v>1288</v>
      </c>
      <c r="D661" s="16" t="s">
        <v>1319</v>
      </c>
      <c r="E661" s="17" t="s">
        <v>1320</v>
      </c>
      <c r="F661" s="16" t="n">
        <v>33.35138163</v>
      </c>
      <c r="G661" s="16" t="n">
        <v>44.46648861</v>
      </c>
      <c r="H661" s="18" t="n">
        <v>41</v>
      </c>
      <c r="I661" s="18" t="n">
        <v>246</v>
      </c>
      <c r="J661" s="19" t="n">
        <v>8</v>
      </c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 t="n">
        <v>24</v>
      </c>
      <c r="W661" s="19"/>
      <c r="X661" s="19" t="n">
        <v>9</v>
      </c>
      <c r="Y661" s="19"/>
      <c r="Z661" s="19"/>
      <c r="AA661" s="19"/>
      <c r="AB661" s="19"/>
      <c r="AC661" s="19" t="n">
        <v>18</v>
      </c>
      <c r="AD661" s="19"/>
      <c r="AE661" s="19"/>
      <c r="AF661" s="19"/>
      <c r="AG661" s="19"/>
      <c r="AH661" s="19" t="n">
        <v>23</v>
      </c>
      <c r="AI661" s="19"/>
      <c r="AJ661" s="19"/>
      <c r="AK661" s="19"/>
      <c r="AL661" s="19"/>
      <c r="AM661" s="19"/>
      <c r="AN661" s="19" t="n">
        <v>31</v>
      </c>
      <c r="AO661" s="19" t="n">
        <v>3</v>
      </c>
      <c r="AP661" s="19" t="n">
        <v>7</v>
      </c>
      <c r="AQ661" s="19"/>
      <c r="AR661" s="19"/>
      <c r="AS661" s="20" t="str">
        <f aca="false">HYPERLINK("http://www.openstreetmap.org/?mlat=33.3514&amp;mlon=44.4665&amp;zoom=12#map=12/33.3514/44.4665","Maplink1")</f>
        <v>Maplink1</v>
      </c>
      <c r="AT661" s="20" t="str">
        <f aca="false">HYPERLINK("https://www.google.iq/maps/search/+33.3514,44.4665/@33.3514,44.4665,14z?hl=en","Maplink2")</f>
        <v>Maplink2</v>
      </c>
      <c r="AU661" s="20" t="str">
        <f aca="false">HYPERLINK("http://www.bing.com/maps/?lvl=14&amp;sty=h&amp;cp=33.3514~44.4665&amp;sp=point.33.3514_44.4665","Maplink3")</f>
        <v>Maplink3</v>
      </c>
    </row>
    <row r="662" customFormat="false" ht="15" hidden="false" customHeight="true" outlineLevel="0" collapsed="false">
      <c r="A662" s="15" t="n">
        <v>23731</v>
      </c>
      <c r="B662" s="16" t="s">
        <v>17</v>
      </c>
      <c r="C662" s="16" t="s">
        <v>1288</v>
      </c>
      <c r="D662" s="16" t="s">
        <v>1321</v>
      </c>
      <c r="E662" s="17" t="s">
        <v>1322</v>
      </c>
      <c r="F662" s="16" t="n">
        <v>33.34269692</v>
      </c>
      <c r="G662" s="16" t="n">
        <v>44.4859539</v>
      </c>
      <c r="H662" s="18" t="n">
        <v>39</v>
      </c>
      <c r="I662" s="18" t="n">
        <v>234</v>
      </c>
      <c r="J662" s="19" t="n">
        <v>3</v>
      </c>
      <c r="K662" s="19"/>
      <c r="L662" s="19"/>
      <c r="M662" s="19"/>
      <c r="N662" s="19"/>
      <c r="O662" s="19" t="n">
        <v>2</v>
      </c>
      <c r="P662" s="19"/>
      <c r="Q662" s="19"/>
      <c r="R662" s="19"/>
      <c r="S662" s="19"/>
      <c r="T662" s="19"/>
      <c r="U662" s="19"/>
      <c r="V662" s="19" t="n">
        <v>32</v>
      </c>
      <c r="W662" s="19"/>
      <c r="X662" s="19" t="n">
        <v>2</v>
      </c>
      <c r="Y662" s="19"/>
      <c r="Z662" s="19"/>
      <c r="AA662" s="19"/>
      <c r="AB662" s="19"/>
      <c r="AC662" s="19" t="n">
        <v>11</v>
      </c>
      <c r="AD662" s="19"/>
      <c r="AE662" s="19"/>
      <c r="AF662" s="19"/>
      <c r="AG662" s="19"/>
      <c r="AH662" s="19" t="n">
        <v>20</v>
      </c>
      <c r="AI662" s="19" t="n">
        <v>8</v>
      </c>
      <c r="AJ662" s="19"/>
      <c r="AK662" s="19"/>
      <c r="AL662" s="19"/>
      <c r="AM662" s="19" t="n">
        <v>20</v>
      </c>
      <c r="AN662" s="19" t="n">
        <v>13</v>
      </c>
      <c r="AO662" s="19" t="n">
        <v>3</v>
      </c>
      <c r="AP662" s="19" t="n">
        <v>3</v>
      </c>
      <c r="AQ662" s="19"/>
      <c r="AR662" s="19"/>
      <c r="AS662" s="20" t="str">
        <f aca="false">HYPERLINK("http://www.openstreetmap.org/?mlat=33.3427&amp;mlon=44.486&amp;zoom=12#map=12/33.3427/44.486","Maplink1")</f>
        <v>Maplink1</v>
      </c>
      <c r="AT662" s="20" t="str">
        <f aca="false">HYPERLINK("https://www.google.iq/maps/search/+33.3427,44.486/@33.3427,44.486,14z?hl=en","Maplink2")</f>
        <v>Maplink2</v>
      </c>
      <c r="AU662" s="20" t="str">
        <f aca="false">HYPERLINK("http://www.bing.com/maps/?lvl=14&amp;sty=h&amp;cp=33.3427~44.486&amp;sp=point.33.3427_44.486","Maplink3")</f>
        <v>Maplink3</v>
      </c>
    </row>
    <row r="663" customFormat="false" ht="15" hidden="false" customHeight="true" outlineLevel="0" collapsed="false">
      <c r="A663" s="15" t="n">
        <v>24024</v>
      </c>
      <c r="B663" s="16" t="s">
        <v>17</v>
      </c>
      <c r="C663" s="16" t="s">
        <v>1288</v>
      </c>
      <c r="D663" s="16" t="s">
        <v>1323</v>
      </c>
      <c r="E663" s="17" t="s">
        <v>1324</v>
      </c>
      <c r="F663" s="16" t="n">
        <v>33.35499629</v>
      </c>
      <c r="G663" s="16" t="n">
        <v>44.46634417</v>
      </c>
      <c r="H663" s="18" t="n">
        <v>58</v>
      </c>
      <c r="I663" s="18" t="n">
        <v>348</v>
      </c>
      <c r="J663" s="19" t="n">
        <v>22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 t="n">
        <v>36</v>
      </c>
      <c r="W663" s="19"/>
      <c r="X663" s="19"/>
      <c r="Y663" s="19"/>
      <c r="Z663" s="19"/>
      <c r="AA663" s="19"/>
      <c r="AB663" s="19"/>
      <c r="AC663" s="19" t="n">
        <v>18</v>
      </c>
      <c r="AD663" s="19"/>
      <c r="AE663" s="19"/>
      <c r="AF663" s="19"/>
      <c r="AG663" s="19" t="n">
        <v>10</v>
      </c>
      <c r="AH663" s="19" t="n">
        <v>30</v>
      </c>
      <c r="AI663" s="19"/>
      <c r="AJ663" s="19"/>
      <c r="AK663" s="19"/>
      <c r="AL663" s="19" t="n">
        <v>12</v>
      </c>
      <c r="AM663" s="19"/>
      <c r="AN663" s="19" t="n">
        <v>35</v>
      </c>
      <c r="AO663" s="19"/>
      <c r="AP663" s="19" t="n">
        <v>11</v>
      </c>
      <c r="AQ663" s="19"/>
      <c r="AR663" s="19"/>
      <c r="AS663" s="20" t="str">
        <f aca="false">HYPERLINK("http://www.openstreetmap.org/?mlat=33.355&amp;mlon=44.4663&amp;zoom=12#map=12/33.355/44.4663","Maplink1")</f>
        <v>Maplink1</v>
      </c>
      <c r="AT663" s="20" t="str">
        <f aca="false">HYPERLINK("https://www.google.iq/maps/search/+33.355,44.4663/@33.355,44.4663,14z?hl=en","Maplink2")</f>
        <v>Maplink2</v>
      </c>
      <c r="AU663" s="20" t="str">
        <f aca="false">HYPERLINK("http://www.bing.com/maps/?lvl=14&amp;sty=h&amp;cp=33.355~44.4663&amp;sp=point.33.355_44.4663","Maplink3")</f>
        <v>Maplink3</v>
      </c>
    </row>
    <row r="664" customFormat="false" ht="15" hidden="false" customHeight="true" outlineLevel="0" collapsed="false">
      <c r="A664" s="15" t="n">
        <v>25406</v>
      </c>
      <c r="B664" s="16" t="s">
        <v>17</v>
      </c>
      <c r="C664" s="16" t="s">
        <v>1288</v>
      </c>
      <c r="D664" s="16" t="s">
        <v>1325</v>
      </c>
      <c r="E664" s="17" t="s">
        <v>1326</v>
      </c>
      <c r="F664" s="16" t="n">
        <v>33.35457955</v>
      </c>
      <c r="G664" s="16" t="n">
        <v>44.47756409</v>
      </c>
      <c r="H664" s="18" t="n">
        <v>28</v>
      </c>
      <c r="I664" s="18" t="n">
        <v>168</v>
      </c>
      <c r="J664" s="19" t="n">
        <v>2</v>
      </c>
      <c r="K664" s="19"/>
      <c r="L664" s="19"/>
      <c r="M664" s="19"/>
      <c r="N664" s="19"/>
      <c r="O664" s="19" t="n">
        <v>10</v>
      </c>
      <c r="P664" s="19"/>
      <c r="Q664" s="19"/>
      <c r="R664" s="19"/>
      <c r="S664" s="19"/>
      <c r="T664" s="19"/>
      <c r="U664" s="19"/>
      <c r="V664" s="19"/>
      <c r="W664" s="19"/>
      <c r="X664" s="19" t="n">
        <v>16</v>
      </c>
      <c r="Y664" s="19"/>
      <c r="Z664" s="19"/>
      <c r="AA664" s="19"/>
      <c r="AB664" s="19"/>
      <c r="AC664" s="19" t="n">
        <v>7</v>
      </c>
      <c r="AD664" s="19"/>
      <c r="AE664" s="19"/>
      <c r="AF664" s="19"/>
      <c r="AG664" s="19"/>
      <c r="AH664" s="19" t="n">
        <v>21</v>
      </c>
      <c r="AI664" s="19"/>
      <c r="AJ664" s="19"/>
      <c r="AK664" s="19"/>
      <c r="AL664" s="19"/>
      <c r="AM664" s="19"/>
      <c r="AN664" s="19" t="n">
        <v>14</v>
      </c>
      <c r="AO664" s="19" t="n">
        <v>5</v>
      </c>
      <c r="AP664" s="19" t="n">
        <v>9</v>
      </c>
      <c r="AQ664" s="19"/>
      <c r="AR664" s="19"/>
      <c r="AS664" s="20" t="str">
        <f aca="false">HYPERLINK("http://www.openstreetmap.org/?mlat=33.3546&amp;mlon=44.4776&amp;zoom=12#map=12/33.3546/44.4776","Maplink1")</f>
        <v>Maplink1</v>
      </c>
      <c r="AT664" s="20" t="str">
        <f aca="false">HYPERLINK("https://www.google.iq/maps/search/+33.3546,44.4776/@33.3546,44.4776,14z?hl=en","Maplink2")</f>
        <v>Maplink2</v>
      </c>
      <c r="AU664" s="20" t="str">
        <f aca="false">HYPERLINK("http://www.bing.com/maps/?lvl=14&amp;sty=h&amp;cp=33.3546~44.4776&amp;sp=point.33.3546_44.4776","Maplink3")</f>
        <v>Maplink3</v>
      </c>
    </row>
    <row r="665" customFormat="false" ht="15" hidden="false" customHeight="true" outlineLevel="0" collapsed="false">
      <c r="A665" s="15" t="n">
        <v>22816</v>
      </c>
      <c r="B665" s="16" t="s">
        <v>17</v>
      </c>
      <c r="C665" s="16" t="s">
        <v>1288</v>
      </c>
      <c r="D665" s="16" t="s">
        <v>1327</v>
      </c>
      <c r="E665" s="17" t="s">
        <v>1328</v>
      </c>
      <c r="F665" s="16" t="n">
        <v>33.35691879</v>
      </c>
      <c r="G665" s="16" t="n">
        <v>44.42582042</v>
      </c>
      <c r="H665" s="18" t="n">
        <v>98</v>
      </c>
      <c r="I665" s="18" t="n">
        <v>588</v>
      </c>
      <c r="J665" s="19" t="n">
        <v>58</v>
      </c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 t="n">
        <v>30</v>
      </c>
      <c r="W665" s="19"/>
      <c r="X665" s="19" t="n">
        <v>10</v>
      </c>
      <c r="Y665" s="19"/>
      <c r="Z665" s="19"/>
      <c r="AA665" s="19"/>
      <c r="AB665" s="19"/>
      <c r="AC665" s="19" t="n">
        <v>28</v>
      </c>
      <c r="AD665" s="19"/>
      <c r="AE665" s="19"/>
      <c r="AF665" s="19"/>
      <c r="AG665" s="19"/>
      <c r="AH665" s="19" t="n">
        <v>70</v>
      </c>
      <c r="AI665" s="19"/>
      <c r="AJ665" s="19"/>
      <c r="AK665" s="19"/>
      <c r="AL665" s="19"/>
      <c r="AM665" s="19" t="n">
        <v>24</v>
      </c>
      <c r="AN665" s="19" t="n">
        <v>16</v>
      </c>
      <c r="AO665" s="19" t="n">
        <v>30</v>
      </c>
      <c r="AP665" s="19" t="n">
        <v>18</v>
      </c>
      <c r="AQ665" s="19" t="n">
        <v>4</v>
      </c>
      <c r="AR665" s="19" t="n">
        <v>6</v>
      </c>
      <c r="AS665" s="20" t="str">
        <f aca="false">HYPERLINK("http://www.openstreetmap.org/?mlat=33.3569&amp;mlon=44.4258&amp;zoom=12#map=12/33.3569/44.4258","Maplink1")</f>
        <v>Maplink1</v>
      </c>
      <c r="AT665" s="20" t="str">
        <f aca="false">HYPERLINK("https://www.google.iq/maps/search/+33.3569,44.4258/@33.3569,44.4258,14z?hl=en","Maplink2")</f>
        <v>Maplink2</v>
      </c>
      <c r="AU665" s="20" t="str">
        <f aca="false">HYPERLINK("http://www.bing.com/maps/?lvl=14&amp;sty=h&amp;cp=33.3569~44.4258&amp;sp=point.33.3569_44.4258","Maplink3")</f>
        <v>Maplink3</v>
      </c>
    </row>
    <row r="666" customFormat="false" ht="15" hidden="false" customHeight="true" outlineLevel="0" collapsed="false">
      <c r="A666" s="15" t="n">
        <v>24931</v>
      </c>
      <c r="B666" s="16" t="s">
        <v>17</v>
      </c>
      <c r="C666" s="16" t="s">
        <v>1288</v>
      </c>
      <c r="D666" s="16" t="s">
        <v>1329</v>
      </c>
      <c r="E666" s="17" t="s">
        <v>1330</v>
      </c>
      <c r="F666" s="16" t="n">
        <v>33.35310112</v>
      </c>
      <c r="G666" s="16" t="n">
        <v>44.42446955</v>
      </c>
      <c r="H666" s="18" t="n">
        <v>30</v>
      </c>
      <c r="I666" s="18" t="n">
        <v>180</v>
      </c>
      <c r="J666" s="19" t="n">
        <v>8</v>
      </c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 t="n">
        <v>17</v>
      </c>
      <c r="W666" s="19"/>
      <c r="X666" s="19" t="n">
        <v>5</v>
      </c>
      <c r="Y666" s="19"/>
      <c r="Z666" s="19"/>
      <c r="AA666" s="19"/>
      <c r="AB666" s="19"/>
      <c r="AC666" s="19" t="n">
        <v>15</v>
      </c>
      <c r="AD666" s="19"/>
      <c r="AE666" s="19"/>
      <c r="AF666" s="19"/>
      <c r="AG666" s="19"/>
      <c r="AH666" s="19" t="n">
        <v>15</v>
      </c>
      <c r="AI666" s="19"/>
      <c r="AJ666" s="19"/>
      <c r="AK666" s="19"/>
      <c r="AL666" s="19"/>
      <c r="AM666" s="19" t="n">
        <v>15</v>
      </c>
      <c r="AN666" s="19" t="n">
        <v>9</v>
      </c>
      <c r="AO666" s="19" t="n">
        <v>4</v>
      </c>
      <c r="AP666" s="19" t="n">
        <v>2</v>
      </c>
      <c r="AQ666" s="19"/>
      <c r="AR666" s="19"/>
      <c r="AS666" s="20" t="str">
        <f aca="false">HYPERLINK("http://www.openstreetmap.org/?mlat=33.3531&amp;mlon=44.4245&amp;zoom=12#map=12/33.3531/44.4245","Maplink1")</f>
        <v>Maplink1</v>
      </c>
      <c r="AT666" s="20" t="str">
        <f aca="false">HYPERLINK("https://www.google.iq/maps/search/+33.3531,44.4245/@33.3531,44.4245,14z?hl=en","Maplink2")</f>
        <v>Maplink2</v>
      </c>
      <c r="AU666" s="20" t="str">
        <f aca="false">HYPERLINK("http://www.bing.com/maps/?lvl=14&amp;sty=h&amp;cp=33.3531~44.4245&amp;sp=point.33.3531_44.4245","Maplink3")</f>
        <v>Maplink3</v>
      </c>
    </row>
    <row r="667" customFormat="false" ht="15" hidden="false" customHeight="true" outlineLevel="0" collapsed="false">
      <c r="A667" s="15" t="n">
        <v>21576</v>
      </c>
      <c r="B667" s="16" t="s">
        <v>17</v>
      </c>
      <c r="C667" s="16" t="s">
        <v>1288</v>
      </c>
      <c r="D667" s="16" t="s">
        <v>1331</v>
      </c>
      <c r="E667" s="17" t="s">
        <v>1332</v>
      </c>
      <c r="F667" s="16" t="n">
        <v>33.33915346</v>
      </c>
      <c r="G667" s="16" t="n">
        <v>44.50138593</v>
      </c>
      <c r="H667" s="18" t="n">
        <v>138</v>
      </c>
      <c r="I667" s="18" t="n">
        <v>828</v>
      </c>
      <c r="J667" s="19" t="n">
        <v>18</v>
      </c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 t="n">
        <v>100</v>
      </c>
      <c r="W667" s="19"/>
      <c r="X667" s="19" t="n">
        <v>20</v>
      </c>
      <c r="Y667" s="19"/>
      <c r="Z667" s="19"/>
      <c r="AA667" s="19"/>
      <c r="AB667" s="19"/>
      <c r="AC667" s="19" t="n">
        <v>64</v>
      </c>
      <c r="AD667" s="19"/>
      <c r="AE667" s="19"/>
      <c r="AF667" s="19"/>
      <c r="AG667" s="19"/>
      <c r="AH667" s="19" t="n">
        <v>74</v>
      </c>
      <c r="AI667" s="19"/>
      <c r="AJ667" s="19"/>
      <c r="AK667" s="19"/>
      <c r="AL667" s="19"/>
      <c r="AM667" s="19" t="n">
        <v>32</v>
      </c>
      <c r="AN667" s="19" t="n">
        <v>42</v>
      </c>
      <c r="AO667" s="19" t="n">
        <v>43</v>
      </c>
      <c r="AP667" s="19" t="n">
        <v>21</v>
      </c>
      <c r="AQ667" s="19"/>
      <c r="AR667" s="19"/>
      <c r="AS667" s="20" t="str">
        <f aca="false">HYPERLINK("http://www.openstreetmap.org/?mlat=33.3392&amp;mlon=44.5014&amp;zoom=12#map=12/33.3392/44.5014","Maplink1")</f>
        <v>Maplink1</v>
      </c>
      <c r="AT667" s="20" t="str">
        <f aca="false">HYPERLINK("https://www.google.iq/maps/search/+33.3392,44.5014/@33.3392,44.5014,14z?hl=en","Maplink2")</f>
        <v>Maplink2</v>
      </c>
      <c r="AU667" s="20" t="str">
        <f aca="false">HYPERLINK("http://www.bing.com/maps/?lvl=14&amp;sty=h&amp;cp=33.3392~44.5014&amp;sp=point.33.3392_44.5014","Maplink3")</f>
        <v>Maplink3</v>
      </c>
    </row>
    <row r="668" customFormat="false" ht="15" hidden="false" customHeight="true" outlineLevel="0" collapsed="false">
      <c r="A668" s="15" t="n">
        <v>23286</v>
      </c>
      <c r="B668" s="16" t="s">
        <v>17</v>
      </c>
      <c r="C668" s="16" t="s">
        <v>1288</v>
      </c>
      <c r="D668" s="16" t="s">
        <v>1333</v>
      </c>
      <c r="E668" s="17" t="s">
        <v>1334</v>
      </c>
      <c r="F668" s="16" t="n">
        <v>33.33820403</v>
      </c>
      <c r="G668" s="16" t="n">
        <v>44.41048099</v>
      </c>
      <c r="H668" s="18" t="n">
        <v>28</v>
      </c>
      <c r="I668" s="18" t="n">
        <v>168</v>
      </c>
      <c r="J668" s="19" t="n">
        <v>24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 t="n">
        <v>4</v>
      </c>
      <c r="W668" s="19"/>
      <c r="X668" s="19"/>
      <c r="Y668" s="19"/>
      <c r="Z668" s="19"/>
      <c r="AA668" s="19"/>
      <c r="AB668" s="19"/>
      <c r="AC668" s="19" t="n">
        <v>14</v>
      </c>
      <c r="AD668" s="19"/>
      <c r="AE668" s="19"/>
      <c r="AF668" s="19"/>
      <c r="AG668" s="19" t="n">
        <v>2</v>
      </c>
      <c r="AH668" s="19" t="n">
        <v>5</v>
      </c>
      <c r="AI668" s="19" t="n">
        <v>7</v>
      </c>
      <c r="AJ668" s="19"/>
      <c r="AK668" s="19"/>
      <c r="AL668" s="19"/>
      <c r="AM668" s="19"/>
      <c r="AN668" s="19" t="n">
        <v>9</v>
      </c>
      <c r="AO668" s="19"/>
      <c r="AP668" s="19" t="n">
        <v>15</v>
      </c>
      <c r="AQ668" s="19"/>
      <c r="AR668" s="19" t="n">
        <v>4</v>
      </c>
      <c r="AS668" s="20" t="str">
        <f aca="false">HYPERLINK("http://www.openstreetmap.org/?mlat=33.3382&amp;mlon=44.4105&amp;zoom=12#map=12/33.3382/44.4105","Maplink1")</f>
        <v>Maplink1</v>
      </c>
      <c r="AT668" s="20" t="str">
        <f aca="false">HYPERLINK("https://www.google.iq/maps/search/+33.3382,44.4105/@33.3382,44.4105,14z?hl=en","Maplink2")</f>
        <v>Maplink2</v>
      </c>
      <c r="AU668" s="20" t="str">
        <f aca="false">HYPERLINK("http://www.bing.com/maps/?lvl=14&amp;sty=h&amp;cp=33.3382~44.4105&amp;sp=point.33.3382_44.4105","Maplink3")</f>
        <v>Maplink3</v>
      </c>
    </row>
    <row r="669" customFormat="false" ht="15" hidden="false" customHeight="true" outlineLevel="0" collapsed="false">
      <c r="A669" s="15" t="n">
        <v>22772</v>
      </c>
      <c r="B669" s="16" t="s">
        <v>17</v>
      </c>
      <c r="C669" s="16" t="s">
        <v>1288</v>
      </c>
      <c r="D669" s="16" t="s">
        <v>1335</v>
      </c>
      <c r="E669" s="17" t="s">
        <v>1336</v>
      </c>
      <c r="F669" s="16" t="n">
        <v>33.33749455</v>
      </c>
      <c r="G669" s="16" t="n">
        <v>44.40561582</v>
      </c>
      <c r="H669" s="18" t="n">
        <v>8</v>
      </c>
      <c r="I669" s="18" t="n">
        <v>48</v>
      </c>
      <c r="J669" s="19"/>
      <c r="K669" s="19"/>
      <c r="L669" s="19"/>
      <c r="M669" s="19"/>
      <c r="N669" s="19"/>
      <c r="O669" s="19" t="n">
        <v>4</v>
      </c>
      <c r="P669" s="19"/>
      <c r="Q669" s="19"/>
      <c r="R669" s="19"/>
      <c r="S669" s="19"/>
      <c r="T669" s="19"/>
      <c r="U669" s="19"/>
      <c r="V669" s="19" t="n">
        <v>3</v>
      </c>
      <c r="W669" s="19"/>
      <c r="X669" s="19" t="n">
        <v>1</v>
      </c>
      <c r="Y669" s="19"/>
      <c r="Z669" s="19"/>
      <c r="AA669" s="19"/>
      <c r="AB669" s="19"/>
      <c r="AC669" s="19" t="n">
        <v>2</v>
      </c>
      <c r="AD669" s="19"/>
      <c r="AE669" s="19"/>
      <c r="AF669" s="19"/>
      <c r="AG669" s="19"/>
      <c r="AH669" s="19" t="n">
        <v>6</v>
      </c>
      <c r="AI669" s="19"/>
      <c r="AJ669" s="19"/>
      <c r="AK669" s="19"/>
      <c r="AL669" s="19"/>
      <c r="AM669" s="19" t="n">
        <v>3</v>
      </c>
      <c r="AN669" s="19" t="n">
        <v>5</v>
      </c>
      <c r="AO669" s="19"/>
      <c r="AP669" s="19"/>
      <c r="AQ669" s="19"/>
      <c r="AR669" s="19"/>
      <c r="AS669" s="20" t="str">
        <f aca="false">HYPERLINK("http://www.openstreetmap.org/?mlat=33.3375&amp;mlon=44.4056&amp;zoom=12#map=12/33.3375/44.4056","Maplink1")</f>
        <v>Maplink1</v>
      </c>
      <c r="AT669" s="20" t="str">
        <f aca="false">HYPERLINK("https://www.google.iq/maps/search/+33.3375,44.4056/@33.3375,44.4056,14z?hl=en","Maplink2")</f>
        <v>Maplink2</v>
      </c>
      <c r="AU669" s="20" t="str">
        <f aca="false">HYPERLINK("http://www.bing.com/maps/?lvl=14&amp;sty=h&amp;cp=33.3375~44.4056&amp;sp=point.33.3375_44.4056","Maplink3")</f>
        <v>Maplink3</v>
      </c>
    </row>
    <row r="670" customFormat="false" ht="15" hidden="false" customHeight="true" outlineLevel="0" collapsed="false">
      <c r="A670" s="15" t="n">
        <v>24942</v>
      </c>
      <c r="B670" s="16" t="s">
        <v>17</v>
      </c>
      <c r="C670" s="16" t="s">
        <v>1288</v>
      </c>
      <c r="D670" s="16" t="s">
        <v>1337</v>
      </c>
      <c r="E670" s="17" t="s">
        <v>1338</v>
      </c>
      <c r="F670" s="16" t="n">
        <v>33.33273622</v>
      </c>
      <c r="G670" s="16" t="n">
        <v>44.41047747</v>
      </c>
      <c r="H670" s="18" t="n">
        <v>5</v>
      </c>
      <c r="I670" s="18" t="n">
        <v>30</v>
      </c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 t="n">
        <v>5</v>
      </c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 t="n">
        <v>5</v>
      </c>
      <c r="AI670" s="19"/>
      <c r="AJ670" s="19"/>
      <c r="AK670" s="19"/>
      <c r="AL670" s="19"/>
      <c r="AM670" s="19" t="n">
        <v>2</v>
      </c>
      <c r="AN670" s="19"/>
      <c r="AO670" s="19" t="n">
        <v>3</v>
      </c>
      <c r="AP670" s="19"/>
      <c r="AQ670" s="19"/>
      <c r="AR670" s="19"/>
      <c r="AS670" s="20" t="str">
        <f aca="false">HYPERLINK("http://www.openstreetmap.org/?mlat=33.3327&amp;mlon=44.4105&amp;zoom=12#map=12/33.3327/44.4105","Maplink1")</f>
        <v>Maplink1</v>
      </c>
      <c r="AT670" s="20" t="str">
        <f aca="false">HYPERLINK("https://www.google.iq/maps/search/+33.3327,44.4105/@33.3327,44.4105,14z?hl=en","Maplink2")</f>
        <v>Maplink2</v>
      </c>
      <c r="AU670" s="20" t="str">
        <f aca="false">HYPERLINK("http://www.bing.com/maps/?lvl=14&amp;sty=h&amp;cp=33.3327~44.4105&amp;sp=point.33.3327_44.4105","Maplink3")</f>
        <v>Maplink3</v>
      </c>
    </row>
    <row r="671" customFormat="false" ht="15" hidden="false" customHeight="true" outlineLevel="0" collapsed="false">
      <c r="A671" s="15" t="n">
        <v>24943</v>
      </c>
      <c r="B671" s="16" t="s">
        <v>17</v>
      </c>
      <c r="C671" s="16" t="s">
        <v>1288</v>
      </c>
      <c r="D671" s="16" t="s">
        <v>1339</v>
      </c>
      <c r="E671" s="17" t="s">
        <v>1340</v>
      </c>
      <c r="F671" s="16" t="n">
        <v>33.33986998</v>
      </c>
      <c r="G671" s="16" t="n">
        <v>44.40213809</v>
      </c>
      <c r="H671" s="18" t="n">
        <v>7</v>
      </c>
      <c r="I671" s="18" t="n">
        <v>42</v>
      </c>
      <c r="J671" s="19" t="n">
        <v>4</v>
      </c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 t="n">
        <v>3</v>
      </c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 t="n">
        <v>7</v>
      </c>
      <c r="AI671" s="19"/>
      <c r="AJ671" s="19"/>
      <c r="AK671" s="19"/>
      <c r="AL671" s="19"/>
      <c r="AM671" s="19" t="n">
        <v>3</v>
      </c>
      <c r="AN671" s="19"/>
      <c r="AO671" s="19"/>
      <c r="AP671" s="19" t="n">
        <v>4</v>
      </c>
      <c r="AQ671" s="19"/>
      <c r="AR671" s="19"/>
      <c r="AS671" s="20" t="str">
        <f aca="false">HYPERLINK("http://www.openstreetmap.org/?mlat=33.3399&amp;mlon=44.4021&amp;zoom=12#map=12/33.3399/44.4021","Maplink1")</f>
        <v>Maplink1</v>
      </c>
      <c r="AT671" s="20" t="str">
        <f aca="false">HYPERLINK("https://www.google.iq/maps/search/+33.3399,44.4021/@33.3399,44.4021,14z?hl=en","Maplink2")</f>
        <v>Maplink2</v>
      </c>
      <c r="AU671" s="20" t="str">
        <f aca="false">HYPERLINK("http://www.bing.com/maps/?lvl=14&amp;sty=h&amp;cp=33.3399~44.4021&amp;sp=point.33.3399_44.4021","Maplink3")</f>
        <v>Maplink3</v>
      </c>
    </row>
    <row r="672" customFormat="false" ht="15" hidden="false" customHeight="true" outlineLevel="0" collapsed="false">
      <c r="A672" s="15" t="n">
        <v>24944</v>
      </c>
      <c r="B672" s="16" t="s">
        <v>17</v>
      </c>
      <c r="C672" s="16" t="s">
        <v>1288</v>
      </c>
      <c r="D672" s="16" t="s">
        <v>1341</v>
      </c>
      <c r="E672" s="17" t="s">
        <v>1342</v>
      </c>
      <c r="F672" s="16" t="n">
        <v>33.3442195</v>
      </c>
      <c r="G672" s="16" t="n">
        <v>44.39531949</v>
      </c>
      <c r="H672" s="18" t="n">
        <v>4</v>
      </c>
      <c r="I672" s="18" t="n">
        <v>24</v>
      </c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 t="n">
        <v>4</v>
      </c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 t="n">
        <v>4</v>
      </c>
      <c r="AI672" s="19"/>
      <c r="AJ672" s="19"/>
      <c r="AK672" s="19"/>
      <c r="AL672" s="19"/>
      <c r="AM672" s="19" t="n">
        <v>4</v>
      </c>
      <c r="AN672" s="19"/>
      <c r="AO672" s="19"/>
      <c r="AP672" s="19"/>
      <c r="AQ672" s="19"/>
      <c r="AR672" s="19"/>
      <c r="AS672" s="20" t="str">
        <f aca="false">HYPERLINK("http://www.openstreetmap.org/?mlat=33.3442&amp;mlon=44.3953&amp;zoom=12#map=12/33.3442/44.3953","Maplink1")</f>
        <v>Maplink1</v>
      </c>
      <c r="AT672" s="20" t="str">
        <f aca="false">HYPERLINK("https://www.google.iq/maps/search/+33.3442,44.3953/@33.3442,44.3953,14z?hl=en","Maplink2")</f>
        <v>Maplink2</v>
      </c>
      <c r="AU672" s="20" t="str">
        <f aca="false">HYPERLINK("http://www.bing.com/maps/?lvl=14&amp;sty=h&amp;cp=33.3442~44.3953&amp;sp=point.33.3442_44.3953","Maplink3")</f>
        <v>Maplink3</v>
      </c>
    </row>
    <row r="673" customFormat="false" ht="15" hidden="false" customHeight="true" outlineLevel="0" collapsed="false">
      <c r="A673" s="15" t="n">
        <v>21744</v>
      </c>
      <c r="B673" s="16" t="s">
        <v>17</v>
      </c>
      <c r="C673" s="16" t="s">
        <v>1288</v>
      </c>
      <c r="D673" s="16" t="s">
        <v>1343</v>
      </c>
      <c r="E673" s="17" t="s">
        <v>1344</v>
      </c>
      <c r="F673" s="16" t="n">
        <v>33.34609298</v>
      </c>
      <c r="G673" s="16" t="n">
        <v>44.39267136</v>
      </c>
      <c r="H673" s="18" t="n">
        <v>32</v>
      </c>
      <c r="I673" s="18" t="n">
        <v>192</v>
      </c>
      <c r="J673" s="19" t="n">
        <v>4</v>
      </c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 t="n">
        <v>24</v>
      </c>
      <c r="W673" s="19"/>
      <c r="X673" s="19" t="n">
        <v>4</v>
      </c>
      <c r="Y673" s="19"/>
      <c r="Z673" s="19"/>
      <c r="AA673" s="19"/>
      <c r="AB673" s="19"/>
      <c r="AC673" s="19" t="n">
        <v>8</v>
      </c>
      <c r="AD673" s="19"/>
      <c r="AE673" s="19"/>
      <c r="AF673" s="19"/>
      <c r="AG673" s="19"/>
      <c r="AH673" s="19" t="n">
        <v>24</v>
      </c>
      <c r="AI673" s="19"/>
      <c r="AJ673" s="19"/>
      <c r="AK673" s="19"/>
      <c r="AL673" s="19" t="n">
        <v>6</v>
      </c>
      <c r="AM673" s="19" t="n">
        <v>19</v>
      </c>
      <c r="AN673" s="19" t="n">
        <v>3</v>
      </c>
      <c r="AO673" s="19" t="n">
        <v>2</v>
      </c>
      <c r="AP673" s="19"/>
      <c r="AQ673" s="19"/>
      <c r="AR673" s="19" t="n">
        <v>2</v>
      </c>
      <c r="AS673" s="20" t="str">
        <f aca="false">HYPERLINK("http://www.openstreetmap.org/?mlat=33.3461&amp;mlon=44.3927&amp;zoom=12#map=12/33.3461/44.3927","Maplink1")</f>
        <v>Maplink1</v>
      </c>
      <c r="AT673" s="20" t="str">
        <f aca="false">HYPERLINK("https://www.google.iq/maps/search/+33.3461,44.3927/@33.3461,44.3927,14z?hl=en","Maplink2")</f>
        <v>Maplink2</v>
      </c>
      <c r="AU673" s="20" t="str">
        <f aca="false">HYPERLINK("http://www.bing.com/maps/?lvl=14&amp;sty=h&amp;cp=33.3461~44.3927&amp;sp=point.33.3461_44.3927","Maplink3")</f>
        <v>Maplink3</v>
      </c>
    </row>
    <row r="674" customFormat="false" ht="15" hidden="false" customHeight="true" outlineLevel="0" collapsed="false">
      <c r="A674" s="15" t="n">
        <v>21630</v>
      </c>
      <c r="B674" s="16" t="s">
        <v>17</v>
      </c>
      <c r="C674" s="16" t="s">
        <v>1288</v>
      </c>
      <c r="D674" s="16" t="s">
        <v>1345</v>
      </c>
      <c r="E674" s="17" t="s">
        <v>1346</v>
      </c>
      <c r="F674" s="16" t="n">
        <v>33.34826529</v>
      </c>
      <c r="G674" s="16" t="n">
        <v>44.38961842</v>
      </c>
      <c r="H674" s="18" t="n">
        <v>19</v>
      </c>
      <c r="I674" s="18" t="n">
        <v>114</v>
      </c>
      <c r="J674" s="19" t="n">
        <v>8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 t="n">
        <v>11</v>
      </c>
      <c r="W674" s="19"/>
      <c r="X674" s="19"/>
      <c r="Y674" s="19"/>
      <c r="Z674" s="19"/>
      <c r="AA674" s="19"/>
      <c r="AB674" s="19"/>
      <c r="AC674" s="19" t="n">
        <v>6</v>
      </c>
      <c r="AD674" s="19"/>
      <c r="AE674" s="19"/>
      <c r="AF674" s="19"/>
      <c r="AG674" s="19"/>
      <c r="AH674" s="19" t="n">
        <v>13</v>
      </c>
      <c r="AI674" s="19"/>
      <c r="AJ674" s="19"/>
      <c r="AK674" s="19"/>
      <c r="AL674" s="19"/>
      <c r="AM674" s="19"/>
      <c r="AN674" s="19" t="n">
        <v>15</v>
      </c>
      <c r="AO674" s="19" t="n">
        <v>1</v>
      </c>
      <c r="AP674" s="19"/>
      <c r="AQ674" s="19"/>
      <c r="AR674" s="19" t="n">
        <v>3</v>
      </c>
      <c r="AS674" s="20" t="str">
        <f aca="false">HYPERLINK("http://www.openstreetmap.org/?mlat=33.3483&amp;mlon=44.3896&amp;zoom=12#map=12/33.3483/44.3896","Maplink1")</f>
        <v>Maplink1</v>
      </c>
      <c r="AT674" s="20" t="str">
        <f aca="false">HYPERLINK("https://www.google.iq/maps/search/+33.3483,44.3896/@33.3483,44.3896,14z?hl=en","Maplink2")</f>
        <v>Maplink2</v>
      </c>
      <c r="AU674" s="20" t="str">
        <f aca="false">HYPERLINK("http://www.bing.com/maps/?lvl=14&amp;sty=h&amp;cp=33.3483~44.3896&amp;sp=point.33.3483_44.3896","Maplink3")</f>
        <v>Maplink3</v>
      </c>
    </row>
    <row r="675" customFormat="false" ht="15" hidden="false" customHeight="true" outlineLevel="0" collapsed="false">
      <c r="A675" s="15" t="n">
        <v>22056</v>
      </c>
      <c r="B675" s="16" t="s">
        <v>17</v>
      </c>
      <c r="C675" s="16" t="s">
        <v>1288</v>
      </c>
      <c r="D675" s="16" t="s">
        <v>1347</v>
      </c>
      <c r="E675" s="17" t="s">
        <v>1348</v>
      </c>
      <c r="F675" s="16" t="n">
        <v>33.35051066</v>
      </c>
      <c r="G675" s="16" t="n">
        <v>44.50674401</v>
      </c>
      <c r="H675" s="18" t="n">
        <v>46</v>
      </c>
      <c r="I675" s="18" t="n">
        <v>276</v>
      </c>
      <c r="J675" s="19" t="n">
        <v>14</v>
      </c>
      <c r="K675" s="19"/>
      <c r="L675" s="19"/>
      <c r="M675" s="19"/>
      <c r="N675" s="19"/>
      <c r="O675" s="19"/>
      <c r="P675" s="19"/>
      <c r="Q675" s="19"/>
      <c r="R675" s="19" t="n">
        <v>3</v>
      </c>
      <c r="S675" s="19"/>
      <c r="T675" s="19"/>
      <c r="U675" s="19"/>
      <c r="V675" s="19" t="n">
        <v>29</v>
      </c>
      <c r="W675" s="19"/>
      <c r="X675" s="19"/>
      <c r="Y675" s="19"/>
      <c r="Z675" s="19"/>
      <c r="AA675" s="19"/>
      <c r="AB675" s="19"/>
      <c r="AC675" s="19" t="n">
        <v>20</v>
      </c>
      <c r="AD675" s="19"/>
      <c r="AE675" s="19"/>
      <c r="AF675" s="19"/>
      <c r="AG675" s="19"/>
      <c r="AH675" s="19" t="n">
        <v>26</v>
      </c>
      <c r="AI675" s="19"/>
      <c r="AJ675" s="19"/>
      <c r="AK675" s="19"/>
      <c r="AL675" s="19" t="n">
        <v>10</v>
      </c>
      <c r="AM675" s="19"/>
      <c r="AN675" s="19" t="n">
        <v>8</v>
      </c>
      <c r="AO675" s="19" t="n">
        <v>20</v>
      </c>
      <c r="AP675" s="19" t="n">
        <v>4</v>
      </c>
      <c r="AQ675" s="19"/>
      <c r="AR675" s="19" t="n">
        <v>4</v>
      </c>
      <c r="AS675" s="20" t="str">
        <f aca="false">HYPERLINK("http://www.openstreetmap.org/?mlat=33.3505&amp;mlon=44.5067&amp;zoom=12#map=12/33.3505/44.5067","Maplink1")</f>
        <v>Maplink1</v>
      </c>
      <c r="AT675" s="20" t="str">
        <f aca="false">HYPERLINK("https://www.google.iq/maps/search/+33.3505,44.5067/@33.3505,44.5067,14z?hl=en","Maplink2")</f>
        <v>Maplink2</v>
      </c>
      <c r="AU675" s="20" t="str">
        <f aca="false">HYPERLINK("http://www.bing.com/maps/?lvl=14&amp;sty=h&amp;cp=33.3505~44.5067&amp;sp=point.33.3505_44.5067","Maplink3")</f>
        <v>Maplink3</v>
      </c>
    </row>
    <row r="676" customFormat="false" ht="15" hidden="false" customHeight="true" outlineLevel="0" collapsed="false">
      <c r="A676" s="15" t="n">
        <v>22145</v>
      </c>
      <c r="B676" s="16" t="s">
        <v>17</v>
      </c>
      <c r="C676" s="16" t="s">
        <v>1288</v>
      </c>
      <c r="D676" s="16" t="s">
        <v>1349</v>
      </c>
      <c r="E676" s="17" t="s">
        <v>1350</v>
      </c>
      <c r="F676" s="16" t="n">
        <v>33.35316478</v>
      </c>
      <c r="G676" s="16" t="n">
        <v>44.51468395</v>
      </c>
      <c r="H676" s="18" t="n">
        <v>49</v>
      </c>
      <c r="I676" s="18" t="n">
        <v>294</v>
      </c>
      <c r="J676" s="19" t="n">
        <v>12</v>
      </c>
      <c r="K676" s="19"/>
      <c r="L676" s="19"/>
      <c r="M676" s="19"/>
      <c r="N676" s="19"/>
      <c r="O676" s="19" t="n">
        <v>9</v>
      </c>
      <c r="P676" s="19"/>
      <c r="Q676" s="19"/>
      <c r="R676" s="19"/>
      <c r="S676" s="19"/>
      <c r="T676" s="19"/>
      <c r="U676" s="19"/>
      <c r="V676" s="19" t="n">
        <v>28</v>
      </c>
      <c r="W676" s="19"/>
      <c r="X676" s="19"/>
      <c r="Y676" s="19"/>
      <c r="Z676" s="19"/>
      <c r="AA676" s="19"/>
      <c r="AB676" s="19"/>
      <c r="AC676" s="19" t="n">
        <v>26</v>
      </c>
      <c r="AD676" s="19"/>
      <c r="AE676" s="19"/>
      <c r="AF676" s="19"/>
      <c r="AG676" s="19"/>
      <c r="AH676" s="19" t="n">
        <v>23</v>
      </c>
      <c r="AI676" s="19"/>
      <c r="AJ676" s="19"/>
      <c r="AK676" s="19"/>
      <c r="AL676" s="19" t="n">
        <v>4</v>
      </c>
      <c r="AM676" s="19"/>
      <c r="AN676" s="19" t="n">
        <v>20</v>
      </c>
      <c r="AO676" s="19" t="n">
        <v>15</v>
      </c>
      <c r="AP676" s="19" t="n">
        <v>10</v>
      </c>
      <c r="AQ676" s="19"/>
      <c r="AR676" s="19"/>
      <c r="AS676" s="20" t="str">
        <f aca="false">HYPERLINK("http://www.openstreetmap.org/?mlat=33.3532&amp;mlon=44.5147&amp;zoom=12#map=12/33.3532/44.5147","Maplink1")</f>
        <v>Maplink1</v>
      </c>
      <c r="AT676" s="20" t="str">
        <f aca="false">HYPERLINK("https://www.google.iq/maps/search/+33.3532,44.5147/@33.3532,44.5147,14z?hl=en","Maplink2")</f>
        <v>Maplink2</v>
      </c>
      <c r="AU676" s="20" t="str">
        <f aca="false">HYPERLINK("http://www.bing.com/maps/?lvl=14&amp;sty=h&amp;cp=33.3532~44.5147&amp;sp=point.33.3532_44.5147","Maplink3")</f>
        <v>Maplink3</v>
      </c>
    </row>
    <row r="677" customFormat="false" ht="15" hidden="false" customHeight="true" outlineLevel="0" collapsed="false">
      <c r="A677" s="15" t="n">
        <v>24953</v>
      </c>
      <c r="B677" s="16" t="s">
        <v>17</v>
      </c>
      <c r="C677" s="16" t="s">
        <v>1288</v>
      </c>
      <c r="D677" s="16" t="s">
        <v>1351</v>
      </c>
      <c r="E677" s="17" t="s">
        <v>1352</v>
      </c>
      <c r="F677" s="16" t="n">
        <v>33.36086712</v>
      </c>
      <c r="G677" s="16" t="n">
        <v>44.51876488</v>
      </c>
      <c r="H677" s="18" t="n">
        <v>29</v>
      </c>
      <c r="I677" s="18" t="n">
        <v>174</v>
      </c>
      <c r="J677" s="19" t="n">
        <v>3</v>
      </c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 t="n">
        <v>26</v>
      </c>
      <c r="W677" s="19"/>
      <c r="X677" s="19"/>
      <c r="Y677" s="19"/>
      <c r="Z677" s="19"/>
      <c r="AA677" s="19"/>
      <c r="AB677" s="19"/>
      <c r="AC677" s="19" t="n">
        <v>21</v>
      </c>
      <c r="AD677" s="19"/>
      <c r="AE677" s="19"/>
      <c r="AF677" s="19"/>
      <c r="AG677" s="19"/>
      <c r="AH677" s="19" t="n">
        <v>8</v>
      </c>
      <c r="AI677" s="19"/>
      <c r="AJ677" s="19"/>
      <c r="AK677" s="19"/>
      <c r="AL677" s="19"/>
      <c r="AM677" s="19"/>
      <c r="AN677" s="19"/>
      <c r="AO677" s="19" t="n">
        <v>22</v>
      </c>
      <c r="AP677" s="19" t="n">
        <v>5</v>
      </c>
      <c r="AQ677" s="19"/>
      <c r="AR677" s="19" t="n">
        <v>2</v>
      </c>
      <c r="AS677" s="20" t="str">
        <f aca="false">HYPERLINK("http://www.openstreetmap.org/?mlat=33.3609&amp;mlon=44.5188&amp;zoom=12#map=12/33.3609/44.5188","Maplink1")</f>
        <v>Maplink1</v>
      </c>
      <c r="AT677" s="20" t="str">
        <f aca="false">HYPERLINK("https://www.google.iq/maps/search/+33.3609,44.5188/@33.3609,44.5188,14z?hl=en","Maplink2")</f>
        <v>Maplink2</v>
      </c>
      <c r="AU677" s="20" t="str">
        <f aca="false">HYPERLINK("http://www.bing.com/maps/?lvl=14&amp;sty=h&amp;cp=33.3609~44.5188&amp;sp=point.33.3609_44.5188","Maplink3")</f>
        <v>Maplink3</v>
      </c>
    </row>
    <row r="678" customFormat="false" ht="15" hidden="false" customHeight="true" outlineLevel="0" collapsed="false">
      <c r="A678" s="15" t="n">
        <v>22146</v>
      </c>
      <c r="B678" s="16" t="s">
        <v>17</v>
      </c>
      <c r="C678" s="16" t="s">
        <v>1288</v>
      </c>
      <c r="D678" s="16" t="s">
        <v>1353</v>
      </c>
      <c r="E678" s="17" t="s">
        <v>1354</v>
      </c>
      <c r="F678" s="16" t="n">
        <v>33.35332326</v>
      </c>
      <c r="G678" s="16" t="n">
        <v>44.53043665</v>
      </c>
      <c r="H678" s="18" t="n">
        <v>18</v>
      </c>
      <c r="I678" s="18" t="n">
        <v>108</v>
      </c>
      <c r="J678" s="19" t="n">
        <v>3</v>
      </c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 t="n">
        <v>15</v>
      </c>
      <c r="W678" s="19"/>
      <c r="X678" s="19"/>
      <c r="Y678" s="19"/>
      <c r="Z678" s="19"/>
      <c r="AA678" s="19"/>
      <c r="AB678" s="19"/>
      <c r="AC678" s="19" t="n">
        <v>6</v>
      </c>
      <c r="AD678" s="19"/>
      <c r="AE678" s="19"/>
      <c r="AF678" s="19"/>
      <c r="AG678" s="19"/>
      <c r="AH678" s="19" t="n">
        <v>12</v>
      </c>
      <c r="AI678" s="19"/>
      <c r="AJ678" s="19"/>
      <c r="AK678" s="19"/>
      <c r="AL678" s="19"/>
      <c r="AM678" s="19"/>
      <c r="AN678" s="19"/>
      <c r="AO678" s="19" t="n">
        <v>12</v>
      </c>
      <c r="AP678" s="19" t="n">
        <v>6</v>
      </c>
      <c r="AQ678" s="19"/>
      <c r="AR678" s="19"/>
      <c r="AS678" s="20" t="str">
        <f aca="false">HYPERLINK("http://www.openstreetmap.org/?mlat=33.3533&amp;mlon=44.5304&amp;zoom=12#map=12/33.3533/44.5304","Maplink1")</f>
        <v>Maplink1</v>
      </c>
      <c r="AT678" s="20" t="str">
        <f aca="false">HYPERLINK("https://www.google.iq/maps/search/+33.3533,44.5304/@33.3533,44.5304,14z?hl=en","Maplink2")</f>
        <v>Maplink2</v>
      </c>
      <c r="AU678" s="20" t="str">
        <f aca="false">HYPERLINK("http://www.bing.com/maps/?lvl=14&amp;sty=h&amp;cp=33.3533~44.5304&amp;sp=point.33.3533_44.5304","Maplink3")</f>
        <v>Maplink3</v>
      </c>
    </row>
    <row r="679" customFormat="false" ht="15" hidden="false" customHeight="true" outlineLevel="0" collapsed="false">
      <c r="A679" s="15" t="n">
        <v>24277</v>
      </c>
      <c r="B679" s="16" t="s">
        <v>17</v>
      </c>
      <c r="C679" s="16" t="s">
        <v>1288</v>
      </c>
      <c r="D679" s="16" t="s">
        <v>1355</v>
      </c>
      <c r="E679" s="17" t="s">
        <v>1356</v>
      </c>
      <c r="F679" s="16" t="n">
        <v>33.30812968</v>
      </c>
      <c r="G679" s="16" t="n">
        <v>44.4234563</v>
      </c>
      <c r="H679" s="18" t="n">
        <v>72</v>
      </c>
      <c r="I679" s="18" t="n">
        <v>432</v>
      </c>
      <c r="J679" s="19" t="n">
        <v>48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 t="n">
        <v>24</v>
      </c>
      <c r="W679" s="19"/>
      <c r="X679" s="19"/>
      <c r="Y679" s="19"/>
      <c r="Z679" s="19"/>
      <c r="AA679" s="19"/>
      <c r="AB679" s="19"/>
      <c r="AC679" s="19" t="n">
        <v>24</v>
      </c>
      <c r="AD679" s="19"/>
      <c r="AE679" s="19"/>
      <c r="AF679" s="19"/>
      <c r="AG679" s="19"/>
      <c r="AH679" s="19" t="n">
        <v>48</v>
      </c>
      <c r="AI679" s="19"/>
      <c r="AJ679" s="19"/>
      <c r="AK679" s="19"/>
      <c r="AL679" s="19" t="n">
        <v>12</v>
      </c>
      <c r="AM679" s="19" t="n">
        <v>2</v>
      </c>
      <c r="AN679" s="19" t="n">
        <v>28</v>
      </c>
      <c r="AO679" s="19" t="n">
        <v>19</v>
      </c>
      <c r="AP679" s="19" t="n">
        <v>11</v>
      </c>
      <c r="AQ679" s="19"/>
      <c r="AR679" s="19"/>
      <c r="AS679" s="20" t="str">
        <f aca="false">HYPERLINK("http://www.openstreetmap.org/?mlat=33.3081&amp;mlon=44.4235&amp;zoom=12#map=12/33.3081/44.4235","Maplink1")</f>
        <v>Maplink1</v>
      </c>
      <c r="AT679" s="20" t="str">
        <f aca="false">HYPERLINK("https://www.google.iq/maps/search/+33.3081,44.4235/@33.3081,44.4235,14z?hl=en","Maplink2")</f>
        <v>Maplink2</v>
      </c>
      <c r="AU679" s="20" t="str">
        <f aca="false">HYPERLINK("http://www.bing.com/maps/?lvl=14&amp;sty=h&amp;cp=33.3081~44.4235&amp;sp=point.33.3081_44.4235","Maplink3")</f>
        <v>Maplink3</v>
      </c>
    </row>
    <row r="680" customFormat="false" ht="15" hidden="false" customHeight="true" outlineLevel="0" collapsed="false">
      <c r="A680" s="15" t="n">
        <v>25928</v>
      </c>
      <c r="B680" s="16" t="s">
        <v>17</v>
      </c>
      <c r="C680" s="16" t="s">
        <v>1288</v>
      </c>
      <c r="D680" s="16" t="s">
        <v>1357</v>
      </c>
      <c r="E680" s="17" t="s">
        <v>1358</v>
      </c>
      <c r="F680" s="16" t="n">
        <v>33.30296416</v>
      </c>
      <c r="G680" s="16" t="n">
        <v>44.4338877</v>
      </c>
      <c r="H680" s="18" t="n">
        <v>123</v>
      </c>
      <c r="I680" s="18" t="n">
        <v>738</v>
      </c>
      <c r="J680" s="19" t="n">
        <v>61</v>
      </c>
      <c r="K680" s="19"/>
      <c r="L680" s="19"/>
      <c r="M680" s="19"/>
      <c r="N680" s="19"/>
      <c r="O680" s="19" t="n">
        <v>4</v>
      </c>
      <c r="P680" s="19"/>
      <c r="Q680" s="19"/>
      <c r="R680" s="19"/>
      <c r="S680" s="19"/>
      <c r="T680" s="19"/>
      <c r="U680" s="19"/>
      <c r="V680" s="19" t="n">
        <v>58</v>
      </c>
      <c r="W680" s="19"/>
      <c r="X680" s="19"/>
      <c r="Y680" s="19"/>
      <c r="Z680" s="19"/>
      <c r="AA680" s="19"/>
      <c r="AB680" s="19"/>
      <c r="AC680" s="19" t="n">
        <v>26</v>
      </c>
      <c r="AD680" s="19"/>
      <c r="AE680" s="19"/>
      <c r="AF680" s="19"/>
      <c r="AG680" s="19"/>
      <c r="AH680" s="19" t="n">
        <v>97</v>
      </c>
      <c r="AI680" s="19"/>
      <c r="AJ680" s="19"/>
      <c r="AK680" s="19"/>
      <c r="AL680" s="19"/>
      <c r="AM680" s="19" t="n">
        <v>26</v>
      </c>
      <c r="AN680" s="19" t="n">
        <v>39</v>
      </c>
      <c r="AO680" s="19" t="n">
        <v>29</v>
      </c>
      <c r="AP680" s="19" t="n">
        <v>27</v>
      </c>
      <c r="AQ680" s="19"/>
      <c r="AR680" s="19" t="n">
        <v>2</v>
      </c>
      <c r="AS680" s="20" t="str">
        <f aca="false">HYPERLINK("http://www.openstreetmap.org/?mlat=33.303&amp;mlon=44.4339&amp;zoom=12#map=12/33.303/44.4339","Maplink1")</f>
        <v>Maplink1</v>
      </c>
      <c r="AT680" s="20" t="str">
        <f aca="false">HYPERLINK("https://www.google.iq/maps/search/+33.303,44.4339/@33.303,44.4339,14z?hl=en","Maplink2")</f>
        <v>Maplink2</v>
      </c>
      <c r="AU680" s="20" t="str">
        <f aca="false">HYPERLINK("http://www.bing.com/maps/?lvl=14&amp;sty=h&amp;cp=33.303~44.4339&amp;sp=point.33.303_44.4339","Maplink3")</f>
        <v>Maplink3</v>
      </c>
    </row>
    <row r="681" customFormat="false" ht="15" hidden="false" customHeight="true" outlineLevel="0" collapsed="false">
      <c r="A681" s="15" t="n">
        <v>24019</v>
      </c>
      <c r="B681" s="16" t="s">
        <v>17</v>
      </c>
      <c r="C681" s="16" t="s">
        <v>1288</v>
      </c>
      <c r="D681" s="16" t="s">
        <v>1359</v>
      </c>
      <c r="E681" s="17" t="s">
        <v>1360</v>
      </c>
      <c r="F681" s="16" t="n">
        <v>33.29933372</v>
      </c>
      <c r="G681" s="16" t="n">
        <v>44.42101096</v>
      </c>
      <c r="H681" s="18" t="n">
        <v>32</v>
      </c>
      <c r="I681" s="18" t="n">
        <v>192</v>
      </c>
      <c r="J681" s="19" t="n">
        <v>12</v>
      </c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 t="n">
        <v>20</v>
      </c>
      <c r="W681" s="19"/>
      <c r="X681" s="19"/>
      <c r="Y681" s="19"/>
      <c r="Z681" s="19"/>
      <c r="AA681" s="19"/>
      <c r="AB681" s="19"/>
      <c r="AC681" s="19" t="n">
        <v>8</v>
      </c>
      <c r="AD681" s="19"/>
      <c r="AE681" s="19"/>
      <c r="AF681" s="19"/>
      <c r="AG681" s="19"/>
      <c r="AH681" s="19" t="n">
        <v>24</v>
      </c>
      <c r="AI681" s="19"/>
      <c r="AJ681" s="19"/>
      <c r="AK681" s="19"/>
      <c r="AL681" s="19" t="n">
        <v>4</v>
      </c>
      <c r="AM681" s="19"/>
      <c r="AN681" s="19"/>
      <c r="AO681" s="19" t="n">
        <v>18</v>
      </c>
      <c r="AP681" s="19" t="n">
        <v>10</v>
      </c>
      <c r="AQ681" s="19"/>
      <c r="AR681" s="19"/>
      <c r="AS681" s="20" t="str">
        <f aca="false">HYPERLINK("http://www.openstreetmap.org/?mlat=33.2993&amp;mlon=44.421&amp;zoom=12#map=12/33.2993/44.421","Maplink1")</f>
        <v>Maplink1</v>
      </c>
      <c r="AT681" s="20" t="str">
        <f aca="false">HYPERLINK("https://www.google.iq/maps/search/+33.2993,44.421/@33.2993,44.421,14z?hl=en","Maplink2")</f>
        <v>Maplink2</v>
      </c>
      <c r="AU681" s="20" t="str">
        <f aca="false">HYPERLINK("http://www.bing.com/maps/?lvl=14&amp;sty=h&amp;cp=33.2993~44.421&amp;sp=point.33.2993_44.421","Maplink3")</f>
        <v>Maplink3</v>
      </c>
    </row>
    <row r="682" customFormat="false" ht="15" hidden="false" customHeight="true" outlineLevel="0" collapsed="false">
      <c r="A682" s="15" t="n">
        <v>27248</v>
      </c>
      <c r="B682" s="16" t="s">
        <v>17</v>
      </c>
      <c r="C682" s="16" t="s">
        <v>1288</v>
      </c>
      <c r="D682" s="16" t="s">
        <v>1361</v>
      </c>
      <c r="E682" s="17" t="s">
        <v>1362</v>
      </c>
      <c r="F682" s="16" t="n">
        <v>33.29543621</v>
      </c>
      <c r="G682" s="16" t="n">
        <v>44.41013482</v>
      </c>
      <c r="H682" s="18" t="n">
        <v>36</v>
      </c>
      <c r="I682" s="18" t="n">
        <v>216</v>
      </c>
      <c r="J682" s="19" t="n">
        <v>12</v>
      </c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 t="n">
        <v>24</v>
      </c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 t="n">
        <v>36</v>
      </c>
      <c r="AI682" s="19"/>
      <c r="AJ682" s="19"/>
      <c r="AK682" s="19"/>
      <c r="AL682" s="19"/>
      <c r="AM682" s="19"/>
      <c r="AN682" s="19" t="n">
        <v>18</v>
      </c>
      <c r="AO682" s="19"/>
      <c r="AP682" s="19" t="n">
        <v>18</v>
      </c>
      <c r="AQ682" s="19"/>
      <c r="AR682" s="19"/>
      <c r="AS682" s="20" t="str">
        <f aca="false">HYPERLINK("http://www.openstreetmap.org/?mlat=33.2954&amp;mlon=44.4101&amp;zoom=12#map=12/33.2954/44.4101","Maplink1")</f>
        <v>Maplink1</v>
      </c>
      <c r="AT682" s="20" t="str">
        <f aca="false">HYPERLINK("https://www.google.iq/maps/search/+33.2954,44.4101/@33.2954,44.4101,14z?hl=en","Maplink2")</f>
        <v>Maplink2</v>
      </c>
      <c r="AU682" s="20" t="str">
        <f aca="false">HYPERLINK("http://www.bing.com/maps/?lvl=14&amp;sty=h&amp;cp=33.2954~44.4101&amp;sp=point.33.2954_44.4101","Maplink3")</f>
        <v>Maplink3</v>
      </c>
    </row>
    <row r="683" customFormat="false" ht="15" hidden="false" customHeight="true" outlineLevel="0" collapsed="false">
      <c r="A683" s="15" t="n">
        <v>24475</v>
      </c>
      <c r="B683" s="16" t="s">
        <v>17</v>
      </c>
      <c r="C683" s="16" t="s">
        <v>1288</v>
      </c>
      <c r="D683" s="16" t="s">
        <v>1363</v>
      </c>
      <c r="E683" s="17" t="s">
        <v>1364</v>
      </c>
      <c r="F683" s="16" t="n">
        <v>33.38911977</v>
      </c>
      <c r="G683" s="16" t="n">
        <v>44.52594286</v>
      </c>
      <c r="H683" s="18" t="n">
        <v>20</v>
      </c>
      <c r="I683" s="18" t="n">
        <v>120</v>
      </c>
      <c r="J683" s="19" t="n">
        <v>3</v>
      </c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 t="n">
        <v>17</v>
      </c>
      <c r="W683" s="19"/>
      <c r="X683" s="19"/>
      <c r="Y683" s="19"/>
      <c r="Z683" s="19"/>
      <c r="AA683" s="19"/>
      <c r="AB683" s="19"/>
      <c r="AC683" s="19" t="n">
        <v>5</v>
      </c>
      <c r="AD683" s="19"/>
      <c r="AE683" s="19"/>
      <c r="AF683" s="19"/>
      <c r="AG683" s="19"/>
      <c r="AH683" s="19" t="n">
        <v>15</v>
      </c>
      <c r="AI683" s="19"/>
      <c r="AJ683" s="19"/>
      <c r="AK683" s="19"/>
      <c r="AL683" s="19"/>
      <c r="AM683" s="19" t="n">
        <v>10</v>
      </c>
      <c r="AN683" s="19" t="n">
        <v>7</v>
      </c>
      <c r="AO683" s="19" t="n">
        <v>3</v>
      </c>
      <c r="AP683" s="19"/>
      <c r="AQ683" s="19"/>
      <c r="AR683" s="19"/>
      <c r="AS683" s="20" t="str">
        <f aca="false">HYPERLINK("http://www.openstreetmap.org/?mlat=33.3891&amp;mlon=44.5259&amp;zoom=12#map=12/33.3891/44.5259","Maplink1")</f>
        <v>Maplink1</v>
      </c>
      <c r="AT683" s="20" t="str">
        <f aca="false">HYPERLINK("https://www.google.iq/maps/search/+33.3891,44.5259/@33.3891,44.5259,14z?hl=en","Maplink2")</f>
        <v>Maplink2</v>
      </c>
      <c r="AU683" s="20" t="str">
        <f aca="false">HYPERLINK("http://www.bing.com/maps/?lvl=14&amp;sty=h&amp;cp=33.3891~44.5259&amp;sp=point.33.3891_44.5259","Maplink3")</f>
        <v>Maplink3</v>
      </c>
    </row>
    <row r="684" customFormat="false" ht="15" hidden="false" customHeight="true" outlineLevel="0" collapsed="false">
      <c r="A684" s="15" t="n">
        <v>21692</v>
      </c>
      <c r="B684" s="16" t="s">
        <v>17</v>
      </c>
      <c r="C684" s="16" t="s">
        <v>1288</v>
      </c>
      <c r="D684" s="16" t="s">
        <v>1365</v>
      </c>
      <c r="E684" s="17" t="s">
        <v>1366</v>
      </c>
      <c r="F684" s="16" t="n">
        <v>33.39087057</v>
      </c>
      <c r="G684" s="16" t="n">
        <v>44.52013545</v>
      </c>
      <c r="H684" s="18" t="n">
        <v>14</v>
      </c>
      <c r="I684" s="18" t="n">
        <v>84</v>
      </c>
      <c r="J684" s="19"/>
      <c r="K684" s="19"/>
      <c r="L684" s="19"/>
      <c r="M684" s="19"/>
      <c r="N684" s="19"/>
      <c r="O684" s="19" t="n">
        <v>4</v>
      </c>
      <c r="P684" s="19"/>
      <c r="Q684" s="19"/>
      <c r="R684" s="19"/>
      <c r="S684" s="19"/>
      <c r="T684" s="19"/>
      <c r="U684" s="19"/>
      <c r="V684" s="19" t="n">
        <v>10</v>
      </c>
      <c r="W684" s="19"/>
      <c r="X684" s="19"/>
      <c r="Y684" s="19"/>
      <c r="Z684" s="19"/>
      <c r="AA684" s="19"/>
      <c r="AB684" s="19"/>
      <c r="AC684" s="19" t="n">
        <v>9</v>
      </c>
      <c r="AD684" s="19"/>
      <c r="AE684" s="19"/>
      <c r="AF684" s="19"/>
      <c r="AG684" s="19"/>
      <c r="AH684" s="19" t="n">
        <v>5</v>
      </c>
      <c r="AI684" s="19"/>
      <c r="AJ684" s="19"/>
      <c r="AK684" s="19"/>
      <c r="AL684" s="19"/>
      <c r="AM684" s="19" t="n">
        <v>5</v>
      </c>
      <c r="AN684" s="19" t="n">
        <v>1</v>
      </c>
      <c r="AO684" s="19" t="n">
        <v>8</v>
      </c>
      <c r="AP684" s="19"/>
      <c r="AQ684" s="19"/>
      <c r="AR684" s="19"/>
      <c r="AS684" s="20" t="str">
        <f aca="false">HYPERLINK("http://www.openstreetmap.org/?mlat=33.3909&amp;mlon=44.5201&amp;zoom=12#map=12/33.3909/44.5201","Maplink1")</f>
        <v>Maplink1</v>
      </c>
      <c r="AT684" s="20" t="str">
        <f aca="false">HYPERLINK("https://www.google.iq/maps/search/+33.3909,44.5201/@33.3909,44.5201,14z?hl=en","Maplink2")</f>
        <v>Maplink2</v>
      </c>
      <c r="AU684" s="20" t="str">
        <f aca="false">HYPERLINK("http://www.bing.com/maps/?lvl=14&amp;sty=h&amp;cp=33.3909~44.5201&amp;sp=point.33.3909_44.5201","Maplink3")</f>
        <v>Maplink3</v>
      </c>
    </row>
    <row r="685" customFormat="false" ht="15" hidden="false" customHeight="true" outlineLevel="0" collapsed="false">
      <c r="A685" s="15" t="n">
        <v>21691</v>
      </c>
      <c r="B685" s="16" t="s">
        <v>17</v>
      </c>
      <c r="C685" s="16" t="s">
        <v>1288</v>
      </c>
      <c r="D685" s="16" t="s">
        <v>1367</v>
      </c>
      <c r="E685" s="17" t="s">
        <v>1368</v>
      </c>
      <c r="F685" s="16" t="n">
        <v>33.39723049</v>
      </c>
      <c r="G685" s="16" t="n">
        <v>44.52997979</v>
      </c>
      <c r="H685" s="18" t="n">
        <v>33</v>
      </c>
      <c r="I685" s="18" t="n">
        <v>198</v>
      </c>
      <c r="J685" s="19" t="n">
        <v>2</v>
      </c>
      <c r="K685" s="19"/>
      <c r="L685" s="19"/>
      <c r="M685" s="19"/>
      <c r="N685" s="19"/>
      <c r="O685" s="19" t="n">
        <v>5</v>
      </c>
      <c r="P685" s="19"/>
      <c r="Q685" s="19"/>
      <c r="R685" s="19"/>
      <c r="S685" s="19"/>
      <c r="T685" s="19"/>
      <c r="U685" s="19"/>
      <c r="V685" s="19" t="n">
        <v>22</v>
      </c>
      <c r="W685" s="19"/>
      <c r="X685" s="19" t="n">
        <v>4</v>
      </c>
      <c r="Y685" s="19"/>
      <c r="Z685" s="19"/>
      <c r="AA685" s="19"/>
      <c r="AB685" s="19"/>
      <c r="AC685" s="19" t="n">
        <v>10</v>
      </c>
      <c r="AD685" s="19"/>
      <c r="AE685" s="19"/>
      <c r="AF685" s="19"/>
      <c r="AG685" s="19"/>
      <c r="AH685" s="19" t="n">
        <v>23</v>
      </c>
      <c r="AI685" s="19"/>
      <c r="AJ685" s="19"/>
      <c r="AK685" s="19"/>
      <c r="AL685" s="19"/>
      <c r="AM685" s="19"/>
      <c r="AN685" s="19" t="n">
        <v>21</v>
      </c>
      <c r="AO685" s="19" t="n">
        <v>10</v>
      </c>
      <c r="AP685" s="19" t="n">
        <v>2</v>
      </c>
      <c r="AQ685" s="19"/>
      <c r="AR685" s="19"/>
      <c r="AS685" s="20" t="str">
        <f aca="false">HYPERLINK("http://www.openstreetmap.org/?mlat=33.3972&amp;mlon=44.53&amp;zoom=12#map=12/33.3972/44.53","Maplink1")</f>
        <v>Maplink1</v>
      </c>
      <c r="AT685" s="20" t="str">
        <f aca="false">HYPERLINK("https://www.google.iq/maps/search/+33.3972,44.53/@33.3972,44.53,14z?hl=en","Maplink2")</f>
        <v>Maplink2</v>
      </c>
      <c r="AU685" s="20" t="str">
        <f aca="false">HYPERLINK("http://www.bing.com/maps/?lvl=14&amp;sty=h&amp;cp=33.3972~44.53&amp;sp=point.33.3972_44.53","Maplink3")</f>
        <v>Maplink3</v>
      </c>
    </row>
    <row r="686" customFormat="false" ht="15" hidden="false" customHeight="true" outlineLevel="0" collapsed="false">
      <c r="A686" s="15" t="n">
        <v>21693</v>
      </c>
      <c r="B686" s="16" t="s">
        <v>17</v>
      </c>
      <c r="C686" s="16" t="s">
        <v>1288</v>
      </c>
      <c r="D686" s="16" t="s">
        <v>1369</v>
      </c>
      <c r="E686" s="17" t="s">
        <v>1370</v>
      </c>
      <c r="F686" s="16" t="n">
        <v>33.39506197</v>
      </c>
      <c r="G686" s="16" t="n">
        <v>44.52055094</v>
      </c>
      <c r="H686" s="18" t="n">
        <v>33</v>
      </c>
      <c r="I686" s="18" t="n">
        <v>198</v>
      </c>
      <c r="J686" s="19" t="n">
        <v>4</v>
      </c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 t="n">
        <v>20</v>
      </c>
      <c r="W686" s="19"/>
      <c r="X686" s="19" t="n">
        <v>9</v>
      </c>
      <c r="Y686" s="19"/>
      <c r="Z686" s="19"/>
      <c r="AA686" s="19"/>
      <c r="AB686" s="19"/>
      <c r="AC686" s="19" t="n">
        <v>18</v>
      </c>
      <c r="AD686" s="19"/>
      <c r="AE686" s="19"/>
      <c r="AF686" s="19"/>
      <c r="AG686" s="19"/>
      <c r="AH686" s="19" t="n">
        <v>15</v>
      </c>
      <c r="AI686" s="19"/>
      <c r="AJ686" s="19"/>
      <c r="AK686" s="19"/>
      <c r="AL686" s="19"/>
      <c r="AM686" s="19" t="n">
        <v>10</v>
      </c>
      <c r="AN686" s="19" t="n">
        <v>10</v>
      </c>
      <c r="AO686" s="19" t="n">
        <v>9</v>
      </c>
      <c r="AP686" s="19" t="n">
        <v>4</v>
      </c>
      <c r="AQ686" s="19"/>
      <c r="AR686" s="19"/>
      <c r="AS686" s="20" t="str">
        <f aca="false">HYPERLINK("http://www.openstreetmap.org/?mlat=33.3951&amp;mlon=44.5206&amp;zoom=12#map=12/33.3951/44.5206","Maplink1")</f>
        <v>Maplink1</v>
      </c>
      <c r="AT686" s="20" t="str">
        <f aca="false">HYPERLINK("https://www.google.iq/maps/search/+33.3951,44.5206/@33.3951,44.5206,14z?hl=en","Maplink2")</f>
        <v>Maplink2</v>
      </c>
      <c r="AU686" s="20" t="str">
        <f aca="false">HYPERLINK("http://www.bing.com/maps/?lvl=14&amp;sty=h&amp;cp=33.3951~44.5206&amp;sp=point.33.3951_44.5206","Maplink3")</f>
        <v>Maplink3</v>
      </c>
    </row>
    <row r="687" customFormat="false" ht="15" hidden="false" customHeight="true" outlineLevel="0" collapsed="false">
      <c r="A687" s="15" t="n">
        <v>24477</v>
      </c>
      <c r="B687" s="16" t="s">
        <v>17</v>
      </c>
      <c r="C687" s="16" t="s">
        <v>1288</v>
      </c>
      <c r="D687" s="16" t="s">
        <v>1371</v>
      </c>
      <c r="E687" s="17" t="s">
        <v>1372</v>
      </c>
      <c r="F687" s="16" t="n">
        <v>33.42450604</v>
      </c>
      <c r="G687" s="16" t="n">
        <v>44.53001046</v>
      </c>
      <c r="H687" s="18" t="n">
        <v>34</v>
      </c>
      <c r="I687" s="18" t="n">
        <v>204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 t="n">
        <v>34</v>
      </c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 t="n">
        <v>34</v>
      </c>
      <c r="AI687" s="19"/>
      <c r="AJ687" s="19"/>
      <c r="AK687" s="19"/>
      <c r="AL687" s="19"/>
      <c r="AM687" s="19" t="n">
        <v>34</v>
      </c>
      <c r="AN687" s="19"/>
      <c r="AO687" s="19"/>
      <c r="AP687" s="19"/>
      <c r="AQ687" s="19"/>
      <c r="AR687" s="19"/>
      <c r="AS687" s="20" t="str">
        <f aca="false">HYPERLINK("http://www.openstreetmap.org/?mlat=33.4245&amp;mlon=44.53&amp;zoom=12#map=12/33.4245/44.53","Maplink1")</f>
        <v>Maplink1</v>
      </c>
      <c r="AT687" s="20" t="str">
        <f aca="false">HYPERLINK("https://www.google.iq/maps/search/+33.4245,44.53/@33.4245,44.53,14z?hl=en","Maplink2")</f>
        <v>Maplink2</v>
      </c>
      <c r="AU687" s="20" t="str">
        <f aca="false">HYPERLINK("http://www.bing.com/maps/?lvl=14&amp;sty=h&amp;cp=33.4245~44.53&amp;sp=point.33.4245_44.53","Maplink3")</f>
        <v>Maplink3</v>
      </c>
    </row>
    <row r="688" customFormat="false" ht="15" hidden="false" customHeight="true" outlineLevel="0" collapsed="false">
      <c r="A688" s="15" t="n">
        <v>24474</v>
      </c>
      <c r="B688" s="16" t="s">
        <v>17</v>
      </c>
      <c r="C688" s="16" t="s">
        <v>1288</v>
      </c>
      <c r="D688" s="16" t="s">
        <v>1373</v>
      </c>
      <c r="E688" s="17" t="s">
        <v>1374</v>
      </c>
      <c r="F688" s="16" t="n">
        <v>33.38353999</v>
      </c>
      <c r="G688" s="16" t="n">
        <v>44.5329656</v>
      </c>
      <c r="H688" s="18" t="n">
        <v>10</v>
      </c>
      <c r="I688" s="18" t="n">
        <v>60</v>
      </c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 t="n">
        <v>10</v>
      </c>
      <c r="W688" s="19"/>
      <c r="X688" s="19"/>
      <c r="Y688" s="19"/>
      <c r="Z688" s="19"/>
      <c r="AA688" s="19"/>
      <c r="AB688" s="19"/>
      <c r="AC688" s="19" t="n">
        <v>10</v>
      </c>
      <c r="AD688" s="19"/>
      <c r="AE688" s="19"/>
      <c r="AF688" s="19"/>
      <c r="AG688" s="19"/>
      <c r="AH688" s="19"/>
      <c r="AI688" s="19"/>
      <c r="AJ688" s="19"/>
      <c r="AK688" s="19"/>
      <c r="AL688" s="19"/>
      <c r="AM688" s="19" t="n">
        <v>10</v>
      </c>
      <c r="AN688" s="19"/>
      <c r="AO688" s="19"/>
      <c r="AP688" s="19"/>
      <c r="AQ688" s="19"/>
      <c r="AR688" s="19"/>
      <c r="AS688" s="20" t="str">
        <f aca="false">HYPERLINK("http://www.openstreetmap.org/?mlat=33.3835&amp;mlon=44.533&amp;zoom=12#map=12/33.3835/44.533","Maplink1")</f>
        <v>Maplink1</v>
      </c>
      <c r="AT688" s="20" t="str">
        <f aca="false">HYPERLINK("https://www.google.iq/maps/search/+33.3835,44.533/@33.3835,44.533,14z?hl=en","Maplink2")</f>
        <v>Maplink2</v>
      </c>
      <c r="AU688" s="20" t="str">
        <f aca="false">HYPERLINK("http://www.bing.com/maps/?lvl=14&amp;sty=h&amp;cp=33.3835~44.533&amp;sp=point.33.3835_44.533","Maplink3")</f>
        <v>Maplink3</v>
      </c>
    </row>
    <row r="689" customFormat="false" ht="15" hidden="false" customHeight="true" outlineLevel="0" collapsed="false">
      <c r="A689" s="15" t="n">
        <v>21753</v>
      </c>
      <c r="B689" s="16" t="s">
        <v>17</v>
      </c>
      <c r="C689" s="16" t="s">
        <v>1288</v>
      </c>
      <c r="D689" s="16" t="s">
        <v>1375</v>
      </c>
      <c r="E689" s="17" t="s">
        <v>1376</v>
      </c>
      <c r="F689" s="16" t="n">
        <v>33.43497657</v>
      </c>
      <c r="G689" s="16" t="n">
        <v>44.52699301</v>
      </c>
      <c r="H689" s="18" t="n">
        <v>154</v>
      </c>
      <c r="I689" s="18" t="n">
        <v>924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 t="n">
        <v>149</v>
      </c>
      <c r="W689" s="19"/>
      <c r="X689" s="19" t="n">
        <v>5</v>
      </c>
      <c r="Y689" s="19"/>
      <c r="Z689" s="19"/>
      <c r="AA689" s="19"/>
      <c r="AB689" s="19"/>
      <c r="AC689" s="19" t="n">
        <v>21</v>
      </c>
      <c r="AD689" s="19"/>
      <c r="AE689" s="19"/>
      <c r="AF689" s="19"/>
      <c r="AG689" s="19"/>
      <c r="AH689" s="19" t="n">
        <v>103</v>
      </c>
      <c r="AI689" s="19"/>
      <c r="AJ689" s="19" t="n">
        <v>30</v>
      </c>
      <c r="AK689" s="19"/>
      <c r="AL689" s="19"/>
      <c r="AM689" s="19" t="n">
        <v>69</v>
      </c>
      <c r="AN689" s="19" t="n">
        <v>43</v>
      </c>
      <c r="AO689" s="19" t="n">
        <v>38</v>
      </c>
      <c r="AP689" s="19"/>
      <c r="AQ689" s="19"/>
      <c r="AR689" s="19" t="n">
        <v>4</v>
      </c>
      <c r="AS689" s="20" t="str">
        <f aca="false">HYPERLINK("http://www.openstreetmap.org/?mlat=33.435&amp;mlon=44.527&amp;zoom=12#map=12/33.435/44.527","Maplink1")</f>
        <v>Maplink1</v>
      </c>
      <c r="AT689" s="20" t="str">
        <f aca="false">HYPERLINK("https://www.google.iq/maps/search/+33.435,44.527/@33.435,44.527,14z?hl=en","Maplink2")</f>
        <v>Maplink2</v>
      </c>
      <c r="AU689" s="20" t="str">
        <f aca="false">HYPERLINK("http://www.bing.com/maps/?lvl=14&amp;sty=h&amp;cp=33.435~44.527&amp;sp=point.33.435_44.527","Maplink3")</f>
        <v>Maplink3</v>
      </c>
    </row>
    <row r="690" customFormat="false" ht="15" hidden="false" customHeight="true" outlineLevel="0" collapsed="false">
      <c r="A690" s="15" t="n">
        <v>23757</v>
      </c>
      <c r="B690" s="16" t="s">
        <v>17</v>
      </c>
      <c r="C690" s="16" t="s">
        <v>1288</v>
      </c>
      <c r="D690" s="16" t="s">
        <v>1377</v>
      </c>
      <c r="E690" s="17" t="s">
        <v>1378</v>
      </c>
      <c r="F690" s="16" t="n">
        <v>33.32671272</v>
      </c>
      <c r="G690" s="16" t="n">
        <v>44.4902249</v>
      </c>
      <c r="H690" s="18" t="n">
        <v>167</v>
      </c>
      <c r="I690" s="18" t="n">
        <v>1002</v>
      </c>
      <c r="J690" s="19" t="n">
        <v>70</v>
      </c>
      <c r="K690" s="19"/>
      <c r="L690" s="19"/>
      <c r="M690" s="19"/>
      <c r="N690" s="19"/>
      <c r="O690" s="19" t="n">
        <v>18</v>
      </c>
      <c r="P690" s="19"/>
      <c r="Q690" s="19"/>
      <c r="R690" s="19"/>
      <c r="S690" s="19"/>
      <c r="T690" s="19"/>
      <c r="U690" s="19"/>
      <c r="V690" s="19" t="n">
        <v>69</v>
      </c>
      <c r="W690" s="19"/>
      <c r="X690" s="19" t="n">
        <v>10</v>
      </c>
      <c r="Y690" s="19"/>
      <c r="Z690" s="19"/>
      <c r="AA690" s="19"/>
      <c r="AB690" s="19"/>
      <c r="AC690" s="19" t="n">
        <v>83</v>
      </c>
      <c r="AD690" s="19"/>
      <c r="AE690" s="19"/>
      <c r="AF690" s="19"/>
      <c r="AG690" s="19"/>
      <c r="AH690" s="19" t="n">
        <v>84</v>
      </c>
      <c r="AI690" s="19"/>
      <c r="AJ690" s="19"/>
      <c r="AK690" s="19"/>
      <c r="AL690" s="19" t="n">
        <v>11</v>
      </c>
      <c r="AM690" s="19" t="n">
        <v>21</v>
      </c>
      <c r="AN690" s="19" t="n">
        <v>80</v>
      </c>
      <c r="AO690" s="19" t="n">
        <v>27</v>
      </c>
      <c r="AP690" s="19" t="n">
        <v>28</v>
      </c>
      <c r="AQ690" s="19"/>
      <c r="AR690" s="19"/>
      <c r="AS690" s="20" t="str">
        <f aca="false">HYPERLINK("http://www.openstreetmap.org/?mlat=33.3267&amp;mlon=44.4902&amp;zoom=12#map=12/33.3267/44.4902","Maplink1")</f>
        <v>Maplink1</v>
      </c>
      <c r="AT690" s="20" t="str">
        <f aca="false">HYPERLINK("https://www.google.iq/maps/search/+33.3267,44.4902/@33.3267,44.4902,14z?hl=en","Maplink2")</f>
        <v>Maplink2</v>
      </c>
      <c r="AU690" s="20" t="str">
        <f aca="false">HYPERLINK("http://www.bing.com/maps/?lvl=14&amp;sty=h&amp;cp=33.3267~44.4902&amp;sp=point.33.3267_44.4902","Maplink3")</f>
        <v>Maplink3</v>
      </c>
    </row>
    <row r="691" customFormat="false" ht="15" hidden="false" customHeight="true" outlineLevel="0" collapsed="false">
      <c r="A691" s="15" t="n">
        <v>25401</v>
      </c>
      <c r="B691" s="16" t="s">
        <v>17</v>
      </c>
      <c r="C691" s="16" t="s">
        <v>1288</v>
      </c>
      <c r="D691" s="16" t="s">
        <v>1379</v>
      </c>
      <c r="E691" s="17" t="s">
        <v>1380</v>
      </c>
      <c r="F691" s="16" t="n">
        <v>33.31786907</v>
      </c>
      <c r="G691" s="16" t="n">
        <v>44.50674618</v>
      </c>
      <c r="H691" s="18" t="n">
        <v>82</v>
      </c>
      <c r="I691" s="18" t="n">
        <v>492</v>
      </c>
      <c r="J691" s="19" t="n">
        <v>14</v>
      </c>
      <c r="K691" s="19"/>
      <c r="L691" s="19"/>
      <c r="M691" s="19"/>
      <c r="N691" s="19"/>
      <c r="O691" s="19" t="n">
        <v>3</v>
      </c>
      <c r="P691" s="19"/>
      <c r="Q691" s="19"/>
      <c r="R691" s="19"/>
      <c r="S691" s="19"/>
      <c r="T691" s="19"/>
      <c r="U691" s="19"/>
      <c r="V691" s="19" t="n">
        <v>50</v>
      </c>
      <c r="W691" s="19"/>
      <c r="X691" s="19" t="n">
        <v>15</v>
      </c>
      <c r="Y691" s="19"/>
      <c r="Z691" s="19"/>
      <c r="AA691" s="19"/>
      <c r="AB691" s="19"/>
      <c r="AC691" s="19" t="n">
        <v>40</v>
      </c>
      <c r="AD691" s="19"/>
      <c r="AE691" s="19"/>
      <c r="AF691" s="19"/>
      <c r="AG691" s="19"/>
      <c r="AH691" s="19" t="n">
        <v>42</v>
      </c>
      <c r="AI691" s="19"/>
      <c r="AJ691" s="19"/>
      <c r="AK691" s="19"/>
      <c r="AL691" s="19" t="n">
        <v>5</v>
      </c>
      <c r="AM691" s="19" t="n">
        <v>12</v>
      </c>
      <c r="AN691" s="19" t="n">
        <v>51</v>
      </c>
      <c r="AO691" s="19" t="n">
        <v>8</v>
      </c>
      <c r="AP691" s="19" t="n">
        <v>6</v>
      </c>
      <c r="AQ691" s="19"/>
      <c r="AR691" s="19"/>
      <c r="AS691" s="20" t="str">
        <f aca="false">HYPERLINK("http://www.openstreetmap.org/?mlat=33.3179&amp;mlon=44.5067&amp;zoom=12#map=12/33.3179/44.5067","Maplink1")</f>
        <v>Maplink1</v>
      </c>
      <c r="AT691" s="20" t="str">
        <f aca="false">HYPERLINK("https://www.google.iq/maps/search/+33.3179,44.5067/@33.3179,44.5067,14z?hl=en","Maplink2")</f>
        <v>Maplink2</v>
      </c>
      <c r="AU691" s="20" t="str">
        <f aca="false">HYPERLINK("http://www.bing.com/maps/?lvl=14&amp;sty=h&amp;cp=33.3179~44.5067&amp;sp=point.33.3179_44.5067","Maplink3")</f>
        <v>Maplink3</v>
      </c>
    </row>
    <row r="692" customFormat="false" ht="15" hidden="false" customHeight="true" outlineLevel="0" collapsed="false">
      <c r="A692" s="15" t="n">
        <v>24023</v>
      </c>
      <c r="B692" s="16" t="s">
        <v>17</v>
      </c>
      <c r="C692" s="16" t="s">
        <v>1288</v>
      </c>
      <c r="D692" s="16" t="s">
        <v>1381</v>
      </c>
      <c r="E692" s="17" t="s">
        <v>1382</v>
      </c>
      <c r="F692" s="16" t="n">
        <v>33.3156462</v>
      </c>
      <c r="G692" s="16" t="n">
        <v>44.49707342</v>
      </c>
      <c r="H692" s="18" t="n">
        <v>133</v>
      </c>
      <c r="I692" s="18" t="n">
        <v>798</v>
      </c>
      <c r="J692" s="19" t="n">
        <v>20</v>
      </c>
      <c r="K692" s="19"/>
      <c r="L692" s="19"/>
      <c r="M692" s="19"/>
      <c r="N692" s="19"/>
      <c r="O692" s="19" t="n">
        <v>8</v>
      </c>
      <c r="P692" s="19"/>
      <c r="Q692" s="19"/>
      <c r="R692" s="19"/>
      <c r="S692" s="19"/>
      <c r="T692" s="19"/>
      <c r="U692" s="19"/>
      <c r="V692" s="19" t="n">
        <v>68</v>
      </c>
      <c r="W692" s="19"/>
      <c r="X692" s="19" t="n">
        <v>37</v>
      </c>
      <c r="Y692" s="19"/>
      <c r="Z692" s="19"/>
      <c r="AA692" s="19"/>
      <c r="AB692" s="19"/>
      <c r="AC692" s="19" t="n">
        <v>73</v>
      </c>
      <c r="AD692" s="19"/>
      <c r="AE692" s="19"/>
      <c r="AF692" s="19"/>
      <c r="AG692" s="19"/>
      <c r="AH692" s="19" t="n">
        <v>60</v>
      </c>
      <c r="AI692" s="19"/>
      <c r="AJ692" s="19"/>
      <c r="AK692" s="19"/>
      <c r="AL692" s="19" t="n">
        <v>7</v>
      </c>
      <c r="AM692" s="19"/>
      <c r="AN692" s="19" t="n">
        <v>58</v>
      </c>
      <c r="AO692" s="19" t="n">
        <v>38</v>
      </c>
      <c r="AP692" s="19" t="n">
        <v>27</v>
      </c>
      <c r="AQ692" s="19"/>
      <c r="AR692" s="19" t="n">
        <v>3</v>
      </c>
      <c r="AS692" s="20" t="str">
        <f aca="false">HYPERLINK("http://www.openstreetmap.org/?mlat=33.3156&amp;mlon=44.4971&amp;zoom=12#map=12/33.3156/44.4971","Maplink1")</f>
        <v>Maplink1</v>
      </c>
      <c r="AT692" s="20" t="str">
        <f aca="false">HYPERLINK("https://www.google.iq/maps/search/+33.3156,44.4971/@33.3156,44.4971,14z?hl=en","Maplink2")</f>
        <v>Maplink2</v>
      </c>
      <c r="AU692" s="20" t="str">
        <f aca="false">HYPERLINK("http://www.bing.com/maps/?lvl=14&amp;sty=h&amp;cp=33.3156~44.4971&amp;sp=point.33.3156_44.4971","Maplink3")</f>
        <v>Maplink3</v>
      </c>
    </row>
    <row r="693" customFormat="false" ht="15" hidden="false" customHeight="true" outlineLevel="0" collapsed="false">
      <c r="A693" s="15" t="n">
        <v>23210</v>
      </c>
      <c r="B693" s="16" t="s">
        <v>17</v>
      </c>
      <c r="C693" s="16" t="s">
        <v>1288</v>
      </c>
      <c r="D693" s="16" t="s">
        <v>1383</v>
      </c>
      <c r="E693" s="17" t="s">
        <v>1384</v>
      </c>
      <c r="F693" s="16" t="n">
        <v>33.31413607</v>
      </c>
      <c r="G693" s="16" t="n">
        <v>44.50510987</v>
      </c>
      <c r="H693" s="18" t="n">
        <v>129</v>
      </c>
      <c r="I693" s="18" t="n">
        <v>774</v>
      </c>
      <c r="J693" s="19" t="n">
        <v>41</v>
      </c>
      <c r="K693" s="19"/>
      <c r="L693" s="19"/>
      <c r="M693" s="19"/>
      <c r="N693" s="19"/>
      <c r="O693" s="19" t="n">
        <v>10</v>
      </c>
      <c r="P693" s="19"/>
      <c r="Q693" s="19"/>
      <c r="R693" s="19"/>
      <c r="S693" s="19"/>
      <c r="T693" s="19"/>
      <c r="U693" s="19"/>
      <c r="V693" s="19" t="n">
        <v>60</v>
      </c>
      <c r="W693" s="19"/>
      <c r="X693" s="19" t="n">
        <v>18</v>
      </c>
      <c r="Y693" s="19"/>
      <c r="Z693" s="19"/>
      <c r="AA693" s="19"/>
      <c r="AB693" s="19"/>
      <c r="AC693" s="19" t="n">
        <v>48</v>
      </c>
      <c r="AD693" s="19"/>
      <c r="AE693" s="19"/>
      <c r="AF693" s="19"/>
      <c r="AG693" s="19"/>
      <c r="AH693" s="19" t="n">
        <v>81</v>
      </c>
      <c r="AI693" s="19"/>
      <c r="AJ693" s="19"/>
      <c r="AK693" s="19"/>
      <c r="AL693" s="19" t="n">
        <v>6</v>
      </c>
      <c r="AM693" s="19" t="n">
        <v>46</v>
      </c>
      <c r="AN693" s="19" t="n">
        <v>55</v>
      </c>
      <c r="AO693" s="19" t="n">
        <v>10</v>
      </c>
      <c r="AP693" s="19" t="n">
        <v>7</v>
      </c>
      <c r="AQ693" s="19"/>
      <c r="AR693" s="19" t="n">
        <v>5</v>
      </c>
      <c r="AS693" s="20" t="str">
        <f aca="false">HYPERLINK("http://www.openstreetmap.org/?mlat=33.3141&amp;mlon=44.5051&amp;zoom=12#map=12/33.3141/44.5051","Maplink1")</f>
        <v>Maplink1</v>
      </c>
      <c r="AT693" s="20" t="str">
        <f aca="false">HYPERLINK("https://www.google.iq/maps/search/+33.3141,44.5051/@33.3141,44.5051,14z?hl=en","Maplink2")</f>
        <v>Maplink2</v>
      </c>
      <c r="AU693" s="20" t="str">
        <f aca="false">HYPERLINK("http://www.bing.com/maps/?lvl=14&amp;sty=h&amp;cp=33.3141~44.5051&amp;sp=point.33.3141_44.5051","Maplink3")</f>
        <v>Maplink3</v>
      </c>
    </row>
    <row r="694" customFormat="false" ht="15" hidden="false" customHeight="true" outlineLevel="0" collapsed="false">
      <c r="A694" s="15" t="n">
        <v>23323</v>
      </c>
      <c r="B694" s="16" t="s">
        <v>17</v>
      </c>
      <c r="C694" s="16" t="s">
        <v>1288</v>
      </c>
      <c r="D694" s="16" t="s">
        <v>1385</v>
      </c>
      <c r="E694" s="17" t="s">
        <v>1386</v>
      </c>
      <c r="F694" s="16" t="n">
        <v>33.32419582</v>
      </c>
      <c r="G694" s="16" t="n">
        <v>44.4966108</v>
      </c>
      <c r="H694" s="18" t="n">
        <v>123</v>
      </c>
      <c r="I694" s="18" t="n">
        <v>738</v>
      </c>
      <c r="J694" s="19" t="n">
        <v>19</v>
      </c>
      <c r="K694" s="19"/>
      <c r="L694" s="19"/>
      <c r="M694" s="19"/>
      <c r="N694" s="19"/>
      <c r="O694" s="19" t="n">
        <v>20</v>
      </c>
      <c r="P694" s="19"/>
      <c r="Q694" s="19"/>
      <c r="R694" s="19" t="n">
        <v>4</v>
      </c>
      <c r="S694" s="19"/>
      <c r="T694" s="19"/>
      <c r="U694" s="19"/>
      <c r="V694" s="19" t="n">
        <v>69</v>
      </c>
      <c r="W694" s="19"/>
      <c r="X694" s="19" t="n">
        <v>11</v>
      </c>
      <c r="Y694" s="19"/>
      <c r="Z694" s="19"/>
      <c r="AA694" s="19"/>
      <c r="AB694" s="19"/>
      <c r="AC694" s="19" t="n">
        <v>41</v>
      </c>
      <c r="AD694" s="19"/>
      <c r="AE694" s="19"/>
      <c r="AF694" s="19"/>
      <c r="AG694" s="19"/>
      <c r="AH694" s="19" t="n">
        <v>82</v>
      </c>
      <c r="AI694" s="19"/>
      <c r="AJ694" s="19"/>
      <c r="AK694" s="19"/>
      <c r="AL694" s="19" t="n">
        <v>4</v>
      </c>
      <c r="AM694" s="19" t="n">
        <v>67</v>
      </c>
      <c r="AN694" s="19" t="n">
        <v>24</v>
      </c>
      <c r="AO694" s="19" t="n">
        <v>12</v>
      </c>
      <c r="AP694" s="19" t="n">
        <v>16</v>
      </c>
      <c r="AQ694" s="19"/>
      <c r="AR694" s="19"/>
      <c r="AS694" s="20" t="str">
        <f aca="false">HYPERLINK("http://www.openstreetmap.org/?mlat=33.3242&amp;mlon=44.4966&amp;zoom=12#map=12/33.3242/44.4966","Maplink1")</f>
        <v>Maplink1</v>
      </c>
      <c r="AT694" s="20" t="str">
        <f aca="false">HYPERLINK("https://www.google.iq/maps/search/+33.3242,44.4966/@33.3242,44.4966,14z?hl=en","Maplink2")</f>
        <v>Maplink2</v>
      </c>
      <c r="AU694" s="20" t="str">
        <f aca="false">HYPERLINK("http://www.bing.com/maps/?lvl=14&amp;sty=h&amp;cp=33.3242~44.4966&amp;sp=point.33.3242_44.4966","Maplink3")</f>
        <v>Maplink3</v>
      </c>
    </row>
    <row r="695" customFormat="false" ht="15" hidden="false" customHeight="true" outlineLevel="0" collapsed="false">
      <c r="A695" s="15" t="n">
        <v>23752</v>
      </c>
      <c r="B695" s="16" t="s">
        <v>17</v>
      </c>
      <c r="C695" s="16" t="s">
        <v>1288</v>
      </c>
      <c r="D695" s="16" t="s">
        <v>1387</v>
      </c>
      <c r="E695" s="17" t="s">
        <v>1388</v>
      </c>
      <c r="F695" s="16" t="n">
        <v>33.31924101</v>
      </c>
      <c r="G695" s="16" t="n">
        <v>44.45742391</v>
      </c>
      <c r="H695" s="18" t="n">
        <v>60</v>
      </c>
      <c r="I695" s="18" t="n">
        <v>360</v>
      </c>
      <c r="J695" s="19" t="n">
        <v>8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 t="n">
        <v>47</v>
      </c>
      <c r="W695" s="19"/>
      <c r="X695" s="19" t="n">
        <v>5</v>
      </c>
      <c r="Y695" s="19"/>
      <c r="Z695" s="19"/>
      <c r="AA695" s="19"/>
      <c r="AB695" s="19"/>
      <c r="AC695" s="19" t="n">
        <v>27</v>
      </c>
      <c r="AD695" s="19"/>
      <c r="AE695" s="19"/>
      <c r="AF695" s="19"/>
      <c r="AG695" s="19"/>
      <c r="AH695" s="19" t="n">
        <v>33</v>
      </c>
      <c r="AI695" s="19"/>
      <c r="AJ695" s="19"/>
      <c r="AK695" s="19"/>
      <c r="AL695" s="19" t="n">
        <v>11</v>
      </c>
      <c r="AM695" s="19"/>
      <c r="AN695" s="19" t="n">
        <v>27</v>
      </c>
      <c r="AO695" s="19" t="n">
        <v>10</v>
      </c>
      <c r="AP695" s="19" t="n">
        <v>3</v>
      </c>
      <c r="AQ695" s="19"/>
      <c r="AR695" s="19" t="n">
        <v>9</v>
      </c>
      <c r="AS695" s="20" t="str">
        <f aca="false">HYPERLINK("http://www.openstreetmap.org/?mlat=33.3192&amp;mlon=44.4574&amp;zoom=12#map=12/33.3192/44.4574","Maplink1")</f>
        <v>Maplink1</v>
      </c>
      <c r="AT695" s="20" t="str">
        <f aca="false">HYPERLINK("https://www.google.iq/maps/search/+33.3192,44.4574/@33.3192,44.4574,14z?hl=en","Maplink2")</f>
        <v>Maplink2</v>
      </c>
      <c r="AU695" s="20" t="str">
        <f aca="false">HYPERLINK("http://www.bing.com/maps/?lvl=14&amp;sty=h&amp;cp=33.3192~44.4574&amp;sp=point.33.3192_44.4574","Maplink3")</f>
        <v>Maplink3</v>
      </c>
    </row>
    <row r="696" customFormat="false" ht="15" hidden="false" customHeight="true" outlineLevel="0" collapsed="false">
      <c r="A696" s="15" t="n">
        <v>24471</v>
      </c>
      <c r="B696" s="16" t="s">
        <v>17</v>
      </c>
      <c r="C696" s="16" t="s">
        <v>1288</v>
      </c>
      <c r="D696" s="16" t="s">
        <v>1389</v>
      </c>
      <c r="E696" s="17" t="s">
        <v>1390</v>
      </c>
      <c r="F696" s="16" t="n">
        <v>33.3231757</v>
      </c>
      <c r="G696" s="16" t="n">
        <v>44.45944693</v>
      </c>
      <c r="H696" s="18" t="n">
        <v>52</v>
      </c>
      <c r="I696" s="18" t="n">
        <v>312</v>
      </c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 t="n">
        <v>52</v>
      </c>
      <c r="W696" s="19"/>
      <c r="X696" s="19"/>
      <c r="Y696" s="19"/>
      <c r="Z696" s="19"/>
      <c r="AA696" s="19"/>
      <c r="AB696" s="19"/>
      <c r="AC696" s="19" t="n">
        <v>33</v>
      </c>
      <c r="AD696" s="19"/>
      <c r="AE696" s="19"/>
      <c r="AF696" s="19"/>
      <c r="AG696" s="19"/>
      <c r="AH696" s="19" t="n">
        <v>19</v>
      </c>
      <c r="AI696" s="19"/>
      <c r="AJ696" s="19"/>
      <c r="AK696" s="19"/>
      <c r="AL696" s="19"/>
      <c r="AM696" s="19"/>
      <c r="AN696" s="19" t="n">
        <v>23</v>
      </c>
      <c r="AO696" s="19" t="n">
        <v>13</v>
      </c>
      <c r="AP696" s="19" t="n">
        <v>6</v>
      </c>
      <c r="AQ696" s="19"/>
      <c r="AR696" s="19" t="n">
        <v>10</v>
      </c>
      <c r="AS696" s="20" t="str">
        <f aca="false">HYPERLINK("http://www.openstreetmap.org/?mlat=33.3232&amp;mlon=44.4594&amp;zoom=12#map=12/33.3232/44.4594","Maplink1")</f>
        <v>Maplink1</v>
      </c>
      <c r="AT696" s="20" t="str">
        <f aca="false">HYPERLINK("https://www.google.iq/maps/search/+33.3232,44.4594/@33.3232,44.4594,14z?hl=en","Maplink2")</f>
        <v>Maplink2</v>
      </c>
      <c r="AU696" s="20" t="str">
        <f aca="false">HYPERLINK("http://www.bing.com/maps/?lvl=14&amp;sty=h&amp;cp=33.3232~44.4594&amp;sp=point.33.3232_44.4594","Maplink3")</f>
        <v>Maplink3</v>
      </c>
    </row>
    <row r="697" customFormat="false" ht="15" hidden="false" customHeight="true" outlineLevel="0" collapsed="false">
      <c r="A697" s="15" t="n">
        <v>24129</v>
      </c>
      <c r="B697" s="16" t="s">
        <v>17</v>
      </c>
      <c r="C697" s="16" t="s">
        <v>1288</v>
      </c>
      <c r="D697" s="16" t="s">
        <v>1391</v>
      </c>
      <c r="E697" s="17" t="s">
        <v>1392</v>
      </c>
      <c r="F697" s="16" t="n">
        <v>33.32736954</v>
      </c>
      <c r="G697" s="16" t="n">
        <v>44.44777591</v>
      </c>
      <c r="H697" s="18" t="n">
        <v>61</v>
      </c>
      <c r="I697" s="18" t="n">
        <v>366</v>
      </c>
      <c r="J697" s="19" t="n">
        <v>5</v>
      </c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 t="n">
        <v>56</v>
      </c>
      <c r="W697" s="19"/>
      <c r="X697" s="19"/>
      <c r="Y697" s="19"/>
      <c r="Z697" s="19"/>
      <c r="AA697" s="19"/>
      <c r="AB697" s="19"/>
      <c r="AC697" s="19" t="n">
        <v>22</v>
      </c>
      <c r="AD697" s="19"/>
      <c r="AE697" s="19"/>
      <c r="AF697" s="19"/>
      <c r="AG697" s="19"/>
      <c r="AH697" s="19" t="n">
        <v>39</v>
      </c>
      <c r="AI697" s="19"/>
      <c r="AJ697" s="19"/>
      <c r="AK697" s="19"/>
      <c r="AL697" s="19" t="n">
        <v>20</v>
      </c>
      <c r="AM697" s="19"/>
      <c r="AN697" s="19" t="n">
        <v>37</v>
      </c>
      <c r="AO697" s="19" t="n">
        <v>2</v>
      </c>
      <c r="AP697" s="19" t="n">
        <v>2</v>
      </c>
      <c r="AQ697" s="19"/>
      <c r="AR697" s="19"/>
      <c r="AS697" s="20" t="str">
        <f aca="false">HYPERLINK("http://www.openstreetmap.org/?mlat=33.3274&amp;mlon=44.4478&amp;zoom=12#map=12/33.3274/44.4478","Maplink1")</f>
        <v>Maplink1</v>
      </c>
      <c r="AT697" s="20" t="str">
        <f aca="false">HYPERLINK("https://www.google.iq/maps/search/+33.3274,44.4478/@33.3274,44.4478,14z?hl=en","Maplink2")</f>
        <v>Maplink2</v>
      </c>
      <c r="AU697" s="20" t="str">
        <f aca="false">HYPERLINK("http://www.bing.com/maps/?lvl=14&amp;sty=h&amp;cp=33.3274~44.4478&amp;sp=point.33.3274_44.4478","Maplink3")</f>
        <v>Maplink3</v>
      </c>
    </row>
    <row r="698" customFormat="false" ht="15" hidden="false" customHeight="true" outlineLevel="0" collapsed="false">
      <c r="A698" s="15" t="n">
        <v>23980</v>
      </c>
      <c r="B698" s="16" t="s">
        <v>17</v>
      </c>
      <c r="C698" s="16" t="s">
        <v>1288</v>
      </c>
      <c r="D698" s="16" t="s">
        <v>1393</v>
      </c>
      <c r="E698" s="17" t="s">
        <v>1394</v>
      </c>
      <c r="F698" s="16" t="n">
        <v>33.32175327</v>
      </c>
      <c r="G698" s="16" t="n">
        <v>44.46701044</v>
      </c>
      <c r="H698" s="18" t="n">
        <v>45</v>
      </c>
      <c r="I698" s="18" t="n">
        <v>270</v>
      </c>
      <c r="J698" s="19" t="n">
        <v>7</v>
      </c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 t="n">
        <v>33</v>
      </c>
      <c r="W698" s="19"/>
      <c r="X698" s="19" t="n">
        <v>5</v>
      </c>
      <c r="Y698" s="19"/>
      <c r="Z698" s="19"/>
      <c r="AA698" s="19"/>
      <c r="AB698" s="19"/>
      <c r="AC698" s="19" t="n">
        <v>20</v>
      </c>
      <c r="AD698" s="19"/>
      <c r="AE698" s="19"/>
      <c r="AF698" s="19"/>
      <c r="AG698" s="19"/>
      <c r="AH698" s="19" t="n">
        <v>25</v>
      </c>
      <c r="AI698" s="19"/>
      <c r="AJ698" s="19"/>
      <c r="AK698" s="19"/>
      <c r="AL698" s="19" t="n">
        <v>7</v>
      </c>
      <c r="AM698" s="19"/>
      <c r="AN698" s="19" t="n">
        <v>7</v>
      </c>
      <c r="AO698" s="19" t="n">
        <v>13</v>
      </c>
      <c r="AP698" s="19" t="n">
        <v>10</v>
      </c>
      <c r="AQ698" s="19"/>
      <c r="AR698" s="19" t="n">
        <v>8</v>
      </c>
      <c r="AS698" s="20" t="str">
        <f aca="false">HYPERLINK("http://www.openstreetmap.org/?mlat=33.3218&amp;mlon=44.467&amp;zoom=12#map=12/33.3218/44.467","Maplink1")</f>
        <v>Maplink1</v>
      </c>
      <c r="AT698" s="20" t="str">
        <f aca="false">HYPERLINK("https://www.google.iq/maps/search/+33.3218,44.467/@33.3218,44.467,14z?hl=en","Maplink2")</f>
        <v>Maplink2</v>
      </c>
      <c r="AU698" s="20" t="str">
        <f aca="false">HYPERLINK("http://www.bing.com/maps/?lvl=14&amp;sty=h&amp;cp=33.3218~44.467&amp;sp=point.33.3218_44.467","Maplink3")</f>
        <v>Maplink3</v>
      </c>
    </row>
    <row r="699" customFormat="false" ht="15" hidden="false" customHeight="true" outlineLevel="0" collapsed="false">
      <c r="A699" s="15" t="n">
        <v>24470</v>
      </c>
      <c r="B699" s="16" t="s">
        <v>17</v>
      </c>
      <c r="C699" s="16" t="s">
        <v>1288</v>
      </c>
      <c r="D699" s="16" t="s">
        <v>1395</v>
      </c>
      <c r="E699" s="17" t="s">
        <v>1396</v>
      </c>
      <c r="F699" s="16" t="n">
        <v>33.33252074</v>
      </c>
      <c r="G699" s="16" t="n">
        <v>44.46061848</v>
      </c>
      <c r="H699" s="18" t="n">
        <v>42</v>
      </c>
      <c r="I699" s="18" t="n">
        <v>252</v>
      </c>
      <c r="J699" s="19" t="n">
        <v>7</v>
      </c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 t="n">
        <v>35</v>
      </c>
      <c r="W699" s="19"/>
      <c r="X699" s="19"/>
      <c r="Y699" s="19"/>
      <c r="Z699" s="19"/>
      <c r="AA699" s="19"/>
      <c r="AB699" s="19"/>
      <c r="AC699" s="19" t="n">
        <v>24</v>
      </c>
      <c r="AD699" s="19"/>
      <c r="AE699" s="19"/>
      <c r="AF699" s="19"/>
      <c r="AG699" s="19"/>
      <c r="AH699" s="19" t="n">
        <v>18</v>
      </c>
      <c r="AI699" s="19"/>
      <c r="AJ699" s="19"/>
      <c r="AK699" s="19"/>
      <c r="AL699" s="19"/>
      <c r="AM699" s="19"/>
      <c r="AN699" s="19" t="n">
        <v>24</v>
      </c>
      <c r="AO699" s="19" t="n">
        <v>6</v>
      </c>
      <c r="AP699" s="19" t="n">
        <v>6</v>
      </c>
      <c r="AQ699" s="19"/>
      <c r="AR699" s="19" t="n">
        <v>6</v>
      </c>
      <c r="AS699" s="20" t="str">
        <f aca="false">HYPERLINK("http://www.openstreetmap.org/?mlat=33.3325&amp;mlon=44.4606&amp;zoom=12#map=12/33.3325/44.4606","Maplink1")</f>
        <v>Maplink1</v>
      </c>
      <c r="AT699" s="20" t="str">
        <f aca="false">HYPERLINK("https://www.google.iq/maps/search/+33.3325,44.4606/@33.3325,44.4606,14z?hl=en","Maplink2")</f>
        <v>Maplink2</v>
      </c>
      <c r="AU699" s="20" t="str">
        <f aca="false">HYPERLINK("http://www.bing.com/maps/?lvl=14&amp;sty=h&amp;cp=33.3325~44.4606&amp;sp=point.33.3325_44.4606","Maplink3")</f>
        <v>Maplink3</v>
      </c>
    </row>
    <row r="700" customFormat="false" ht="15" hidden="false" customHeight="true" outlineLevel="0" collapsed="false">
      <c r="A700" s="15" t="n">
        <v>23330</v>
      </c>
      <c r="B700" s="16" t="s">
        <v>17</v>
      </c>
      <c r="C700" s="16" t="s">
        <v>1288</v>
      </c>
      <c r="D700" s="16" t="s">
        <v>1397</v>
      </c>
      <c r="E700" s="17" t="s">
        <v>1398</v>
      </c>
      <c r="F700" s="16" t="n">
        <v>33.31876216</v>
      </c>
      <c r="G700" s="16" t="n">
        <v>44.42385344</v>
      </c>
      <c r="H700" s="18" t="n">
        <v>28</v>
      </c>
      <c r="I700" s="18" t="n">
        <v>168</v>
      </c>
      <c r="J700" s="19" t="n">
        <v>6</v>
      </c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 t="n">
        <v>22</v>
      </c>
      <c r="W700" s="19"/>
      <c r="X700" s="19"/>
      <c r="Y700" s="19"/>
      <c r="Z700" s="19"/>
      <c r="AA700" s="19"/>
      <c r="AB700" s="19"/>
      <c r="AC700" s="19" t="n">
        <v>13</v>
      </c>
      <c r="AD700" s="19"/>
      <c r="AE700" s="19"/>
      <c r="AF700" s="19"/>
      <c r="AG700" s="19"/>
      <c r="AH700" s="19" t="n">
        <v>15</v>
      </c>
      <c r="AI700" s="19"/>
      <c r="AJ700" s="19"/>
      <c r="AK700" s="19"/>
      <c r="AL700" s="19"/>
      <c r="AM700" s="19"/>
      <c r="AN700" s="19"/>
      <c r="AO700" s="19" t="n">
        <v>19</v>
      </c>
      <c r="AP700" s="19" t="n">
        <v>6</v>
      </c>
      <c r="AQ700" s="19"/>
      <c r="AR700" s="19" t="n">
        <v>3</v>
      </c>
      <c r="AS700" s="20" t="str">
        <f aca="false">HYPERLINK("http://www.openstreetmap.org/?mlat=33.3188&amp;mlon=44.4239&amp;zoom=12#map=12/33.3188/44.4239","Maplink1")</f>
        <v>Maplink1</v>
      </c>
      <c r="AT700" s="20" t="str">
        <f aca="false">HYPERLINK("https://www.google.iq/maps/search/+33.3188,44.4239/@33.3188,44.4239,14z?hl=en","Maplink2")</f>
        <v>Maplink2</v>
      </c>
      <c r="AU700" s="20" t="str">
        <f aca="false">HYPERLINK("http://www.bing.com/maps/?lvl=14&amp;sty=h&amp;cp=33.3188~44.4239&amp;sp=point.33.3188_44.4239","Maplink3")</f>
        <v>Maplink3</v>
      </c>
    </row>
    <row r="701" customFormat="false" ht="15" hidden="false" customHeight="true" outlineLevel="0" collapsed="false">
      <c r="A701" s="15" t="n">
        <v>24749</v>
      </c>
      <c r="B701" s="16" t="s">
        <v>17</v>
      </c>
      <c r="C701" s="16" t="s">
        <v>1288</v>
      </c>
      <c r="D701" s="16" t="s">
        <v>1399</v>
      </c>
      <c r="E701" s="17" t="s">
        <v>1400</v>
      </c>
      <c r="F701" s="16" t="n">
        <v>33.34625683</v>
      </c>
      <c r="G701" s="16" t="n">
        <v>44.43051568</v>
      </c>
      <c r="H701" s="18" t="n">
        <v>28</v>
      </c>
      <c r="I701" s="18" t="n">
        <v>168</v>
      </c>
      <c r="J701" s="19" t="n">
        <v>4</v>
      </c>
      <c r="K701" s="19"/>
      <c r="L701" s="19"/>
      <c r="M701" s="19"/>
      <c r="N701" s="19"/>
      <c r="O701" s="19" t="n">
        <v>4</v>
      </c>
      <c r="P701" s="19"/>
      <c r="Q701" s="19"/>
      <c r="R701" s="19"/>
      <c r="S701" s="19"/>
      <c r="T701" s="19"/>
      <c r="U701" s="19"/>
      <c r="V701" s="19" t="n">
        <v>20</v>
      </c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 t="n">
        <v>28</v>
      </c>
      <c r="AI701" s="19"/>
      <c r="AJ701" s="19"/>
      <c r="AK701" s="19"/>
      <c r="AL701" s="19"/>
      <c r="AM701" s="19"/>
      <c r="AN701" s="19"/>
      <c r="AO701" s="19" t="n">
        <v>26</v>
      </c>
      <c r="AP701" s="19" t="n">
        <v>2</v>
      </c>
      <c r="AQ701" s="19"/>
      <c r="AR701" s="19"/>
      <c r="AS701" s="20" t="str">
        <f aca="false">HYPERLINK("http://www.openstreetmap.org/?mlat=33.3463&amp;mlon=44.4305&amp;zoom=12#map=12/33.3463/44.4305","Maplink1")</f>
        <v>Maplink1</v>
      </c>
      <c r="AT701" s="20" t="str">
        <f aca="false">HYPERLINK("https://www.google.iq/maps/search/+33.3463,44.4305/@33.3463,44.4305,14z?hl=en","Maplink2")</f>
        <v>Maplink2</v>
      </c>
      <c r="AU701" s="20" t="str">
        <f aca="false">HYPERLINK("http://www.bing.com/maps/?lvl=14&amp;sty=h&amp;cp=33.3463~44.4305&amp;sp=point.33.3463_44.4305","Maplink3")</f>
        <v>Maplink3</v>
      </c>
    </row>
    <row r="702" customFormat="false" ht="15" hidden="false" customHeight="true" outlineLevel="0" collapsed="false">
      <c r="A702" s="15" t="n">
        <v>24945</v>
      </c>
      <c r="B702" s="16" t="s">
        <v>17</v>
      </c>
      <c r="C702" s="16" t="s">
        <v>1288</v>
      </c>
      <c r="D702" s="16" t="s">
        <v>1401</v>
      </c>
      <c r="E702" s="17" t="s">
        <v>1402</v>
      </c>
      <c r="F702" s="16" t="n">
        <v>33.32837957</v>
      </c>
      <c r="G702" s="16" t="n">
        <v>44.40468361</v>
      </c>
      <c r="H702" s="18" t="n">
        <v>13</v>
      </c>
      <c r="I702" s="18" t="n">
        <v>78</v>
      </c>
      <c r="J702" s="19"/>
      <c r="K702" s="19"/>
      <c r="L702" s="19"/>
      <c r="M702" s="19"/>
      <c r="N702" s="19"/>
      <c r="O702" s="19" t="n">
        <v>3</v>
      </c>
      <c r="P702" s="19"/>
      <c r="Q702" s="19"/>
      <c r="R702" s="19"/>
      <c r="S702" s="19"/>
      <c r="T702" s="19"/>
      <c r="U702" s="19"/>
      <c r="V702" s="19" t="n">
        <v>9</v>
      </c>
      <c r="W702" s="19"/>
      <c r="X702" s="19" t="n">
        <v>1</v>
      </c>
      <c r="Y702" s="19"/>
      <c r="Z702" s="19"/>
      <c r="AA702" s="19"/>
      <c r="AB702" s="19"/>
      <c r="AC702" s="19" t="n">
        <v>3</v>
      </c>
      <c r="AD702" s="19"/>
      <c r="AE702" s="19"/>
      <c r="AF702" s="19"/>
      <c r="AG702" s="19"/>
      <c r="AH702" s="19" t="n">
        <v>10</v>
      </c>
      <c r="AI702" s="19"/>
      <c r="AJ702" s="19"/>
      <c r="AK702" s="19"/>
      <c r="AL702" s="19"/>
      <c r="AM702" s="19" t="n">
        <v>8</v>
      </c>
      <c r="AN702" s="19" t="n">
        <v>3</v>
      </c>
      <c r="AO702" s="19"/>
      <c r="AP702" s="19"/>
      <c r="AQ702" s="19" t="n">
        <v>2</v>
      </c>
      <c r="AR702" s="19"/>
      <c r="AS702" s="20" t="str">
        <f aca="false">HYPERLINK("http://www.openstreetmap.org/?mlat=33.3284&amp;mlon=44.4047&amp;zoom=12#map=12/33.3284/44.4047","Maplink1")</f>
        <v>Maplink1</v>
      </c>
      <c r="AT702" s="20" t="str">
        <f aca="false">HYPERLINK("https://www.google.iq/maps/search/+33.3284,44.4047/@33.3284,44.4047,14z?hl=en","Maplink2")</f>
        <v>Maplink2</v>
      </c>
      <c r="AU702" s="20" t="str">
        <f aca="false">HYPERLINK("http://www.bing.com/maps/?lvl=14&amp;sty=h&amp;cp=33.3284~44.4047&amp;sp=point.33.3284_44.4047","Maplink3")</f>
        <v>Maplink3</v>
      </c>
    </row>
    <row r="703" customFormat="false" ht="15" hidden="false" customHeight="true" outlineLevel="0" collapsed="false">
      <c r="A703" s="15" t="n">
        <v>24946</v>
      </c>
      <c r="B703" s="16" t="s">
        <v>17</v>
      </c>
      <c r="C703" s="16" t="s">
        <v>1288</v>
      </c>
      <c r="D703" s="16" t="s">
        <v>1403</v>
      </c>
      <c r="E703" s="17" t="s">
        <v>1404</v>
      </c>
      <c r="F703" s="16" t="n">
        <v>33.32955</v>
      </c>
      <c r="G703" s="16" t="n">
        <v>44.40586</v>
      </c>
      <c r="H703" s="18" t="n">
        <v>6</v>
      </c>
      <c r="I703" s="18" t="n">
        <v>36</v>
      </c>
      <c r="J703" s="19"/>
      <c r="K703" s="19"/>
      <c r="L703" s="19"/>
      <c r="M703" s="19"/>
      <c r="N703" s="19"/>
      <c r="O703" s="19" t="n">
        <v>1</v>
      </c>
      <c r="P703" s="19"/>
      <c r="Q703" s="19"/>
      <c r="R703" s="19"/>
      <c r="S703" s="19"/>
      <c r="T703" s="19"/>
      <c r="U703" s="19"/>
      <c r="V703" s="19" t="n">
        <v>5</v>
      </c>
      <c r="W703" s="19"/>
      <c r="X703" s="19"/>
      <c r="Y703" s="19"/>
      <c r="Z703" s="19"/>
      <c r="AA703" s="19"/>
      <c r="AB703" s="19"/>
      <c r="AC703" s="19" t="n">
        <v>3</v>
      </c>
      <c r="AD703" s="19"/>
      <c r="AE703" s="19"/>
      <c r="AF703" s="19"/>
      <c r="AG703" s="19"/>
      <c r="AH703" s="19" t="n">
        <v>3</v>
      </c>
      <c r="AI703" s="19"/>
      <c r="AJ703" s="19"/>
      <c r="AK703" s="19"/>
      <c r="AL703" s="19"/>
      <c r="AM703" s="19" t="n">
        <v>5</v>
      </c>
      <c r="AN703" s="19" t="n">
        <v>1</v>
      </c>
      <c r="AO703" s="19"/>
      <c r="AP703" s="19"/>
      <c r="AQ703" s="19"/>
      <c r="AR703" s="19"/>
      <c r="AS703" s="20" t="str">
        <f aca="false">HYPERLINK("http://www.openstreetmap.org/?mlat=33.3295&amp;mlon=44.4059&amp;zoom=12#map=12/33.3295/44.4059","Maplink1")</f>
        <v>Maplink1</v>
      </c>
      <c r="AT703" s="20" t="str">
        <f aca="false">HYPERLINK("https://www.google.iq/maps/search/+33.3295,44.4059/@33.3295,44.4059,14z?hl=en","Maplink2")</f>
        <v>Maplink2</v>
      </c>
      <c r="AU703" s="20" t="str">
        <f aca="false">HYPERLINK("http://www.bing.com/maps/?lvl=14&amp;sty=h&amp;cp=33.3295~44.4059&amp;sp=point.33.3295_44.4059","Maplink3")</f>
        <v>Maplink3</v>
      </c>
    </row>
    <row r="704" customFormat="false" ht="15" hidden="false" customHeight="true" outlineLevel="0" collapsed="false">
      <c r="A704" s="15" t="n">
        <v>24947</v>
      </c>
      <c r="B704" s="16" t="s">
        <v>17</v>
      </c>
      <c r="C704" s="16" t="s">
        <v>1288</v>
      </c>
      <c r="D704" s="16" t="s">
        <v>1405</v>
      </c>
      <c r="E704" s="17" t="s">
        <v>1406</v>
      </c>
      <c r="F704" s="16" t="n">
        <v>33.34757663</v>
      </c>
      <c r="G704" s="16" t="n">
        <v>44.38565089</v>
      </c>
      <c r="H704" s="18" t="n">
        <v>19</v>
      </c>
      <c r="I704" s="18" t="n">
        <v>114</v>
      </c>
      <c r="J704" s="19" t="n">
        <v>3</v>
      </c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 t="n">
        <v>14</v>
      </c>
      <c r="W704" s="19"/>
      <c r="X704" s="19" t="n">
        <v>2</v>
      </c>
      <c r="Y704" s="19"/>
      <c r="Z704" s="19"/>
      <c r="AA704" s="19"/>
      <c r="AB704" s="19"/>
      <c r="AC704" s="19" t="n">
        <v>7</v>
      </c>
      <c r="AD704" s="19"/>
      <c r="AE704" s="19"/>
      <c r="AF704" s="19"/>
      <c r="AG704" s="19"/>
      <c r="AH704" s="19" t="n">
        <v>12</v>
      </c>
      <c r="AI704" s="19"/>
      <c r="AJ704" s="19"/>
      <c r="AK704" s="19"/>
      <c r="AL704" s="19" t="n">
        <v>5</v>
      </c>
      <c r="AM704" s="19" t="n">
        <v>13</v>
      </c>
      <c r="AN704" s="19"/>
      <c r="AO704" s="19" t="n">
        <v>1</v>
      </c>
      <c r="AP704" s="19"/>
      <c r="AQ704" s="19"/>
      <c r="AR704" s="19"/>
      <c r="AS704" s="20" t="str">
        <f aca="false">HYPERLINK("http://www.openstreetmap.org/?mlat=33.3476&amp;mlon=44.3857&amp;zoom=12#map=12/33.3476/44.3857","Maplink1")</f>
        <v>Maplink1</v>
      </c>
      <c r="AT704" s="20" t="str">
        <f aca="false">HYPERLINK("https://www.google.iq/maps/search/+33.3476,44.3857/@33.3476,44.3857,14z?hl=en","Maplink2")</f>
        <v>Maplink2</v>
      </c>
      <c r="AU704" s="20" t="str">
        <f aca="false">HYPERLINK("http://www.bing.com/maps/?lvl=14&amp;sty=h&amp;cp=33.3476~44.3857&amp;sp=point.33.3476_44.3857","Maplink3")</f>
        <v>Maplink3</v>
      </c>
    </row>
    <row r="705" customFormat="false" ht="15" hidden="false" customHeight="true" outlineLevel="0" collapsed="false">
      <c r="A705" s="15" t="n">
        <v>24948</v>
      </c>
      <c r="B705" s="16" t="s">
        <v>17</v>
      </c>
      <c r="C705" s="16" t="s">
        <v>1288</v>
      </c>
      <c r="D705" s="16" t="s">
        <v>1407</v>
      </c>
      <c r="E705" s="17" t="s">
        <v>1408</v>
      </c>
      <c r="F705" s="16" t="n">
        <v>33.34389237</v>
      </c>
      <c r="G705" s="16" t="n">
        <v>44.386997</v>
      </c>
      <c r="H705" s="18" t="n">
        <v>28</v>
      </c>
      <c r="I705" s="18" t="n">
        <v>168</v>
      </c>
      <c r="J705" s="19" t="n">
        <v>6</v>
      </c>
      <c r="K705" s="19"/>
      <c r="L705" s="19"/>
      <c r="M705" s="19"/>
      <c r="N705" s="19"/>
      <c r="O705" s="19" t="n">
        <v>3</v>
      </c>
      <c r="P705" s="19"/>
      <c r="Q705" s="19"/>
      <c r="R705" s="19"/>
      <c r="S705" s="19"/>
      <c r="T705" s="19"/>
      <c r="U705" s="19"/>
      <c r="V705" s="19" t="n">
        <v>17</v>
      </c>
      <c r="W705" s="19"/>
      <c r="X705" s="19" t="n">
        <v>2</v>
      </c>
      <c r="Y705" s="19"/>
      <c r="Z705" s="19"/>
      <c r="AA705" s="19"/>
      <c r="AB705" s="19"/>
      <c r="AC705" s="19" t="n">
        <v>10</v>
      </c>
      <c r="AD705" s="19"/>
      <c r="AE705" s="19"/>
      <c r="AF705" s="19"/>
      <c r="AG705" s="19"/>
      <c r="AH705" s="19" t="n">
        <v>18</v>
      </c>
      <c r="AI705" s="19"/>
      <c r="AJ705" s="19"/>
      <c r="AK705" s="19"/>
      <c r="AL705" s="19"/>
      <c r="AM705" s="19" t="n">
        <v>14</v>
      </c>
      <c r="AN705" s="19"/>
      <c r="AO705" s="19" t="n">
        <v>8</v>
      </c>
      <c r="AP705" s="19" t="n">
        <v>3</v>
      </c>
      <c r="AQ705" s="19"/>
      <c r="AR705" s="19" t="n">
        <v>3</v>
      </c>
      <c r="AS705" s="20" t="str">
        <f aca="false">HYPERLINK("http://www.openstreetmap.org/?mlat=33.3439&amp;mlon=44.387&amp;zoom=12#map=12/33.3439/44.387","Maplink1")</f>
        <v>Maplink1</v>
      </c>
      <c r="AT705" s="20" t="str">
        <f aca="false">HYPERLINK("https://www.google.iq/maps/search/+33.3439,44.387/@33.3439,44.387,14z?hl=en","Maplink2")</f>
        <v>Maplink2</v>
      </c>
      <c r="AU705" s="20" t="str">
        <f aca="false">HYPERLINK("http://www.bing.com/maps/?lvl=14&amp;sty=h&amp;cp=33.3439~44.387&amp;sp=point.33.3439_44.387","Maplink3")</f>
        <v>Maplink3</v>
      </c>
    </row>
    <row r="706" customFormat="false" ht="15" hidden="false" customHeight="true" outlineLevel="0" collapsed="false">
      <c r="A706" s="15" t="n">
        <v>23988</v>
      </c>
      <c r="B706" s="16" t="s">
        <v>17</v>
      </c>
      <c r="C706" s="16" t="s">
        <v>1288</v>
      </c>
      <c r="D706" s="16" t="s">
        <v>1409</v>
      </c>
      <c r="E706" s="17" t="s">
        <v>1410</v>
      </c>
      <c r="F706" s="16" t="n">
        <v>33.30282176</v>
      </c>
      <c r="G706" s="16" t="n">
        <v>44.44806195</v>
      </c>
      <c r="H706" s="18" t="n">
        <v>73</v>
      </c>
      <c r="I706" s="18" t="n">
        <v>438</v>
      </c>
      <c r="J706" s="19" t="n">
        <v>34</v>
      </c>
      <c r="K706" s="19"/>
      <c r="L706" s="19"/>
      <c r="M706" s="19"/>
      <c r="N706" s="19"/>
      <c r="O706" s="19" t="n">
        <v>3</v>
      </c>
      <c r="P706" s="19"/>
      <c r="Q706" s="19"/>
      <c r="R706" s="19"/>
      <c r="S706" s="19"/>
      <c r="T706" s="19"/>
      <c r="U706" s="19"/>
      <c r="V706" s="19" t="n">
        <v>24</v>
      </c>
      <c r="W706" s="19"/>
      <c r="X706" s="19" t="n">
        <v>12</v>
      </c>
      <c r="Y706" s="19"/>
      <c r="Z706" s="19"/>
      <c r="AA706" s="19"/>
      <c r="AB706" s="19"/>
      <c r="AC706" s="19" t="n">
        <v>22</v>
      </c>
      <c r="AD706" s="19"/>
      <c r="AE706" s="19"/>
      <c r="AF706" s="19"/>
      <c r="AG706" s="19"/>
      <c r="AH706" s="19" t="n">
        <v>51</v>
      </c>
      <c r="AI706" s="19"/>
      <c r="AJ706" s="19"/>
      <c r="AK706" s="19"/>
      <c r="AL706" s="19" t="n">
        <v>7</v>
      </c>
      <c r="AM706" s="19" t="n">
        <v>9</v>
      </c>
      <c r="AN706" s="19" t="n">
        <v>15</v>
      </c>
      <c r="AO706" s="19" t="n">
        <v>20</v>
      </c>
      <c r="AP706" s="19" t="n">
        <v>22</v>
      </c>
      <c r="AQ706" s="19"/>
      <c r="AR706" s="19"/>
      <c r="AS706" s="20" t="str">
        <f aca="false">HYPERLINK("http://www.openstreetmap.org/?mlat=33.3028&amp;mlon=44.4481&amp;zoom=12#map=12/33.3028/44.4481","Maplink1")</f>
        <v>Maplink1</v>
      </c>
      <c r="AT706" s="20" t="str">
        <f aca="false">HYPERLINK("https://www.google.iq/maps/search/+33.3028,44.4481/@33.3028,44.4481,14z?hl=en","Maplink2")</f>
        <v>Maplink2</v>
      </c>
      <c r="AU706" s="20" t="str">
        <f aca="false">HYPERLINK("http://www.bing.com/maps/?lvl=14&amp;sty=h&amp;cp=33.3028~44.4481&amp;sp=point.33.3028_44.4481","Maplink3")</f>
        <v>Maplink3</v>
      </c>
    </row>
    <row r="707" customFormat="false" ht="15" hidden="false" customHeight="true" outlineLevel="0" collapsed="false">
      <c r="A707" s="15" t="n">
        <v>24713</v>
      </c>
      <c r="B707" s="16" t="s">
        <v>17</v>
      </c>
      <c r="C707" s="16" t="s">
        <v>1288</v>
      </c>
      <c r="D707" s="16" t="s">
        <v>1411</v>
      </c>
      <c r="E707" s="17" t="s">
        <v>1412</v>
      </c>
      <c r="F707" s="16" t="n">
        <v>33.31735189</v>
      </c>
      <c r="G707" s="16" t="n">
        <v>44.42475801</v>
      </c>
      <c r="H707" s="18" t="n">
        <v>406</v>
      </c>
      <c r="I707" s="18" t="n">
        <v>2436</v>
      </c>
      <c r="J707" s="19" t="n">
        <v>26</v>
      </c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 t="n">
        <v>360</v>
      </c>
      <c r="W707" s="19"/>
      <c r="X707" s="19" t="n">
        <v>20</v>
      </c>
      <c r="Y707" s="19"/>
      <c r="Z707" s="19"/>
      <c r="AA707" s="19"/>
      <c r="AB707" s="19"/>
      <c r="AC707" s="19" t="n">
        <v>63</v>
      </c>
      <c r="AD707" s="19" t="n">
        <v>100</v>
      </c>
      <c r="AE707" s="19"/>
      <c r="AF707" s="19"/>
      <c r="AG707" s="19"/>
      <c r="AH707" s="19" t="n">
        <v>243</v>
      </c>
      <c r="AI707" s="19"/>
      <c r="AJ707" s="19"/>
      <c r="AK707" s="19"/>
      <c r="AL707" s="19"/>
      <c r="AM707" s="19"/>
      <c r="AN707" s="19"/>
      <c r="AO707" s="19" t="n">
        <v>364</v>
      </c>
      <c r="AP707" s="19" t="n">
        <v>36</v>
      </c>
      <c r="AQ707" s="19"/>
      <c r="AR707" s="19" t="n">
        <v>6</v>
      </c>
      <c r="AS707" s="20" t="str">
        <f aca="false">HYPERLINK("http://www.openstreetmap.org/?mlat=33.3174&amp;mlon=44.4248&amp;zoom=12#map=12/33.3174/44.4248","Maplink1")</f>
        <v>Maplink1</v>
      </c>
      <c r="AT707" s="20" t="str">
        <f aca="false">HYPERLINK("https://www.google.iq/maps/search/+33.3174,44.4248/@33.3174,44.4248,14z?hl=en","Maplink2")</f>
        <v>Maplink2</v>
      </c>
      <c r="AU707" s="20" t="str">
        <f aca="false">HYPERLINK("http://www.bing.com/maps/?lvl=14&amp;sty=h&amp;cp=33.3174~44.4248&amp;sp=point.33.3174_44.4248","Maplink3")</f>
        <v>Maplink3</v>
      </c>
    </row>
    <row r="708" customFormat="false" ht="15" hidden="false" customHeight="true" outlineLevel="0" collapsed="false">
      <c r="A708" s="15" t="n">
        <v>24949</v>
      </c>
      <c r="B708" s="16" t="s">
        <v>17</v>
      </c>
      <c r="C708" s="16" t="s">
        <v>1288</v>
      </c>
      <c r="D708" s="16" t="s">
        <v>1413</v>
      </c>
      <c r="E708" s="17" t="s">
        <v>1414</v>
      </c>
      <c r="F708" s="16" t="n">
        <v>33.34671152</v>
      </c>
      <c r="G708" s="16" t="n">
        <v>44.39176484</v>
      </c>
      <c r="H708" s="18" t="n">
        <v>23</v>
      </c>
      <c r="I708" s="18" t="n">
        <v>138</v>
      </c>
      <c r="J708" s="19" t="n">
        <v>7</v>
      </c>
      <c r="K708" s="19"/>
      <c r="L708" s="19"/>
      <c r="M708" s="19"/>
      <c r="N708" s="19"/>
      <c r="O708" s="19" t="n">
        <v>5</v>
      </c>
      <c r="P708" s="19"/>
      <c r="Q708" s="19"/>
      <c r="R708" s="19"/>
      <c r="S708" s="19"/>
      <c r="T708" s="19"/>
      <c r="U708" s="19"/>
      <c r="V708" s="19" t="n">
        <v>2</v>
      </c>
      <c r="W708" s="19"/>
      <c r="X708" s="19" t="n">
        <v>9</v>
      </c>
      <c r="Y708" s="19"/>
      <c r="Z708" s="19"/>
      <c r="AA708" s="19"/>
      <c r="AB708" s="19"/>
      <c r="AC708" s="19" t="n">
        <v>9</v>
      </c>
      <c r="AD708" s="19"/>
      <c r="AE708" s="19"/>
      <c r="AF708" s="19"/>
      <c r="AG708" s="19"/>
      <c r="AH708" s="19" t="n">
        <v>14</v>
      </c>
      <c r="AI708" s="19"/>
      <c r="AJ708" s="19"/>
      <c r="AK708" s="19"/>
      <c r="AL708" s="19" t="n">
        <v>4</v>
      </c>
      <c r="AM708" s="19"/>
      <c r="AN708" s="19" t="n">
        <v>5</v>
      </c>
      <c r="AO708" s="19" t="n">
        <v>9</v>
      </c>
      <c r="AP708" s="19" t="n">
        <v>3</v>
      </c>
      <c r="AQ708" s="19"/>
      <c r="AR708" s="19" t="n">
        <v>2</v>
      </c>
      <c r="AS708" s="20" t="str">
        <f aca="false">HYPERLINK("http://www.openstreetmap.org/?mlat=33.3467&amp;mlon=44.3918&amp;zoom=12#map=12/33.3467/44.3918","Maplink1")</f>
        <v>Maplink1</v>
      </c>
      <c r="AT708" s="20" t="str">
        <f aca="false">HYPERLINK("https://www.google.iq/maps/search/+33.3467,44.3918/@33.3467,44.3918,14z?hl=en","Maplink2")</f>
        <v>Maplink2</v>
      </c>
      <c r="AU708" s="20" t="str">
        <f aca="false">HYPERLINK("http://www.bing.com/maps/?lvl=14&amp;sty=h&amp;cp=33.3467~44.3918&amp;sp=point.33.3467_44.3918","Maplink3")</f>
        <v>Maplink3</v>
      </c>
    </row>
    <row r="709" customFormat="false" ht="15" hidden="false" customHeight="true" outlineLevel="0" collapsed="false">
      <c r="A709" s="15" t="n">
        <v>21631</v>
      </c>
      <c r="B709" s="16" t="s">
        <v>17</v>
      </c>
      <c r="C709" s="16" t="s">
        <v>1288</v>
      </c>
      <c r="D709" s="16" t="s">
        <v>1415</v>
      </c>
      <c r="E709" s="17" t="s">
        <v>1416</v>
      </c>
      <c r="F709" s="16" t="n">
        <v>33.33382</v>
      </c>
      <c r="G709" s="16" t="n">
        <v>44.41077</v>
      </c>
      <c r="H709" s="18" t="n">
        <v>10</v>
      </c>
      <c r="I709" s="18" t="n">
        <v>60</v>
      </c>
      <c r="J709" s="19" t="n">
        <v>4</v>
      </c>
      <c r="K709" s="19"/>
      <c r="L709" s="19"/>
      <c r="M709" s="19"/>
      <c r="N709" s="19"/>
      <c r="O709" s="19" t="n">
        <v>3</v>
      </c>
      <c r="P709" s="19"/>
      <c r="Q709" s="19"/>
      <c r="R709" s="19"/>
      <c r="S709" s="19"/>
      <c r="T709" s="19"/>
      <c r="U709" s="19"/>
      <c r="V709" s="19" t="n">
        <v>3</v>
      </c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 t="n">
        <v>10</v>
      </c>
      <c r="AI709" s="19"/>
      <c r="AJ709" s="19"/>
      <c r="AK709" s="19"/>
      <c r="AL709" s="19"/>
      <c r="AM709" s="19" t="n">
        <v>6</v>
      </c>
      <c r="AN709" s="19"/>
      <c r="AO709" s="19"/>
      <c r="AP709" s="19" t="n">
        <v>4</v>
      </c>
      <c r="AQ709" s="19"/>
      <c r="AR709" s="19"/>
      <c r="AS709" s="20" t="str">
        <f aca="false">HYPERLINK("http://www.openstreetmap.org/?mlat=33.3338&amp;mlon=44.4108&amp;zoom=12#map=12/33.3338/44.4108","Maplink1")</f>
        <v>Maplink1</v>
      </c>
      <c r="AT709" s="20" t="str">
        <f aca="false">HYPERLINK("https://www.google.iq/maps/search/+33.3338,44.4108/@33.3338,44.4108,14z?hl=en","Maplink2")</f>
        <v>Maplink2</v>
      </c>
      <c r="AU709" s="20" t="str">
        <f aca="false">HYPERLINK("http://www.bing.com/maps/?lvl=14&amp;sty=h&amp;cp=33.3338~44.4108&amp;sp=point.33.3338_44.4108","Maplink3")</f>
        <v>Maplink3</v>
      </c>
    </row>
    <row r="710" customFormat="false" ht="15" hidden="false" customHeight="true" outlineLevel="0" collapsed="false">
      <c r="A710" s="15" t="n">
        <v>21633</v>
      </c>
      <c r="B710" s="16" t="s">
        <v>17</v>
      </c>
      <c r="C710" s="16" t="s">
        <v>1288</v>
      </c>
      <c r="D710" s="16" t="s">
        <v>1417</v>
      </c>
      <c r="E710" s="17" t="s">
        <v>1418</v>
      </c>
      <c r="F710" s="16" t="n">
        <v>33.34799908</v>
      </c>
      <c r="G710" s="16" t="n">
        <v>44.39301495</v>
      </c>
      <c r="H710" s="18" t="n">
        <v>40</v>
      </c>
      <c r="I710" s="18" t="n">
        <v>240</v>
      </c>
      <c r="J710" s="19" t="n">
        <v>32</v>
      </c>
      <c r="K710" s="19"/>
      <c r="L710" s="19"/>
      <c r="M710" s="19"/>
      <c r="N710" s="19"/>
      <c r="O710" s="19" t="n">
        <v>2</v>
      </c>
      <c r="P710" s="19"/>
      <c r="Q710" s="19"/>
      <c r="R710" s="19"/>
      <c r="S710" s="19"/>
      <c r="T710" s="19"/>
      <c r="U710" s="19"/>
      <c r="V710" s="19" t="n">
        <v>3</v>
      </c>
      <c r="W710" s="19"/>
      <c r="X710" s="19" t="n">
        <v>3</v>
      </c>
      <c r="Y710" s="19"/>
      <c r="Z710" s="19"/>
      <c r="AA710" s="19"/>
      <c r="AB710" s="19"/>
      <c r="AC710" s="19" t="n">
        <v>15</v>
      </c>
      <c r="AD710" s="19"/>
      <c r="AE710" s="19"/>
      <c r="AF710" s="19"/>
      <c r="AG710" s="19"/>
      <c r="AH710" s="19" t="n">
        <v>25</v>
      </c>
      <c r="AI710" s="19"/>
      <c r="AJ710" s="19"/>
      <c r="AK710" s="19"/>
      <c r="AL710" s="19"/>
      <c r="AM710" s="19" t="n">
        <v>3</v>
      </c>
      <c r="AN710" s="19" t="n">
        <v>3</v>
      </c>
      <c r="AO710" s="19"/>
      <c r="AP710" s="19" t="n">
        <v>34</v>
      </c>
      <c r="AQ710" s="19"/>
      <c r="AR710" s="19"/>
      <c r="AS710" s="20" t="str">
        <f aca="false">HYPERLINK("http://www.openstreetmap.org/?mlat=33.348&amp;mlon=44.393&amp;zoom=12#map=12/33.348/44.393","Maplink1")</f>
        <v>Maplink1</v>
      </c>
      <c r="AT710" s="20" t="str">
        <f aca="false">HYPERLINK("https://www.google.iq/maps/search/+33.348,44.393/@33.348,44.393,14z?hl=en","Maplink2")</f>
        <v>Maplink2</v>
      </c>
      <c r="AU710" s="20" t="str">
        <f aca="false">HYPERLINK("http://www.bing.com/maps/?lvl=14&amp;sty=h&amp;cp=33.348~44.393&amp;sp=point.33.348_44.393","Maplink3")</f>
        <v>Maplink3</v>
      </c>
    </row>
    <row r="711" customFormat="false" ht="15" hidden="false" customHeight="true" outlineLevel="0" collapsed="false">
      <c r="A711" s="15" t="n">
        <v>24950</v>
      </c>
      <c r="B711" s="16" t="s">
        <v>17</v>
      </c>
      <c r="C711" s="16" t="s">
        <v>1288</v>
      </c>
      <c r="D711" s="16" t="s">
        <v>1419</v>
      </c>
      <c r="E711" s="17" t="s">
        <v>1420</v>
      </c>
      <c r="F711" s="16" t="n">
        <v>33.34819599</v>
      </c>
      <c r="G711" s="16" t="n">
        <v>44.3945899</v>
      </c>
      <c r="H711" s="18" t="n">
        <v>27</v>
      </c>
      <c r="I711" s="18" t="n">
        <v>162</v>
      </c>
      <c r="J711" s="19" t="n">
        <v>13</v>
      </c>
      <c r="K711" s="19"/>
      <c r="L711" s="19"/>
      <c r="M711" s="19"/>
      <c r="N711" s="19"/>
      <c r="O711" s="19" t="n">
        <v>2</v>
      </c>
      <c r="P711" s="19"/>
      <c r="Q711" s="19"/>
      <c r="R711" s="19"/>
      <c r="S711" s="19"/>
      <c r="T711" s="19"/>
      <c r="U711" s="19"/>
      <c r="V711" s="19" t="n">
        <v>3</v>
      </c>
      <c r="W711" s="19"/>
      <c r="X711" s="19" t="n">
        <v>9</v>
      </c>
      <c r="Y711" s="19"/>
      <c r="Z711" s="19"/>
      <c r="AA711" s="19"/>
      <c r="AB711" s="19"/>
      <c r="AC711" s="19" t="n">
        <v>10</v>
      </c>
      <c r="AD711" s="19"/>
      <c r="AE711" s="19"/>
      <c r="AF711" s="19"/>
      <c r="AG711" s="19"/>
      <c r="AH711" s="19" t="n">
        <v>17</v>
      </c>
      <c r="AI711" s="19"/>
      <c r="AJ711" s="19"/>
      <c r="AK711" s="19"/>
      <c r="AL711" s="19" t="n">
        <v>10</v>
      </c>
      <c r="AM711" s="19" t="n">
        <v>3</v>
      </c>
      <c r="AN711" s="19" t="n">
        <v>6</v>
      </c>
      <c r="AO711" s="19" t="n">
        <v>5</v>
      </c>
      <c r="AP711" s="19" t="n">
        <v>3</v>
      </c>
      <c r="AQ711" s="19"/>
      <c r="AR711" s="19"/>
      <c r="AS711" s="20" t="str">
        <f aca="false">HYPERLINK("http://www.openstreetmap.org/?mlat=33.3482&amp;mlon=44.3946&amp;zoom=12#map=12/33.3482/44.3946","Maplink1")</f>
        <v>Maplink1</v>
      </c>
      <c r="AT711" s="20" t="str">
        <f aca="false">HYPERLINK("https://www.google.iq/maps/search/+33.3482,44.3946/@33.3482,44.3946,14z?hl=en","Maplink2")</f>
        <v>Maplink2</v>
      </c>
      <c r="AU711" s="20" t="str">
        <f aca="false">HYPERLINK("http://www.bing.com/maps/?lvl=14&amp;sty=h&amp;cp=33.3482~44.3946&amp;sp=point.33.3482_44.3946","Maplink3")</f>
        <v>Maplink3</v>
      </c>
    </row>
    <row r="712" customFormat="false" ht="15" hidden="false" customHeight="true" outlineLevel="0" collapsed="false">
      <c r="A712" s="15" t="n">
        <v>24951</v>
      </c>
      <c r="B712" s="16" t="s">
        <v>17</v>
      </c>
      <c r="C712" s="16" t="s">
        <v>1288</v>
      </c>
      <c r="D712" s="16" t="s">
        <v>1421</v>
      </c>
      <c r="E712" s="17" t="s">
        <v>1422</v>
      </c>
      <c r="F712" s="16" t="n">
        <v>33.33275</v>
      </c>
      <c r="G712" s="16" t="n">
        <v>44.41172</v>
      </c>
      <c r="H712" s="18" t="n">
        <v>12</v>
      </c>
      <c r="I712" s="18" t="n">
        <v>72</v>
      </c>
      <c r="J712" s="19" t="n">
        <v>8</v>
      </c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 t="n">
        <v>4</v>
      </c>
      <c r="Y712" s="19"/>
      <c r="Z712" s="19"/>
      <c r="AA712" s="19"/>
      <c r="AB712" s="19"/>
      <c r="AC712" s="19"/>
      <c r="AD712" s="19"/>
      <c r="AE712" s="19"/>
      <c r="AF712" s="19"/>
      <c r="AG712" s="19"/>
      <c r="AH712" s="19" t="n">
        <v>12</v>
      </c>
      <c r="AI712" s="19"/>
      <c r="AJ712" s="19"/>
      <c r="AK712" s="19"/>
      <c r="AL712" s="19" t="n">
        <v>4</v>
      </c>
      <c r="AM712" s="19"/>
      <c r="AN712" s="19" t="n">
        <v>2</v>
      </c>
      <c r="AO712" s="19" t="n">
        <v>6</v>
      </c>
      <c r="AP712" s="19"/>
      <c r="AQ712" s="19"/>
      <c r="AR712" s="19"/>
      <c r="AS712" s="20" t="str">
        <f aca="false">HYPERLINK("http://www.openstreetmap.org/?mlat=33.3327&amp;mlon=44.4117&amp;zoom=12#map=12/33.3327/44.4117","Maplink1")</f>
        <v>Maplink1</v>
      </c>
      <c r="AT712" s="20" t="str">
        <f aca="false">HYPERLINK("https://www.google.iq/maps/search/+33.3327,44.4117/@33.3327,44.4117,14z?hl=en","Maplink2")</f>
        <v>Maplink2</v>
      </c>
      <c r="AU712" s="20" t="str">
        <f aca="false">HYPERLINK("http://www.bing.com/maps/?lvl=14&amp;sty=h&amp;cp=33.3327~44.4117&amp;sp=point.33.3327_44.4117","Maplink3")</f>
        <v>Maplink3</v>
      </c>
    </row>
    <row r="713" customFormat="false" ht="15" hidden="false" customHeight="true" outlineLevel="0" collapsed="false">
      <c r="A713" s="15" t="n">
        <v>24952</v>
      </c>
      <c r="B713" s="16" t="s">
        <v>17</v>
      </c>
      <c r="C713" s="16" t="s">
        <v>1288</v>
      </c>
      <c r="D713" s="16" t="s">
        <v>1423</v>
      </c>
      <c r="E713" s="17" t="s">
        <v>1424</v>
      </c>
      <c r="F713" s="16" t="n">
        <v>33.35034022</v>
      </c>
      <c r="G713" s="16" t="n">
        <v>44.401306</v>
      </c>
      <c r="H713" s="18" t="n">
        <v>9</v>
      </c>
      <c r="I713" s="18" t="n">
        <v>54</v>
      </c>
      <c r="J713" s="19" t="n">
        <v>9</v>
      </c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 t="n">
        <v>9</v>
      </c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 t="n">
        <v>9</v>
      </c>
      <c r="AQ713" s="19"/>
      <c r="AR713" s="19"/>
      <c r="AS713" s="20" t="str">
        <f aca="false">HYPERLINK("http://www.openstreetmap.org/?mlat=33.3503&amp;mlon=44.4013&amp;zoom=12#map=12/33.3503/44.4013","Maplink1")</f>
        <v>Maplink1</v>
      </c>
      <c r="AT713" s="20" t="str">
        <f aca="false">HYPERLINK("https://www.google.iq/maps/search/+33.3503,44.4013/@33.3503,44.4013,14z?hl=en","Maplink2")</f>
        <v>Maplink2</v>
      </c>
      <c r="AU713" s="20" t="str">
        <f aca="false">HYPERLINK("http://www.bing.com/maps/?lvl=14&amp;sty=h&amp;cp=33.3503~44.4013&amp;sp=point.33.3503_44.4013","Maplink3")</f>
        <v>Maplink3</v>
      </c>
    </row>
    <row r="714" customFormat="false" ht="15" hidden="false" customHeight="true" outlineLevel="0" collapsed="false">
      <c r="A714" s="15" t="n">
        <v>23995</v>
      </c>
      <c r="B714" s="16" t="s">
        <v>17</v>
      </c>
      <c r="C714" s="16" t="s">
        <v>1288</v>
      </c>
      <c r="D714" s="16" t="s">
        <v>1425</v>
      </c>
      <c r="E714" s="17" t="s">
        <v>1426</v>
      </c>
      <c r="F714" s="16" t="n">
        <v>33.24880814</v>
      </c>
      <c r="G714" s="16" t="n">
        <v>44.4622299</v>
      </c>
      <c r="H714" s="18" t="n">
        <v>14</v>
      </c>
      <c r="I714" s="18" t="n">
        <v>84</v>
      </c>
      <c r="J714" s="19" t="n">
        <v>1</v>
      </c>
      <c r="K714" s="19"/>
      <c r="L714" s="19"/>
      <c r="M714" s="19"/>
      <c r="N714" s="19"/>
      <c r="O714" s="19"/>
      <c r="P714" s="19"/>
      <c r="Q714" s="19"/>
      <c r="R714" s="19" t="n">
        <v>1</v>
      </c>
      <c r="S714" s="19"/>
      <c r="T714" s="19"/>
      <c r="U714" s="19"/>
      <c r="V714" s="19" t="n">
        <v>11</v>
      </c>
      <c r="W714" s="19"/>
      <c r="X714" s="19" t="n">
        <v>1</v>
      </c>
      <c r="Y714" s="19"/>
      <c r="Z714" s="19"/>
      <c r="AA714" s="19"/>
      <c r="AB714" s="19"/>
      <c r="AC714" s="19" t="n">
        <v>3</v>
      </c>
      <c r="AD714" s="19"/>
      <c r="AE714" s="19"/>
      <c r="AF714" s="19"/>
      <c r="AG714" s="19"/>
      <c r="AH714" s="19"/>
      <c r="AI714" s="19" t="n">
        <v>11</v>
      </c>
      <c r="AJ714" s="19"/>
      <c r="AK714" s="19"/>
      <c r="AL714" s="19"/>
      <c r="AM714" s="19" t="n">
        <v>11</v>
      </c>
      <c r="AN714" s="19"/>
      <c r="AO714" s="19" t="n">
        <v>3</v>
      </c>
      <c r="AP714" s="19"/>
      <c r="AQ714" s="19"/>
      <c r="AR714" s="19"/>
      <c r="AS714" s="20" t="str">
        <f aca="false">HYPERLINK("http://www.openstreetmap.org/?mlat=33.2488&amp;mlon=44.4622&amp;zoom=12#map=12/33.2488/44.4622","Maplink1")</f>
        <v>Maplink1</v>
      </c>
      <c r="AT714" s="20" t="str">
        <f aca="false">HYPERLINK("https://www.google.iq/maps/search/+33.2488,44.4622/@33.2488,44.4622,14z?hl=en","Maplink2")</f>
        <v>Maplink2</v>
      </c>
      <c r="AU714" s="20" t="str">
        <f aca="false">HYPERLINK("http://www.bing.com/maps/?lvl=14&amp;sty=h&amp;cp=33.2488~44.4622&amp;sp=point.33.2488_44.4622","Maplink3")</f>
        <v>Maplink3</v>
      </c>
    </row>
    <row r="715" customFormat="false" ht="15" hidden="false" customHeight="true" outlineLevel="0" collapsed="false">
      <c r="A715" s="15" t="n">
        <v>23989</v>
      </c>
      <c r="B715" s="16" t="s">
        <v>17</v>
      </c>
      <c r="C715" s="16" t="s">
        <v>1288</v>
      </c>
      <c r="D715" s="16" t="s">
        <v>1427</v>
      </c>
      <c r="E715" s="17" t="s">
        <v>1428</v>
      </c>
      <c r="F715" s="16" t="n">
        <v>33.25132013</v>
      </c>
      <c r="G715" s="16" t="n">
        <v>44.47294959</v>
      </c>
      <c r="H715" s="18" t="n">
        <v>6</v>
      </c>
      <c r="I715" s="18" t="n">
        <v>36</v>
      </c>
      <c r="J715" s="19" t="n">
        <v>6</v>
      </c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 t="n">
        <v>6</v>
      </c>
      <c r="AI715" s="19"/>
      <c r="AJ715" s="19"/>
      <c r="AK715" s="19"/>
      <c r="AL715" s="19"/>
      <c r="AM715" s="19"/>
      <c r="AN715" s="19" t="n">
        <v>6</v>
      </c>
      <c r="AO715" s="19"/>
      <c r="AP715" s="19"/>
      <c r="AQ715" s="19"/>
      <c r="AR715" s="19"/>
      <c r="AS715" s="20" t="str">
        <f aca="false">HYPERLINK("http://www.openstreetmap.org/?mlat=33.2513&amp;mlon=44.4729&amp;zoom=12#map=12/33.2513/44.4729","Maplink1")</f>
        <v>Maplink1</v>
      </c>
      <c r="AT715" s="20" t="str">
        <f aca="false">HYPERLINK("https://www.google.iq/maps/search/+33.2513,44.4729/@33.2513,44.4729,14z?hl=en","Maplink2")</f>
        <v>Maplink2</v>
      </c>
      <c r="AU715" s="20" t="str">
        <f aca="false">HYPERLINK("http://www.bing.com/maps/?lvl=14&amp;sty=h&amp;cp=33.2513~44.4729&amp;sp=point.33.2513_44.4729","Maplink3")</f>
        <v>Maplink3</v>
      </c>
    </row>
    <row r="716" customFormat="false" ht="15" hidden="false" customHeight="true" outlineLevel="0" collapsed="false">
      <c r="A716" s="15" t="n">
        <v>22880</v>
      </c>
      <c r="B716" s="16" t="s">
        <v>17</v>
      </c>
      <c r="C716" s="16" t="s">
        <v>1288</v>
      </c>
      <c r="D716" s="16" t="s">
        <v>1429</v>
      </c>
      <c r="E716" s="17" t="s">
        <v>1430</v>
      </c>
      <c r="F716" s="16" t="n">
        <v>33.26657406</v>
      </c>
      <c r="G716" s="16" t="n">
        <v>44.46329843</v>
      </c>
      <c r="H716" s="18" t="n">
        <v>37</v>
      </c>
      <c r="I716" s="18" t="n">
        <v>222</v>
      </c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 t="n">
        <v>37</v>
      </c>
      <c r="W716" s="19"/>
      <c r="X716" s="19"/>
      <c r="Y716" s="19"/>
      <c r="Z716" s="19"/>
      <c r="AA716" s="19"/>
      <c r="AB716" s="19"/>
      <c r="AC716" s="19"/>
      <c r="AD716" s="19"/>
      <c r="AE716" s="19" t="n">
        <v>21</v>
      </c>
      <c r="AF716" s="19"/>
      <c r="AG716" s="19"/>
      <c r="AH716" s="19" t="n">
        <v>16</v>
      </c>
      <c r="AI716" s="19"/>
      <c r="AJ716" s="19"/>
      <c r="AK716" s="19"/>
      <c r="AL716" s="19"/>
      <c r="AM716" s="19"/>
      <c r="AN716" s="19" t="n">
        <v>35</v>
      </c>
      <c r="AO716" s="19"/>
      <c r="AP716" s="19"/>
      <c r="AQ716" s="19"/>
      <c r="AR716" s="19" t="n">
        <v>2</v>
      </c>
      <c r="AS716" s="20" t="str">
        <f aca="false">HYPERLINK("http://www.openstreetmap.org/?mlat=33.2666&amp;mlon=44.4633&amp;zoom=12#map=12/33.2666/44.4633","Maplink1")</f>
        <v>Maplink1</v>
      </c>
      <c r="AT716" s="20" t="str">
        <f aca="false">HYPERLINK("https://www.google.iq/maps/search/+33.2666,44.4633/@33.2666,44.4633,14z?hl=en","Maplink2")</f>
        <v>Maplink2</v>
      </c>
      <c r="AU716" s="20" t="str">
        <f aca="false">HYPERLINK("http://www.bing.com/maps/?lvl=14&amp;sty=h&amp;cp=33.2666~44.4633&amp;sp=point.33.2666_44.4633","Maplink3")</f>
        <v>Maplink3</v>
      </c>
    </row>
    <row r="717" customFormat="false" ht="15" hidden="false" customHeight="true" outlineLevel="0" collapsed="false">
      <c r="A717" s="15" t="n">
        <v>24174</v>
      </c>
      <c r="B717" s="16" t="s">
        <v>17</v>
      </c>
      <c r="C717" s="16" t="s">
        <v>1288</v>
      </c>
      <c r="D717" s="16" t="s">
        <v>1431</v>
      </c>
      <c r="E717" s="17" t="s">
        <v>1432</v>
      </c>
      <c r="F717" s="16" t="n">
        <v>33.37357522</v>
      </c>
      <c r="G717" s="16" t="n">
        <v>44.49187764</v>
      </c>
      <c r="H717" s="18" t="n">
        <v>15</v>
      </c>
      <c r="I717" s="18" t="n">
        <v>90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 t="n">
        <v>15</v>
      </c>
      <c r="W717" s="19"/>
      <c r="X717" s="19"/>
      <c r="Y717" s="19"/>
      <c r="Z717" s="19"/>
      <c r="AA717" s="19"/>
      <c r="AB717" s="19"/>
      <c r="AC717" s="19" t="n">
        <v>15</v>
      </c>
      <c r="AD717" s="19"/>
      <c r="AE717" s="19"/>
      <c r="AF717" s="19"/>
      <c r="AG717" s="19"/>
      <c r="AH717" s="19"/>
      <c r="AI717" s="19"/>
      <c r="AJ717" s="19"/>
      <c r="AK717" s="19"/>
      <c r="AL717" s="19"/>
      <c r="AM717" s="19" t="n">
        <v>13</v>
      </c>
      <c r="AN717" s="19"/>
      <c r="AO717" s="19"/>
      <c r="AP717" s="19"/>
      <c r="AQ717" s="19"/>
      <c r="AR717" s="19" t="n">
        <v>2</v>
      </c>
      <c r="AS717" s="20" t="str">
        <f aca="false">HYPERLINK("http://www.openstreetmap.org/?mlat=33.3736&amp;mlon=44.4919&amp;zoom=12#map=12/33.3736/44.4919","Maplink1")</f>
        <v>Maplink1</v>
      </c>
      <c r="AT717" s="20" t="str">
        <f aca="false">HYPERLINK("https://www.google.iq/maps/search/+33.3736,44.4919/@33.3736,44.4919,14z?hl=en","Maplink2")</f>
        <v>Maplink2</v>
      </c>
      <c r="AU717" s="20" t="str">
        <f aca="false">HYPERLINK("http://www.bing.com/maps/?lvl=14&amp;sty=h&amp;cp=33.3736~44.4919&amp;sp=point.33.3736_44.4919","Maplink3")</f>
        <v>Maplink3</v>
      </c>
    </row>
    <row r="718" customFormat="false" ht="15" hidden="false" customHeight="true" outlineLevel="0" collapsed="false">
      <c r="A718" s="15" t="n">
        <v>24472</v>
      </c>
      <c r="B718" s="16" t="s">
        <v>17</v>
      </c>
      <c r="C718" s="16" t="s">
        <v>1288</v>
      </c>
      <c r="D718" s="16" t="s">
        <v>1433</v>
      </c>
      <c r="E718" s="17" t="s">
        <v>1434</v>
      </c>
      <c r="F718" s="16" t="n">
        <v>33.3810248</v>
      </c>
      <c r="G718" s="16" t="n">
        <v>44.50448656</v>
      </c>
      <c r="H718" s="18" t="n">
        <v>10</v>
      </c>
      <c r="I718" s="18" t="n">
        <v>60</v>
      </c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 t="n">
        <v>7</v>
      </c>
      <c r="W718" s="19"/>
      <c r="X718" s="19" t="n">
        <v>3</v>
      </c>
      <c r="Y718" s="19"/>
      <c r="Z718" s="19"/>
      <c r="AA718" s="19"/>
      <c r="AB718" s="19"/>
      <c r="AC718" s="19" t="n">
        <v>5</v>
      </c>
      <c r="AD718" s="19"/>
      <c r="AE718" s="19"/>
      <c r="AF718" s="19"/>
      <c r="AG718" s="19"/>
      <c r="AH718" s="19" t="n">
        <v>5</v>
      </c>
      <c r="AI718" s="19"/>
      <c r="AJ718" s="19"/>
      <c r="AK718" s="19"/>
      <c r="AL718" s="19"/>
      <c r="AM718" s="19"/>
      <c r="AN718" s="19" t="n">
        <v>10</v>
      </c>
      <c r="AO718" s="19"/>
      <c r="AP718" s="19"/>
      <c r="AQ718" s="19"/>
      <c r="AR718" s="19"/>
      <c r="AS718" s="20" t="str">
        <f aca="false">HYPERLINK("http://www.openstreetmap.org/?mlat=33.381&amp;mlon=44.5045&amp;zoom=12#map=12/33.381/44.5045","Maplink1")</f>
        <v>Maplink1</v>
      </c>
      <c r="AT718" s="20" t="str">
        <f aca="false">HYPERLINK("https://www.google.iq/maps/search/+33.381,44.5045/@33.381,44.5045,14z?hl=en","Maplink2")</f>
        <v>Maplink2</v>
      </c>
      <c r="AU718" s="20" t="str">
        <f aca="false">HYPERLINK("http://www.bing.com/maps/?lvl=14&amp;sty=h&amp;cp=33.381~44.5045&amp;sp=point.33.381_44.5045","Maplink3")</f>
        <v>Maplink3</v>
      </c>
    </row>
    <row r="719" customFormat="false" ht="15" hidden="false" customHeight="true" outlineLevel="0" collapsed="false">
      <c r="A719" s="15" t="n">
        <v>24342</v>
      </c>
      <c r="B719" s="16" t="s">
        <v>17</v>
      </c>
      <c r="C719" s="16" t="s">
        <v>1288</v>
      </c>
      <c r="D719" s="16" t="s">
        <v>1435</v>
      </c>
      <c r="E719" s="17" t="s">
        <v>1436</v>
      </c>
      <c r="F719" s="16" t="n">
        <v>33.37913482</v>
      </c>
      <c r="G719" s="16" t="n">
        <v>44.50781793</v>
      </c>
      <c r="H719" s="18" t="n">
        <v>14</v>
      </c>
      <c r="I719" s="18" t="n">
        <v>84</v>
      </c>
      <c r="J719" s="19"/>
      <c r="K719" s="19"/>
      <c r="L719" s="19"/>
      <c r="M719" s="19"/>
      <c r="N719" s="19"/>
      <c r="O719" s="19" t="n">
        <v>4</v>
      </c>
      <c r="P719" s="19"/>
      <c r="Q719" s="19"/>
      <c r="R719" s="19"/>
      <c r="S719" s="19"/>
      <c r="T719" s="19"/>
      <c r="U719" s="19"/>
      <c r="V719" s="19" t="n">
        <v>6</v>
      </c>
      <c r="W719" s="19"/>
      <c r="X719" s="19" t="n">
        <v>4</v>
      </c>
      <c r="Y719" s="19"/>
      <c r="Z719" s="19"/>
      <c r="AA719" s="19"/>
      <c r="AB719" s="19"/>
      <c r="AC719" s="19" t="n">
        <v>2</v>
      </c>
      <c r="AD719" s="19"/>
      <c r="AE719" s="19"/>
      <c r="AF719" s="19"/>
      <c r="AG719" s="19" t="n">
        <v>12</v>
      </c>
      <c r="AH719" s="19"/>
      <c r="AI719" s="19"/>
      <c r="AJ719" s="19"/>
      <c r="AK719" s="19"/>
      <c r="AL719" s="19"/>
      <c r="AM719" s="19"/>
      <c r="AN719" s="19" t="n">
        <v>14</v>
      </c>
      <c r="AO719" s="19"/>
      <c r="AP719" s="19"/>
      <c r="AQ719" s="19"/>
      <c r="AR719" s="19"/>
      <c r="AS719" s="20" t="str">
        <f aca="false">HYPERLINK("http://www.openstreetmap.org/?mlat=33.3791&amp;mlon=44.5078&amp;zoom=12#map=12/33.3791/44.5078","Maplink1")</f>
        <v>Maplink1</v>
      </c>
      <c r="AT719" s="20" t="str">
        <f aca="false">HYPERLINK("https://www.google.iq/maps/search/+33.3791,44.5078/@33.3791,44.5078,14z?hl=en","Maplink2")</f>
        <v>Maplink2</v>
      </c>
      <c r="AU719" s="20" t="str">
        <f aca="false">HYPERLINK("http://www.bing.com/maps/?lvl=14&amp;sty=h&amp;cp=33.3791~44.5078&amp;sp=point.33.3791_44.5078","Maplink3")</f>
        <v>Maplink3</v>
      </c>
    </row>
    <row r="720" customFormat="false" ht="15" hidden="false" customHeight="true" outlineLevel="0" collapsed="false">
      <c r="A720" s="15" t="n">
        <v>24020</v>
      </c>
      <c r="B720" s="16" t="s">
        <v>17</v>
      </c>
      <c r="C720" s="16" t="s">
        <v>1288</v>
      </c>
      <c r="D720" s="16" t="s">
        <v>1437</v>
      </c>
      <c r="E720" s="17" t="s">
        <v>1438</v>
      </c>
      <c r="F720" s="16" t="n">
        <v>33.35978936</v>
      </c>
      <c r="G720" s="16" t="n">
        <v>44.49729469</v>
      </c>
      <c r="H720" s="18" t="n">
        <v>12</v>
      </c>
      <c r="I720" s="18" t="n">
        <v>72</v>
      </c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 t="n">
        <v>9</v>
      </c>
      <c r="W720" s="19"/>
      <c r="X720" s="19" t="n">
        <v>3</v>
      </c>
      <c r="Y720" s="19"/>
      <c r="Z720" s="19"/>
      <c r="AA720" s="19"/>
      <c r="AB720" s="19"/>
      <c r="AC720" s="19" t="n">
        <v>8</v>
      </c>
      <c r="AD720" s="19"/>
      <c r="AE720" s="19"/>
      <c r="AF720" s="19"/>
      <c r="AG720" s="19"/>
      <c r="AH720" s="19" t="n">
        <v>4</v>
      </c>
      <c r="AI720" s="19"/>
      <c r="AJ720" s="19"/>
      <c r="AK720" s="19"/>
      <c r="AL720" s="19" t="n">
        <v>7</v>
      </c>
      <c r="AM720" s="19"/>
      <c r="AN720" s="19" t="n">
        <v>5</v>
      </c>
      <c r="AO720" s="19"/>
      <c r="AP720" s="19"/>
      <c r="AQ720" s="19"/>
      <c r="AR720" s="19"/>
      <c r="AS720" s="20" t="str">
        <f aca="false">HYPERLINK("http://www.openstreetmap.org/?mlat=33.3598&amp;mlon=44.4973&amp;zoom=12#map=12/33.3598/44.4973","Maplink1")</f>
        <v>Maplink1</v>
      </c>
      <c r="AT720" s="20" t="str">
        <f aca="false">HYPERLINK("https://www.google.iq/maps/search/+33.3598,44.4973/@33.3598,44.4973,14z?hl=en","Maplink2")</f>
        <v>Maplink2</v>
      </c>
      <c r="AU720" s="20" t="str">
        <f aca="false">HYPERLINK("http://www.bing.com/maps/?lvl=14&amp;sty=h&amp;cp=33.3598~44.4973&amp;sp=point.33.3598_44.4973","Maplink3")</f>
        <v>Maplink3</v>
      </c>
    </row>
    <row r="721" customFormat="false" ht="15" hidden="false" customHeight="true" outlineLevel="0" collapsed="false">
      <c r="A721" s="15" t="n">
        <v>23601</v>
      </c>
      <c r="B721" s="16" t="s">
        <v>17</v>
      </c>
      <c r="C721" s="16" t="s">
        <v>1288</v>
      </c>
      <c r="D721" s="16" t="s">
        <v>1439</v>
      </c>
      <c r="E721" s="17" t="s">
        <v>1440</v>
      </c>
      <c r="F721" s="16" t="n">
        <v>33.36594933</v>
      </c>
      <c r="G721" s="16" t="n">
        <v>44.51234742</v>
      </c>
      <c r="H721" s="18" t="n">
        <v>18</v>
      </c>
      <c r="I721" s="18" t="n">
        <v>108</v>
      </c>
      <c r="J721" s="19"/>
      <c r="K721" s="19"/>
      <c r="L721" s="19"/>
      <c r="M721" s="19"/>
      <c r="N721" s="19"/>
      <c r="O721" s="19" t="n">
        <v>9</v>
      </c>
      <c r="P721" s="19"/>
      <c r="Q721" s="19"/>
      <c r="R721" s="19"/>
      <c r="S721" s="19"/>
      <c r="T721" s="19"/>
      <c r="U721" s="19"/>
      <c r="V721" s="19" t="n">
        <v>6</v>
      </c>
      <c r="W721" s="19"/>
      <c r="X721" s="19" t="n">
        <v>3</v>
      </c>
      <c r="Y721" s="19"/>
      <c r="Z721" s="19"/>
      <c r="AA721" s="19"/>
      <c r="AB721" s="19"/>
      <c r="AC721" s="19" t="n">
        <v>7</v>
      </c>
      <c r="AD721" s="19"/>
      <c r="AE721" s="19"/>
      <c r="AF721" s="19"/>
      <c r="AG721" s="19"/>
      <c r="AH721" s="19" t="n">
        <v>11</v>
      </c>
      <c r="AI721" s="19"/>
      <c r="AJ721" s="19"/>
      <c r="AK721" s="19"/>
      <c r="AL721" s="19"/>
      <c r="AM721" s="19"/>
      <c r="AN721" s="19" t="n">
        <v>18</v>
      </c>
      <c r="AO721" s="19"/>
      <c r="AP721" s="19"/>
      <c r="AQ721" s="19"/>
      <c r="AR721" s="19"/>
      <c r="AS721" s="20" t="str">
        <f aca="false">HYPERLINK("http://www.openstreetmap.org/?mlat=33.3659&amp;mlon=44.5123&amp;zoom=12#map=12/33.3659/44.5123","Maplink1")</f>
        <v>Maplink1</v>
      </c>
      <c r="AT721" s="20" t="str">
        <f aca="false">HYPERLINK("https://www.google.iq/maps/search/+33.3659,44.5123/@33.3659,44.5123,14z?hl=en","Maplink2")</f>
        <v>Maplink2</v>
      </c>
      <c r="AU721" s="20" t="str">
        <f aca="false">HYPERLINK("http://www.bing.com/maps/?lvl=14&amp;sty=h&amp;cp=33.3659~44.5123&amp;sp=point.33.3659_44.5123","Maplink3")</f>
        <v>Maplink3</v>
      </c>
    </row>
    <row r="722" customFormat="false" ht="15" hidden="false" customHeight="true" outlineLevel="0" collapsed="false">
      <c r="A722" s="15" t="n">
        <v>24021</v>
      </c>
      <c r="B722" s="16" t="s">
        <v>17</v>
      </c>
      <c r="C722" s="16" t="s">
        <v>1288</v>
      </c>
      <c r="D722" s="16" t="s">
        <v>1441</v>
      </c>
      <c r="E722" s="17" t="s">
        <v>1442</v>
      </c>
      <c r="F722" s="16" t="n">
        <v>33.37914349</v>
      </c>
      <c r="G722" s="16" t="n">
        <v>44.49270328</v>
      </c>
      <c r="H722" s="18" t="n">
        <v>14</v>
      </c>
      <c r="I722" s="18" t="n">
        <v>84</v>
      </c>
      <c r="J722" s="19" t="n">
        <v>2</v>
      </c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 t="n">
        <v>10</v>
      </c>
      <c r="W722" s="19"/>
      <c r="X722" s="19" t="n">
        <v>2</v>
      </c>
      <c r="Y722" s="19"/>
      <c r="Z722" s="19"/>
      <c r="AA722" s="19"/>
      <c r="AB722" s="19"/>
      <c r="AC722" s="19" t="n">
        <v>5</v>
      </c>
      <c r="AD722" s="19"/>
      <c r="AE722" s="19"/>
      <c r="AF722" s="19"/>
      <c r="AG722" s="19"/>
      <c r="AH722" s="19" t="n">
        <v>9</v>
      </c>
      <c r="AI722" s="19"/>
      <c r="AJ722" s="19"/>
      <c r="AK722" s="19"/>
      <c r="AL722" s="19" t="n">
        <v>4</v>
      </c>
      <c r="AM722" s="19"/>
      <c r="AN722" s="19" t="n">
        <v>10</v>
      </c>
      <c r="AO722" s="19"/>
      <c r="AP722" s="19"/>
      <c r="AQ722" s="19"/>
      <c r="AR722" s="19"/>
      <c r="AS722" s="20" t="str">
        <f aca="false">HYPERLINK("http://www.openstreetmap.org/?mlat=33.3791&amp;mlon=44.4927&amp;zoom=12#map=12/33.3791/44.4927","Maplink1")</f>
        <v>Maplink1</v>
      </c>
      <c r="AT722" s="20" t="str">
        <f aca="false">HYPERLINK("https://www.google.iq/maps/search/+33.3791,44.4927/@33.3791,44.4927,14z?hl=en","Maplink2")</f>
        <v>Maplink2</v>
      </c>
      <c r="AU722" s="20" t="str">
        <f aca="false">HYPERLINK("http://www.bing.com/maps/?lvl=14&amp;sty=h&amp;cp=33.3791~44.4927&amp;sp=point.33.3791_44.4927","Maplink3")</f>
        <v>Maplink3</v>
      </c>
    </row>
    <row r="723" customFormat="false" ht="15" hidden="false" customHeight="true" outlineLevel="0" collapsed="false">
      <c r="A723" s="15" t="n">
        <v>23036</v>
      </c>
      <c r="B723" s="16" t="s">
        <v>17</v>
      </c>
      <c r="C723" s="16" t="s">
        <v>1288</v>
      </c>
      <c r="D723" s="16" t="s">
        <v>1443</v>
      </c>
      <c r="E723" s="17" t="s">
        <v>1444</v>
      </c>
      <c r="F723" s="16" t="n">
        <v>33.3712274</v>
      </c>
      <c r="G723" s="16" t="n">
        <v>44.51658237</v>
      </c>
      <c r="H723" s="18" t="n">
        <v>30</v>
      </c>
      <c r="I723" s="18" t="n">
        <v>180</v>
      </c>
      <c r="J723" s="19" t="n">
        <v>4</v>
      </c>
      <c r="K723" s="19"/>
      <c r="L723" s="19"/>
      <c r="M723" s="19"/>
      <c r="N723" s="19"/>
      <c r="O723" s="19" t="n">
        <v>8</v>
      </c>
      <c r="P723" s="19"/>
      <c r="Q723" s="19"/>
      <c r="R723" s="19"/>
      <c r="S723" s="19"/>
      <c r="T723" s="19"/>
      <c r="U723" s="19"/>
      <c r="V723" s="19" t="n">
        <v>18</v>
      </c>
      <c r="W723" s="19"/>
      <c r="X723" s="19"/>
      <c r="Y723" s="19"/>
      <c r="Z723" s="19"/>
      <c r="AA723" s="19"/>
      <c r="AB723" s="19"/>
      <c r="AC723" s="19" t="n">
        <v>10</v>
      </c>
      <c r="AD723" s="19"/>
      <c r="AE723" s="19"/>
      <c r="AF723" s="19"/>
      <c r="AG723" s="19"/>
      <c r="AH723" s="19" t="n">
        <v>20</v>
      </c>
      <c r="AI723" s="19"/>
      <c r="AJ723" s="19"/>
      <c r="AK723" s="19"/>
      <c r="AL723" s="19" t="n">
        <v>10</v>
      </c>
      <c r="AM723" s="19"/>
      <c r="AN723" s="19" t="n">
        <v>16</v>
      </c>
      <c r="AO723" s="19"/>
      <c r="AP723" s="19"/>
      <c r="AQ723" s="19"/>
      <c r="AR723" s="19" t="n">
        <v>4</v>
      </c>
      <c r="AS723" s="20" t="str">
        <f aca="false">HYPERLINK("http://www.openstreetmap.org/?mlat=33.3712&amp;mlon=44.5166&amp;zoom=12#map=12/33.3712/44.5166","Maplink1")</f>
        <v>Maplink1</v>
      </c>
      <c r="AT723" s="20" t="str">
        <f aca="false">HYPERLINK("https://www.google.iq/maps/search/+33.3712,44.5166/@33.3712,44.5166,14z?hl=en","Maplink2")</f>
        <v>Maplink2</v>
      </c>
      <c r="AU723" s="20" t="str">
        <f aca="false">HYPERLINK("http://www.bing.com/maps/?lvl=14&amp;sty=h&amp;cp=33.3712~44.5166&amp;sp=point.33.3712_44.5166","Maplink3")</f>
        <v>Maplink3</v>
      </c>
    </row>
    <row r="724" customFormat="false" ht="15" hidden="false" customHeight="true" outlineLevel="0" collapsed="false">
      <c r="A724" s="15" t="n">
        <v>23996</v>
      </c>
      <c r="B724" s="16" t="s">
        <v>17</v>
      </c>
      <c r="C724" s="16" t="s">
        <v>1288</v>
      </c>
      <c r="D724" s="16" t="s">
        <v>1445</v>
      </c>
      <c r="E724" s="17" t="s">
        <v>1446</v>
      </c>
      <c r="F724" s="16" t="n">
        <v>33.31000495</v>
      </c>
      <c r="G724" s="16" t="n">
        <v>44.42600286</v>
      </c>
      <c r="H724" s="18" t="n">
        <v>18</v>
      </c>
      <c r="I724" s="18" t="n">
        <v>108</v>
      </c>
      <c r="J724" s="19" t="n">
        <v>4</v>
      </c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 t="n">
        <v>14</v>
      </c>
      <c r="W724" s="19"/>
      <c r="X724" s="19"/>
      <c r="Y724" s="19"/>
      <c r="Z724" s="19"/>
      <c r="AA724" s="19"/>
      <c r="AB724" s="19"/>
      <c r="AC724" s="19" t="n">
        <v>6</v>
      </c>
      <c r="AD724" s="19"/>
      <c r="AE724" s="19"/>
      <c r="AF724" s="19"/>
      <c r="AG724" s="19"/>
      <c r="AH724" s="19" t="n">
        <v>12</v>
      </c>
      <c r="AI724" s="19"/>
      <c r="AJ724" s="19"/>
      <c r="AK724" s="19"/>
      <c r="AL724" s="19" t="n">
        <v>3</v>
      </c>
      <c r="AM724" s="19" t="n">
        <v>12</v>
      </c>
      <c r="AN724" s="19" t="n">
        <v>3</v>
      </c>
      <c r="AO724" s="19"/>
      <c r="AP724" s="19"/>
      <c r="AQ724" s="19"/>
      <c r="AR724" s="19"/>
      <c r="AS724" s="20" t="str">
        <f aca="false">HYPERLINK("http://www.openstreetmap.org/?mlat=33.31&amp;mlon=44.426&amp;zoom=12#map=12/33.31/44.426","Maplink1")</f>
        <v>Maplink1</v>
      </c>
      <c r="AT724" s="20" t="str">
        <f aca="false">HYPERLINK("https://www.google.iq/maps/search/+33.31,44.426/@33.31,44.426,14z?hl=en","Maplink2")</f>
        <v>Maplink2</v>
      </c>
      <c r="AU724" s="20" t="str">
        <f aca="false">HYPERLINK("http://www.bing.com/maps/?lvl=14&amp;sty=h&amp;cp=33.31~44.426&amp;sp=point.33.31_44.426","Maplink3")</f>
        <v>Maplink3</v>
      </c>
    </row>
    <row r="725" customFormat="false" ht="15" hidden="false" customHeight="true" outlineLevel="0" collapsed="false">
      <c r="A725" s="15" t="n">
        <v>23997</v>
      </c>
      <c r="B725" s="16" t="s">
        <v>17</v>
      </c>
      <c r="C725" s="16" t="s">
        <v>1288</v>
      </c>
      <c r="D725" s="16" t="s">
        <v>1447</v>
      </c>
      <c r="E725" s="17" t="s">
        <v>1448</v>
      </c>
      <c r="F725" s="16" t="n">
        <v>33.30548341</v>
      </c>
      <c r="G725" s="16" t="n">
        <v>44.44695194</v>
      </c>
      <c r="H725" s="18" t="n">
        <v>52</v>
      </c>
      <c r="I725" s="18" t="n">
        <v>312</v>
      </c>
      <c r="J725" s="19" t="n">
        <v>10</v>
      </c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 t="n">
        <v>34</v>
      </c>
      <c r="W725" s="19"/>
      <c r="X725" s="19" t="n">
        <v>8</v>
      </c>
      <c r="Y725" s="19"/>
      <c r="Z725" s="19"/>
      <c r="AA725" s="19"/>
      <c r="AB725" s="19"/>
      <c r="AC725" s="19" t="n">
        <v>19</v>
      </c>
      <c r="AD725" s="19"/>
      <c r="AE725" s="19"/>
      <c r="AF725" s="19"/>
      <c r="AG725" s="19"/>
      <c r="AH725" s="19" t="n">
        <v>33</v>
      </c>
      <c r="AI725" s="19"/>
      <c r="AJ725" s="19"/>
      <c r="AK725" s="19"/>
      <c r="AL725" s="19" t="n">
        <v>4</v>
      </c>
      <c r="AM725" s="19" t="n">
        <v>7</v>
      </c>
      <c r="AN725" s="19" t="n">
        <v>19</v>
      </c>
      <c r="AO725" s="19" t="n">
        <v>17</v>
      </c>
      <c r="AP725" s="19" t="n">
        <v>3</v>
      </c>
      <c r="AQ725" s="19"/>
      <c r="AR725" s="19" t="n">
        <v>2</v>
      </c>
      <c r="AS725" s="20" t="str">
        <f aca="false">HYPERLINK("http://www.openstreetmap.org/?mlat=33.3055&amp;mlon=44.447&amp;zoom=12#map=12/33.3055/44.447","Maplink1")</f>
        <v>Maplink1</v>
      </c>
      <c r="AT725" s="20" t="str">
        <f aca="false">HYPERLINK("https://www.google.iq/maps/search/+33.3055,44.447/@33.3055,44.447,14z?hl=en","Maplink2")</f>
        <v>Maplink2</v>
      </c>
      <c r="AU725" s="20" t="str">
        <f aca="false">HYPERLINK("http://www.bing.com/maps/?lvl=14&amp;sty=h&amp;cp=33.3055~44.447&amp;sp=point.33.3055_44.447","Maplink3")</f>
        <v>Maplink3</v>
      </c>
    </row>
    <row r="726" customFormat="false" ht="15" hidden="false" customHeight="true" outlineLevel="0" collapsed="false">
      <c r="A726" s="15" t="n">
        <v>23998</v>
      </c>
      <c r="B726" s="16" t="s">
        <v>17</v>
      </c>
      <c r="C726" s="16" t="s">
        <v>1288</v>
      </c>
      <c r="D726" s="16" t="s">
        <v>1449</v>
      </c>
      <c r="E726" s="17" t="s">
        <v>1450</v>
      </c>
      <c r="F726" s="16" t="n">
        <v>33.31497497</v>
      </c>
      <c r="G726" s="16" t="n">
        <v>44.43940224</v>
      </c>
      <c r="H726" s="18" t="n">
        <v>41</v>
      </c>
      <c r="I726" s="18" t="n">
        <v>246</v>
      </c>
      <c r="J726" s="19" t="n">
        <v>5</v>
      </c>
      <c r="K726" s="19"/>
      <c r="L726" s="19"/>
      <c r="M726" s="19"/>
      <c r="N726" s="19"/>
      <c r="O726" s="19" t="n">
        <v>5</v>
      </c>
      <c r="P726" s="19"/>
      <c r="Q726" s="19"/>
      <c r="R726" s="19"/>
      <c r="S726" s="19"/>
      <c r="T726" s="19"/>
      <c r="U726" s="19"/>
      <c r="V726" s="19" t="n">
        <v>21</v>
      </c>
      <c r="W726" s="19"/>
      <c r="X726" s="19" t="n">
        <v>10</v>
      </c>
      <c r="Y726" s="19"/>
      <c r="Z726" s="19"/>
      <c r="AA726" s="19"/>
      <c r="AB726" s="19"/>
      <c r="AC726" s="19" t="n">
        <v>23</v>
      </c>
      <c r="AD726" s="19"/>
      <c r="AE726" s="19"/>
      <c r="AF726" s="19"/>
      <c r="AG726" s="19"/>
      <c r="AH726" s="19" t="n">
        <v>18</v>
      </c>
      <c r="AI726" s="19"/>
      <c r="AJ726" s="19"/>
      <c r="AK726" s="19"/>
      <c r="AL726" s="19" t="n">
        <v>10</v>
      </c>
      <c r="AM726" s="19"/>
      <c r="AN726" s="19" t="n">
        <v>7</v>
      </c>
      <c r="AO726" s="19" t="n">
        <v>20</v>
      </c>
      <c r="AP726" s="19" t="n">
        <v>4</v>
      </c>
      <c r="AQ726" s="19"/>
      <c r="AR726" s="19"/>
      <c r="AS726" s="20" t="str">
        <f aca="false">HYPERLINK("http://www.openstreetmap.org/?mlat=33.315&amp;mlon=44.4394&amp;zoom=12#map=12/33.315/44.4394","Maplink1")</f>
        <v>Maplink1</v>
      </c>
      <c r="AT726" s="20" t="str">
        <f aca="false">HYPERLINK("https://www.google.iq/maps/search/+33.315,44.4394/@33.315,44.4394,14z?hl=en","Maplink2")</f>
        <v>Maplink2</v>
      </c>
      <c r="AU726" s="20" t="str">
        <f aca="false">HYPERLINK("http://www.bing.com/maps/?lvl=14&amp;sty=h&amp;cp=33.315~44.4394&amp;sp=point.33.315_44.4394","Maplink3")</f>
        <v>Maplink3</v>
      </c>
    </row>
    <row r="727" customFormat="false" ht="15" hidden="false" customHeight="true" outlineLevel="0" collapsed="false">
      <c r="A727" s="15" t="n">
        <v>24473</v>
      </c>
      <c r="B727" s="16" t="s">
        <v>17</v>
      </c>
      <c r="C727" s="16" t="s">
        <v>1288</v>
      </c>
      <c r="D727" s="16" t="s">
        <v>1451</v>
      </c>
      <c r="E727" s="17" t="s">
        <v>1452</v>
      </c>
      <c r="F727" s="16" t="n">
        <v>33.26848754</v>
      </c>
      <c r="G727" s="16" t="n">
        <v>44.47905328</v>
      </c>
      <c r="H727" s="18" t="n">
        <v>69</v>
      </c>
      <c r="I727" s="18" t="n">
        <v>414</v>
      </c>
      <c r="J727" s="19" t="n">
        <v>19</v>
      </c>
      <c r="K727" s="19"/>
      <c r="L727" s="19"/>
      <c r="M727" s="19"/>
      <c r="N727" s="19"/>
      <c r="O727" s="19" t="n">
        <v>4</v>
      </c>
      <c r="P727" s="19"/>
      <c r="Q727" s="19"/>
      <c r="R727" s="19"/>
      <c r="S727" s="19"/>
      <c r="T727" s="19"/>
      <c r="U727" s="19"/>
      <c r="V727" s="19" t="n">
        <v>37</v>
      </c>
      <c r="W727" s="19"/>
      <c r="X727" s="19" t="n">
        <v>9</v>
      </c>
      <c r="Y727" s="19"/>
      <c r="Z727" s="19"/>
      <c r="AA727" s="19"/>
      <c r="AB727" s="19"/>
      <c r="AC727" s="19" t="n">
        <v>15</v>
      </c>
      <c r="AD727" s="19"/>
      <c r="AE727" s="19"/>
      <c r="AF727" s="19"/>
      <c r="AG727" s="19" t="n">
        <v>6</v>
      </c>
      <c r="AH727" s="19" t="n">
        <v>35</v>
      </c>
      <c r="AI727" s="19" t="n">
        <v>13</v>
      </c>
      <c r="AJ727" s="19"/>
      <c r="AK727" s="19"/>
      <c r="AL727" s="19"/>
      <c r="AM727" s="19"/>
      <c r="AN727" s="19" t="n">
        <v>18</v>
      </c>
      <c r="AO727" s="19" t="n">
        <v>32</v>
      </c>
      <c r="AP727" s="19" t="n">
        <v>19</v>
      </c>
      <c r="AQ727" s="19"/>
      <c r="AR727" s="19"/>
      <c r="AS727" s="20" t="str">
        <f aca="false">HYPERLINK("http://www.openstreetmap.org/?mlat=33.2685&amp;mlon=44.4791&amp;zoom=12#map=12/33.2685/44.4791","Maplink1")</f>
        <v>Maplink1</v>
      </c>
      <c r="AT727" s="20" t="str">
        <f aca="false">HYPERLINK("https://www.google.iq/maps/search/+33.2685,44.4791/@33.2685,44.4791,14z?hl=en","Maplink2")</f>
        <v>Maplink2</v>
      </c>
      <c r="AU727" s="20" t="str">
        <f aca="false">HYPERLINK("http://www.bing.com/maps/?lvl=14&amp;sty=h&amp;cp=33.2685~44.4791&amp;sp=point.33.2685_44.4791","Maplink3")</f>
        <v>Maplink3</v>
      </c>
    </row>
    <row r="728" customFormat="false" ht="15" hidden="false" customHeight="true" outlineLevel="0" collapsed="false">
      <c r="A728" s="15" t="n">
        <v>24008</v>
      </c>
      <c r="B728" s="16" t="s">
        <v>17</v>
      </c>
      <c r="C728" s="16" t="s">
        <v>1288</v>
      </c>
      <c r="D728" s="16" t="s">
        <v>1453</v>
      </c>
      <c r="E728" s="17" t="s">
        <v>1454</v>
      </c>
      <c r="F728" s="16" t="n">
        <v>33.26413665</v>
      </c>
      <c r="G728" s="16" t="n">
        <v>44.47814941</v>
      </c>
      <c r="H728" s="18" t="n">
        <v>51</v>
      </c>
      <c r="I728" s="18" t="n">
        <v>306</v>
      </c>
      <c r="J728" s="19" t="n">
        <v>13</v>
      </c>
      <c r="K728" s="19"/>
      <c r="L728" s="19"/>
      <c r="M728" s="19"/>
      <c r="N728" s="19"/>
      <c r="O728" s="19" t="n">
        <v>10</v>
      </c>
      <c r="P728" s="19"/>
      <c r="Q728" s="19"/>
      <c r="R728" s="19"/>
      <c r="S728" s="19"/>
      <c r="T728" s="19"/>
      <c r="U728" s="19"/>
      <c r="V728" s="19" t="n">
        <v>19</v>
      </c>
      <c r="W728" s="19"/>
      <c r="X728" s="19" t="n">
        <v>9</v>
      </c>
      <c r="Y728" s="19"/>
      <c r="Z728" s="19"/>
      <c r="AA728" s="19"/>
      <c r="AB728" s="19"/>
      <c r="AC728" s="19" t="n">
        <v>13</v>
      </c>
      <c r="AD728" s="19"/>
      <c r="AE728" s="19"/>
      <c r="AF728" s="19"/>
      <c r="AG728" s="19"/>
      <c r="AH728" s="19" t="n">
        <v>38</v>
      </c>
      <c r="AI728" s="19"/>
      <c r="AJ728" s="19"/>
      <c r="AK728" s="19"/>
      <c r="AL728" s="19" t="n">
        <v>3</v>
      </c>
      <c r="AM728" s="19" t="n">
        <v>6</v>
      </c>
      <c r="AN728" s="19" t="n">
        <v>7</v>
      </c>
      <c r="AO728" s="19" t="n">
        <v>14</v>
      </c>
      <c r="AP728" s="19" t="n">
        <v>21</v>
      </c>
      <c r="AQ728" s="19"/>
      <c r="AR728" s="19"/>
      <c r="AS728" s="20" t="str">
        <f aca="false">HYPERLINK("http://www.openstreetmap.org/?mlat=33.2641&amp;mlon=44.4781&amp;zoom=12#map=12/33.2641/44.4781","Maplink1")</f>
        <v>Maplink1</v>
      </c>
      <c r="AT728" s="20" t="str">
        <f aca="false">HYPERLINK("https://www.google.iq/maps/search/+33.2641,44.4781/@33.2641,44.4781,14z?hl=en","Maplink2")</f>
        <v>Maplink2</v>
      </c>
      <c r="AU728" s="20" t="str">
        <f aca="false">HYPERLINK("http://www.bing.com/maps/?lvl=14&amp;sty=h&amp;cp=33.2641~44.4781&amp;sp=point.33.2641_44.4781","Maplink3")</f>
        <v>Maplink3</v>
      </c>
    </row>
    <row r="729" customFormat="false" ht="15" hidden="false" customHeight="true" outlineLevel="0" collapsed="false">
      <c r="A729" s="15" t="n">
        <v>24009</v>
      </c>
      <c r="B729" s="16" t="s">
        <v>17</v>
      </c>
      <c r="C729" s="16" t="s">
        <v>1288</v>
      </c>
      <c r="D729" s="16" t="s">
        <v>1455</v>
      </c>
      <c r="E729" s="17" t="s">
        <v>1456</v>
      </c>
      <c r="F729" s="16" t="n">
        <v>33.26224433</v>
      </c>
      <c r="G729" s="16" t="n">
        <v>44.47477576</v>
      </c>
      <c r="H729" s="18" t="n">
        <v>29</v>
      </c>
      <c r="I729" s="18" t="n">
        <v>174</v>
      </c>
      <c r="J729" s="19" t="n">
        <v>13</v>
      </c>
      <c r="K729" s="19"/>
      <c r="L729" s="19"/>
      <c r="M729" s="19"/>
      <c r="N729" s="19"/>
      <c r="O729" s="19" t="n">
        <v>4</v>
      </c>
      <c r="P729" s="19"/>
      <c r="Q729" s="19"/>
      <c r="R729" s="19"/>
      <c r="S729" s="19"/>
      <c r="T729" s="19"/>
      <c r="U729" s="19"/>
      <c r="V729" s="19" t="n">
        <v>8</v>
      </c>
      <c r="W729" s="19"/>
      <c r="X729" s="19" t="n">
        <v>4</v>
      </c>
      <c r="Y729" s="19"/>
      <c r="Z729" s="19"/>
      <c r="AA729" s="19"/>
      <c r="AB729" s="19"/>
      <c r="AC729" s="19" t="n">
        <v>14</v>
      </c>
      <c r="AD729" s="19"/>
      <c r="AE729" s="19"/>
      <c r="AF729" s="19"/>
      <c r="AG729" s="19"/>
      <c r="AH729" s="19" t="n">
        <v>15</v>
      </c>
      <c r="AI729" s="19"/>
      <c r="AJ729" s="19"/>
      <c r="AK729" s="19"/>
      <c r="AL729" s="19" t="n">
        <v>5</v>
      </c>
      <c r="AM729" s="19" t="n">
        <v>6</v>
      </c>
      <c r="AN729" s="19"/>
      <c r="AO729" s="19" t="n">
        <v>8</v>
      </c>
      <c r="AP729" s="19" t="n">
        <v>10</v>
      </c>
      <c r="AQ729" s="19"/>
      <c r="AR729" s="19"/>
      <c r="AS729" s="20" t="str">
        <f aca="false">HYPERLINK("http://www.openstreetmap.org/?mlat=33.2622&amp;mlon=44.4748&amp;zoom=12#map=12/33.2622/44.4748","Maplink1")</f>
        <v>Maplink1</v>
      </c>
      <c r="AT729" s="20" t="str">
        <f aca="false">HYPERLINK("https://www.google.iq/maps/search/+33.2622,44.4748/@33.2622,44.4748,14z?hl=en","Maplink2")</f>
        <v>Maplink2</v>
      </c>
      <c r="AU729" s="20" t="str">
        <f aca="false">HYPERLINK("http://www.bing.com/maps/?lvl=14&amp;sty=h&amp;cp=33.2622~44.4748&amp;sp=point.33.2622_44.4748","Maplink3")</f>
        <v>Maplink3</v>
      </c>
    </row>
    <row r="730" customFormat="false" ht="15" hidden="false" customHeight="true" outlineLevel="0" collapsed="false">
      <c r="A730" s="15" t="n">
        <v>24007</v>
      </c>
      <c r="B730" s="16" t="s">
        <v>17</v>
      </c>
      <c r="C730" s="16" t="s">
        <v>1288</v>
      </c>
      <c r="D730" s="16" t="s">
        <v>1457</v>
      </c>
      <c r="E730" s="17" t="s">
        <v>1458</v>
      </c>
      <c r="F730" s="16" t="n">
        <v>33.25197436</v>
      </c>
      <c r="G730" s="16" t="n">
        <v>44.4790104</v>
      </c>
      <c r="H730" s="18" t="n">
        <v>40</v>
      </c>
      <c r="I730" s="18" t="n">
        <v>240</v>
      </c>
      <c r="J730" s="19" t="n">
        <v>8</v>
      </c>
      <c r="K730" s="19"/>
      <c r="L730" s="19"/>
      <c r="M730" s="19"/>
      <c r="N730" s="19"/>
      <c r="O730" s="19" t="n">
        <v>2</v>
      </c>
      <c r="P730" s="19"/>
      <c r="Q730" s="19"/>
      <c r="R730" s="19"/>
      <c r="S730" s="19"/>
      <c r="T730" s="19"/>
      <c r="U730" s="19"/>
      <c r="V730" s="19" t="n">
        <v>24</v>
      </c>
      <c r="W730" s="19"/>
      <c r="X730" s="19" t="n">
        <v>6</v>
      </c>
      <c r="Y730" s="19"/>
      <c r="Z730" s="19"/>
      <c r="AA730" s="19"/>
      <c r="AB730" s="19"/>
      <c r="AC730" s="19" t="n">
        <v>10</v>
      </c>
      <c r="AD730" s="19"/>
      <c r="AE730" s="19"/>
      <c r="AF730" s="19"/>
      <c r="AG730" s="19"/>
      <c r="AH730" s="19" t="n">
        <v>30</v>
      </c>
      <c r="AI730" s="19"/>
      <c r="AJ730" s="19"/>
      <c r="AK730" s="19"/>
      <c r="AL730" s="19"/>
      <c r="AM730" s="19" t="n">
        <v>7</v>
      </c>
      <c r="AN730" s="19" t="n">
        <v>13</v>
      </c>
      <c r="AO730" s="19" t="n">
        <v>11</v>
      </c>
      <c r="AP730" s="19" t="n">
        <v>9</v>
      </c>
      <c r="AQ730" s="19"/>
      <c r="AR730" s="19"/>
      <c r="AS730" s="20" t="str">
        <f aca="false">HYPERLINK("http://www.openstreetmap.org/?mlat=33.252&amp;mlon=44.479&amp;zoom=12#map=12/33.252/44.479","Maplink1")</f>
        <v>Maplink1</v>
      </c>
      <c r="AT730" s="20" t="str">
        <f aca="false">HYPERLINK("https://www.google.iq/maps/search/+33.252,44.479/@33.252,44.479,14z?hl=en","Maplink2")</f>
        <v>Maplink2</v>
      </c>
      <c r="AU730" s="20" t="str">
        <f aca="false">HYPERLINK("http://www.bing.com/maps/?lvl=14&amp;sty=h&amp;cp=33.252~44.479&amp;sp=point.33.252_44.479","Maplink3")</f>
        <v>Maplink3</v>
      </c>
    </row>
    <row r="731" customFormat="false" ht="15" hidden="false" customHeight="true" outlineLevel="0" collapsed="false">
      <c r="A731" s="15" t="n">
        <v>24011</v>
      </c>
      <c r="B731" s="16" t="s">
        <v>17</v>
      </c>
      <c r="C731" s="16" t="s">
        <v>1288</v>
      </c>
      <c r="D731" s="16" t="s">
        <v>1459</v>
      </c>
      <c r="E731" s="17" t="s">
        <v>1460</v>
      </c>
      <c r="F731" s="16" t="n">
        <v>33.24831478</v>
      </c>
      <c r="G731" s="16" t="n">
        <v>44.49030365</v>
      </c>
      <c r="H731" s="18" t="n">
        <v>71</v>
      </c>
      <c r="I731" s="18" t="n">
        <v>426</v>
      </c>
      <c r="J731" s="19" t="n">
        <v>19</v>
      </c>
      <c r="K731" s="19"/>
      <c r="L731" s="19"/>
      <c r="M731" s="19"/>
      <c r="N731" s="19"/>
      <c r="O731" s="19" t="n">
        <v>2</v>
      </c>
      <c r="P731" s="19"/>
      <c r="Q731" s="19"/>
      <c r="R731" s="19" t="n">
        <v>4</v>
      </c>
      <c r="S731" s="19"/>
      <c r="T731" s="19"/>
      <c r="U731" s="19"/>
      <c r="V731" s="19" t="n">
        <v>44</v>
      </c>
      <c r="W731" s="19"/>
      <c r="X731" s="19" t="n">
        <v>2</v>
      </c>
      <c r="Y731" s="19"/>
      <c r="Z731" s="19"/>
      <c r="AA731" s="19"/>
      <c r="AB731" s="19"/>
      <c r="AC731" s="19" t="n">
        <v>19</v>
      </c>
      <c r="AD731" s="19"/>
      <c r="AE731" s="19"/>
      <c r="AF731" s="19"/>
      <c r="AG731" s="19"/>
      <c r="AH731" s="19" t="n">
        <v>52</v>
      </c>
      <c r="AI731" s="19"/>
      <c r="AJ731" s="19"/>
      <c r="AK731" s="19"/>
      <c r="AL731" s="19"/>
      <c r="AM731" s="19" t="n">
        <v>4</v>
      </c>
      <c r="AN731" s="19" t="n">
        <v>20</v>
      </c>
      <c r="AO731" s="19" t="n">
        <v>21</v>
      </c>
      <c r="AP731" s="19" t="n">
        <v>26</v>
      </c>
      <c r="AQ731" s="19"/>
      <c r="AR731" s="19"/>
      <c r="AS731" s="20" t="str">
        <f aca="false">HYPERLINK("http://www.openstreetmap.org/?mlat=33.2483&amp;mlon=44.4903&amp;zoom=12#map=12/33.2483/44.4903","Maplink1")</f>
        <v>Maplink1</v>
      </c>
      <c r="AT731" s="20" t="str">
        <f aca="false">HYPERLINK("https://www.google.iq/maps/search/+33.2483,44.4903/@33.2483,44.4903,14z?hl=en","Maplink2")</f>
        <v>Maplink2</v>
      </c>
      <c r="AU731" s="20" t="str">
        <f aca="false">HYPERLINK("http://www.bing.com/maps/?lvl=14&amp;sty=h&amp;cp=33.2483~44.4903&amp;sp=point.33.2483_44.4903","Maplink3")</f>
        <v>Maplink3</v>
      </c>
    </row>
    <row r="732" customFormat="false" ht="15" hidden="false" customHeight="true" outlineLevel="0" collapsed="false">
      <c r="A732" s="15" t="n">
        <v>24010</v>
      </c>
      <c r="B732" s="16" t="s">
        <v>17</v>
      </c>
      <c r="C732" s="16" t="s">
        <v>1288</v>
      </c>
      <c r="D732" s="16" t="s">
        <v>1461</v>
      </c>
      <c r="E732" s="17" t="s">
        <v>1462</v>
      </c>
      <c r="F732" s="16" t="n">
        <v>33.24774719</v>
      </c>
      <c r="G732" s="16" t="n">
        <v>44.49565294</v>
      </c>
      <c r="H732" s="18" t="n">
        <v>18</v>
      </c>
      <c r="I732" s="18" t="n">
        <v>108</v>
      </c>
      <c r="J732" s="19" t="n">
        <v>5</v>
      </c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 t="n">
        <v>13</v>
      </c>
      <c r="W732" s="19"/>
      <c r="X732" s="19"/>
      <c r="Y732" s="19"/>
      <c r="Z732" s="19"/>
      <c r="AA732" s="19"/>
      <c r="AB732" s="19"/>
      <c r="AC732" s="19" t="n">
        <v>3</v>
      </c>
      <c r="AD732" s="19"/>
      <c r="AE732" s="19"/>
      <c r="AF732" s="19"/>
      <c r="AG732" s="19"/>
      <c r="AH732" s="19" t="n">
        <v>15</v>
      </c>
      <c r="AI732" s="19"/>
      <c r="AJ732" s="19"/>
      <c r="AK732" s="19"/>
      <c r="AL732" s="19" t="n">
        <v>3</v>
      </c>
      <c r="AM732" s="19"/>
      <c r="AN732" s="19" t="n">
        <v>2</v>
      </c>
      <c r="AO732" s="19" t="n">
        <v>11</v>
      </c>
      <c r="AP732" s="19" t="n">
        <v>2</v>
      </c>
      <c r="AQ732" s="19"/>
      <c r="AR732" s="19"/>
      <c r="AS732" s="20" t="str">
        <f aca="false">HYPERLINK("http://www.openstreetmap.org/?mlat=33.2477&amp;mlon=44.4957&amp;zoom=12#map=12/33.2477/44.4957","Maplink1")</f>
        <v>Maplink1</v>
      </c>
      <c r="AT732" s="20" t="str">
        <f aca="false">HYPERLINK("https://www.google.iq/maps/search/+33.2477,44.4957/@33.2477,44.4957,14z?hl=en","Maplink2")</f>
        <v>Maplink2</v>
      </c>
      <c r="AU732" s="20" t="str">
        <f aca="false">HYPERLINK("http://www.bing.com/maps/?lvl=14&amp;sty=h&amp;cp=33.2477~44.4957&amp;sp=point.33.2477_44.4957","Maplink3")</f>
        <v>Maplink3</v>
      </c>
    </row>
    <row r="733" customFormat="false" ht="15" hidden="false" customHeight="true" outlineLevel="0" collapsed="false">
      <c r="A733" s="15" t="n">
        <v>25457</v>
      </c>
      <c r="B733" s="16" t="s">
        <v>17</v>
      </c>
      <c r="C733" s="16" t="s">
        <v>1288</v>
      </c>
      <c r="D733" s="16" t="s">
        <v>1463</v>
      </c>
      <c r="E733" s="17" t="s">
        <v>1464</v>
      </c>
      <c r="F733" s="16" t="n">
        <v>33.23465911</v>
      </c>
      <c r="G733" s="16" t="n">
        <v>44.51488135</v>
      </c>
      <c r="H733" s="18" t="n">
        <v>33</v>
      </c>
      <c r="I733" s="18" t="n">
        <v>198</v>
      </c>
      <c r="J733" s="19" t="n">
        <v>8</v>
      </c>
      <c r="K733" s="19"/>
      <c r="L733" s="19"/>
      <c r="M733" s="19"/>
      <c r="N733" s="19"/>
      <c r="O733" s="19" t="n">
        <v>3</v>
      </c>
      <c r="P733" s="19"/>
      <c r="Q733" s="19"/>
      <c r="R733" s="19"/>
      <c r="S733" s="19"/>
      <c r="T733" s="19"/>
      <c r="U733" s="19"/>
      <c r="V733" s="19" t="n">
        <v>17</v>
      </c>
      <c r="W733" s="19"/>
      <c r="X733" s="19" t="n">
        <v>5</v>
      </c>
      <c r="Y733" s="19"/>
      <c r="Z733" s="19"/>
      <c r="AA733" s="19"/>
      <c r="AB733" s="19"/>
      <c r="AC733" s="19" t="n">
        <v>6</v>
      </c>
      <c r="AD733" s="19"/>
      <c r="AE733" s="19"/>
      <c r="AF733" s="19"/>
      <c r="AG733" s="19"/>
      <c r="AH733" s="19" t="n">
        <v>27</v>
      </c>
      <c r="AI733" s="19"/>
      <c r="AJ733" s="19"/>
      <c r="AK733" s="19"/>
      <c r="AL733" s="19"/>
      <c r="AM733" s="19" t="n">
        <v>3</v>
      </c>
      <c r="AN733" s="19" t="n">
        <v>22</v>
      </c>
      <c r="AO733" s="19"/>
      <c r="AP733" s="19" t="n">
        <v>8</v>
      </c>
      <c r="AQ733" s="19"/>
      <c r="AR733" s="19"/>
      <c r="AS733" s="20" t="str">
        <f aca="false">HYPERLINK("http://www.openstreetmap.org/?mlat=33.2347&amp;mlon=44.5149&amp;zoom=12#map=12/33.2347/44.5149","Maplink1")</f>
        <v>Maplink1</v>
      </c>
      <c r="AT733" s="20" t="str">
        <f aca="false">HYPERLINK("https://www.google.iq/maps/search/+33.2347,44.5149/@33.2347,44.5149,14z?hl=en","Maplink2")</f>
        <v>Maplink2</v>
      </c>
      <c r="AU733" s="20" t="str">
        <f aca="false">HYPERLINK("http://www.bing.com/maps/?lvl=14&amp;sty=h&amp;cp=33.2347~44.5149&amp;sp=point.33.2347_44.5149","Maplink3")</f>
        <v>Maplink3</v>
      </c>
    </row>
    <row r="734" customFormat="false" ht="15" hidden="false" customHeight="true" outlineLevel="0" collapsed="false">
      <c r="A734" s="15" t="n">
        <v>23977</v>
      </c>
      <c r="B734" s="16" t="s">
        <v>17</v>
      </c>
      <c r="C734" s="16" t="s">
        <v>1288</v>
      </c>
      <c r="D734" s="16" t="s">
        <v>1465</v>
      </c>
      <c r="E734" s="17" t="s">
        <v>1466</v>
      </c>
      <c r="F734" s="16" t="n">
        <v>33.2551117</v>
      </c>
      <c r="G734" s="16" t="n">
        <v>44.49007826</v>
      </c>
      <c r="H734" s="18" t="n">
        <v>61</v>
      </c>
      <c r="I734" s="18" t="n">
        <v>366</v>
      </c>
      <c r="J734" s="19" t="n">
        <v>20</v>
      </c>
      <c r="K734" s="19"/>
      <c r="L734" s="19"/>
      <c r="M734" s="19"/>
      <c r="N734" s="19"/>
      <c r="O734" s="19" t="n">
        <v>3</v>
      </c>
      <c r="P734" s="19"/>
      <c r="Q734" s="19"/>
      <c r="R734" s="19"/>
      <c r="S734" s="19"/>
      <c r="T734" s="19"/>
      <c r="U734" s="19"/>
      <c r="V734" s="19" t="n">
        <v>31</v>
      </c>
      <c r="W734" s="19"/>
      <c r="X734" s="19" t="n">
        <v>7</v>
      </c>
      <c r="Y734" s="19"/>
      <c r="Z734" s="19"/>
      <c r="AA734" s="19"/>
      <c r="AB734" s="19"/>
      <c r="AC734" s="19" t="n">
        <v>18</v>
      </c>
      <c r="AD734" s="19"/>
      <c r="AE734" s="19"/>
      <c r="AF734" s="19"/>
      <c r="AG734" s="19"/>
      <c r="AH734" s="19" t="n">
        <v>43</v>
      </c>
      <c r="AI734" s="19"/>
      <c r="AJ734" s="19"/>
      <c r="AK734" s="19"/>
      <c r="AL734" s="19"/>
      <c r="AM734" s="19" t="n">
        <v>22</v>
      </c>
      <c r="AN734" s="19" t="n">
        <v>9</v>
      </c>
      <c r="AO734" s="19" t="n">
        <v>10</v>
      </c>
      <c r="AP734" s="19" t="n">
        <v>20</v>
      </c>
      <c r="AQ734" s="19"/>
      <c r="AR734" s="19"/>
      <c r="AS734" s="20" t="str">
        <f aca="false">HYPERLINK("http://www.openstreetmap.org/?mlat=33.2551&amp;mlon=44.4901&amp;zoom=12#map=12/33.2551/44.4901","Maplink1")</f>
        <v>Maplink1</v>
      </c>
      <c r="AT734" s="20" t="str">
        <f aca="false">HYPERLINK("https://www.google.iq/maps/search/+33.2551,44.4901/@33.2551,44.4901,14z?hl=en","Maplink2")</f>
        <v>Maplink2</v>
      </c>
      <c r="AU734" s="20" t="str">
        <f aca="false">HYPERLINK("http://www.bing.com/maps/?lvl=14&amp;sty=h&amp;cp=33.2551~44.4901&amp;sp=point.33.2551_44.4901","Maplink3")</f>
        <v>Maplink3</v>
      </c>
    </row>
    <row r="735" customFormat="false" ht="15" hidden="false" customHeight="true" outlineLevel="0" collapsed="false">
      <c r="A735" s="15" t="n">
        <v>23003</v>
      </c>
      <c r="B735" s="16" t="s">
        <v>17</v>
      </c>
      <c r="C735" s="16" t="s">
        <v>1288</v>
      </c>
      <c r="D735" s="16" t="s">
        <v>1467</v>
      </c>
      <c r="E735" s="17" t="s">
        <v>1468</v>
      </c>
      <c r="F735" s="16" t="n">
        <v>33.30200459</v>
      </c>
      <c r="G735" s="16" t="n">
        <v>44.47049708</v>
      </c>
      <c r="H735" s="18" t="n">
        <v>53</v>
      </c>
      <c r="I735" s="18" t="n">
        <v>318</v>
      </c>
      <c r="J735" s="19" t="n">
        <v>13</v>
      </c>
      <c r="K735" s="19"/>
      <c r="L735" s="19"/>
      <c r="M735" s="19"/>
      <c r="N735" s="19"/>
      <c r="O735" s="19"/>
      <c r="P735" s="19"/>
      <c r="Q735" s="19"/>
      <c r="R735" s="19" t="n">
        <v>11</v>
      </c>
      <c r="S735" s="19"/>
      <c r="T735" s="19"/>
      <c r="U735" s="19"/>
      <c r="V735" s="19" t="n">
        <v>15</v>
      </c>
      <c r="W735" s="19"/>
      <c r="X735" s="19" t="n">
        <v>14</v>
      </c>
      <c r="Y735" s="19"/>
      <c r="Z735" s="19"/>
      <c r="AA735" s="19"/>
      <c r="AB735" s="19"/>
      <c r="AC735" s="19" t="n">
        <v>20</v>
      </c>
      <c r="AD735" s="19"/>
      <c r="AE735" s="19"/>
      <c r="AF735" s="19"/>
      <c r="AG735" s="19"/>
      <c r="AH735" s="19" t="n">
        <v>33</v>
      </c>
      <c r="AI735" s="19"/>
      <c r="AJ735" s="19"/>
      <c r="AK735" s="19"/>
      <c r="AL735" s="19" t="n">
        <v>2</v>
      </c>
      <c r="AM735" s="19"/>
      <c r="AN735" s="19" t="n">
        <v>46</v>
      </c>
      <c r="AO735" s="19" t="n">
        <v>5</v>
      </c>
      <c r="AP735" s="19"/>
      <c r="AQ735" s="19"/>
      <c r="AR735" s="19"/>
      <c r="AS735" s="20" t="str">
        <f aca="false">HYPERLINK("http://www.openstreetmap.org/?mlat=33.302&amp;mlon=44.4705&amp;zoom=12#map=12/33.302/44.4705","Maplink1")</f>
        <v>Maplink1</v>
      </c>
      <c r="AT735" s="20" t="str">
        <f aca="false">HYPERLINK("https://www.google.iq/maps/search/+33.302,44.4705/@33.302,44.4705,14z?hl=en","Maplink2")</f>
        <v>Maplink2</v>
      </c>
      <c r="AU735" s="20" t="str">
        <f aca="false">HYPERLINK("http://www.bing.com/maps/?lvl=14&amp;sty=h&amp;cp=33.302~44.4705&amp;sp=point.33.302_44.4705","Maplink3")</f>
        <v>Maplink3</v>
      </c>
    </row>
    <row r="736" customFormat="false" ht="15" hidden="false" customHeight="true" outlineLevel="0" collapsed="false">
      <c r="A736" s="15" t="n">
        <v>23004</v>
      </c>
      <c r="B736" s="16" t="s">
        <v>17</v>
      </c>
      <c r="C736" s="16" t="s">
        <v>1288</v>
      </c>
      <c r="D736" s="16" t="s">
        <v>1469</v>
      </c>
      <c r="E736" s="17" t="s">
        <v>1470</v>
      </c>
      <c r="F736" s="16" t="n">
        <v>33.2974557</v>
      </c>
      <c r="G736" s="16" t="n">
        <v>44.48824519</v>
      </c>
      <c r="H736" s="18" t="n">
        <v>58</v>
      </c>
      <c r="I736" s="18" t="n">
        <v>348</v>
      </c>
      <c r="J736" s="19" t="n">
        <v>12</v>
      </c>
      <c r="K736" s="19"/>
      <c r="L736" s="19"/>
      <c r="M736" s="19"/>
      <c r="N736" s="19"/>
      <c r="O736" s="19" t="n">
        <v>4</v>
      </c>
      <c r="P736" s="19"/>
      <c r="Q736" s="19"/>
      <c r="R736" s="19"/>
      <c r="S736" s="19"/>
      <c r="T736" s="19"/>
      <c r="U736" s="19"/>
      <c r="V736" s="19" t="n">
        <v>38</v>
      </c>
      <c r="W736" s="19"/>
      <c r="X736" s="19" t="n">
        <v>4</v>
      </c>
      <c r="Y736" s="19"/>
      <c r="Z736" s="19"/>
      <c r="AA736" s="19"/>
      <c r="AB736" s="19"/>
      <c r="AC736" s="19" t="n">
        <v>12</v>
      </c>
      <c r="AD736" s="19"/>
      <c r="AE736" s="19"/>
      <c r="AF736" s="19"/>
      <c r="AG736" s="19"/>
      <c r="AH736" s="19" t="n">
        <v>31</v>
      </c>
      <c r="AI736" s="19" t="n">
        <v>15</v>
      </c>
      <c r="AJ736" s="19"/>
      <c r="AK736" s="19"/>
      <c r="AL736" s="19" t="n">
        <v>2</v>
      </c>
      <c r="AM736" s="19" t="n">
        <v>13</v>
      </c>
      <c r="AN736" s="19" t="n">
        <v>42</v>
      </c>
      <c r="AO736" s="19" t="n">
        <v>1</v>
      </c>
      <c r="AP736" s="19"/>
      <c r="AQ736" s="19"/>
      <c r="AR736" s="19"/>
      <c r="AS736" s="20" t="str">
        <f aca="false">HYPERLINK("http://www.openstreetmap.org/?mlat=33.2975&amp;mlon=44.4882&amp;zoom=12#map=12/33.2975/44.4882","Maplink1")</f>
        <v>Maplink1</v>
      </c>
      <c r="AT736" s="20" t="str">
        <f aca="false">HYPERLINK("https://www.google.iq/maps/search/+33.2975,44.4882/@33.2975,44.4882,14z?hl=en","Maplink2")</f>
        <v>Maplink2</v>
      </c>
      <c r="AU736" s="20" t="str">
        <f aca="false">HYPERLINK("http://www.bing.com/maps/?lvl=14&amp;sty=h&amp;cp=33.2975~44.4882&amp;sp=point.33.2975_44.4882","Maplink3")</f>
        <v>Maplink3</v>
      </c>
    </row>
    <row r="737" customFormat="false" ht="15" hidden="false" customHeight="true" outlineLevel="0" collapsed="false">
      <c r="A737" s="15" t="n">
        <v>24672</v>
      </c>
      <c r="B737" s="16" t="s">
        <v>17</v>
      </c>
      <c r="C737" s="16" t="s">
        <v>1288</v>
      </c>
      <c r="D737" s="16" t="s">
        <v>1471</v>
      </c>
      <c r="E737" s="17" t="s">
        <v>1472</v>
      </c>
      <c r="F737" s="16" t="n">
        <v>33.2981064</v>
      </c>
      <c r="G737" s="16" t="n">
        <v>44.49920235</v>
      </c>
      <c r="H737" s="18" t="n">
        <v>20</v>
      </c>
      <c r="I737" s="18" t="n">
        <v>120</v>
      </c>
      <c r="J737" s="19" t="n">
        <v>3</v>
      </c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 t="n">
        <v>17</v>
      </c>
      <c r="W737" s="19"/>
      <c r="X737" s="19"/>
      <c r="Y737" s="19"/>
      <c r="Z737" s="19"/>
      <c r="AA737" s="19"/>
      <c r="AB737" s="19"/>
      <c r="AC737" s="19" t="n">
        <v>12</v>
      </c>
      <c r="AD737" s="19"/>
      <c r="AE737" s="19"/>
      <c r="AF737" s="19"/>
      <c r="AG737" s="19"/>
      <c r="AH737" s="19" t="n">
        <v>8</v>
      </c>
      <c r="AI737" s="19"/>
      <c r="AJ737" s="19"/>
      <c r="AK737" s="19"/>
      <c r="AL737" s="19"/>
      <c r="AM737" s="19"/>
      <c r="AN737" s="19" t="n">
        <v>11</v>
      </c>
      <c r="AO737" s="19" t="n">
        <v>9</v>
      </c>
      <c r="AP737" s="19"/>
      <c r="AQ737" s="19"/>
      <c r="AR737" s="19"/>
      <c r="AS737" s="20" t="str">
        <f aca="false">HYPERLINK("http://www.openstreetmap.org/?mlat=33.2981&amp;mlon=44.4992&amp;zoom=12#map=12/33.2981/44.4992","Maplink1")</f>
        <v>Maplink1</v>
      </c>
      <c r="AT737" s="20" t="str">
        <f aca="false">HYPERLINK("https://www.google.iq/maps/search/+33.2981,44.4992/@33.2981,44.4992,14z?hl=en","Maplink2")</f>
        <v>Maplink2</v>
      </c>
      <c r="AU737" s="20" t="str">
        <f aca="false">HYPERLINK("http://www.bing.com/maps/?lvl=14&amp;sty=h&amp;cp=33.2981~44.4992&amp;sp=point.33.2981_44.4992","Maplink3")</f>
        <v>Maplink3</v>
      </c>
    </row>
    <row r="738" customFormat="false" ht="15" hidden="false" customHeight="true" outlineLevel="0" collapsed="false">
      <c r="A738" s="15" t="n">
        <v>24025</v>
      </c>
      <c r="B738" s="16" t="s">
        <v>17</v>
      </c>
      <c r="C738" s="16" t="s">
        <v>1288</v>
      </c>
      <c r="D738" s="16" t="s">
        <v>1473</v>
      </c>
      <c r="E738" s="17" t="s">
        <v>1474</v>
      </c>
      <c r="F738" s="16" t="n">
        <v>33.30564262</v>
      </c>
      <c r="G738" s="16" t="n">
        <v>44.47540483</v>
      </c>
      <c r="H738" s="18" t="n">
        <v>43</v>
      </c>
      <c r="I738" s="18" t="n">
        <v>258</v>
      </c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 t="n">
        <v>43</v>
      </c>
      <c r="W738" s="19"/>
      <c r="X738" s="19"/>
      <c r="Y738" s="19"/>
      <c r="Z738" s="19"/>
      <c r="AA738" s="19"/>
      <c r="AB738" s="19"/>
      <c r="AC738" s="19" t="n">
        <v>19</v>
      </c>
      <c r="AD738" s="19"/>
      <c r="AE738" s="19"/>
      <c r="AF738" s="19"/>
      <c r="AG738" s="19"/>
      <c r="AH738" s="19" t="n">
        <v>24</v>
      </c>
      <c r="AI738" s="19"/>
      <c r="AJ738" s="19"/>
      <c r="AK738" s="19"/>
      <c r="AL738" s="19"/>
      <c r="AM738" s="19" t="n">
        <v>2</v>
      </c>
      <c r="AN738" s="19" t="n">
        <v>19</v>
      </c>
      <c r="AO738" s="19" t="n">
        <v>18</v>
      </c>
      <c r="AP738" s="19"/>
      <c r="AQ738" s="19"/>
      <c r="AR738" s="19" t="n">
        <v>4</v>
      </c>
      <c r="AS738" s="20" t="str">
        <f aca="false">HYPERLINK("http://www.openstreetmap.org/?mlat=33.3056&amp;mlon=44.4754&amp;zoom=12#map=12/33.3056/44.4754","Maplink1")</f>
        <v>Maplink1</v>
      </c>
      <c r="AT738" s="20" t="str">
        <f aca="false">HYPERLINK("https://www.google.iq/maps/search/+33.3056,44.4754/@33.3056,44.4754,14z?hl=en","Maplink2")</f>
        <v>Maplink2</v>
      </c>
      <c r="AU738" s="20" t="str">
        <f aca="false">HYPERLINK("http://www.bing.com/maps/?lvl=14&amp;sty=h&amp;cp=33.3056~44.4754&amp;sp=point.33.3056_44.4754","Maplink3")</f>
        <v>Maplink3</v>
      </c>
    </row>
    <row r="739" customFormat="false" ht="15" hidden="false" customHeight="true" outlineLevel="0" collapsed="false">
      <c r="A739" s="15" t="n">
        <v>24026</v>
      </c>
      <c r="B739" s="16" t="s">
        <v>17</v>
      </c>
      <c r="C739" s="16" t="s">
        <v>1288</v>
      </c>
      <c r="D739" s="16" t="s">
        <v>1475</v>
      </c>
      <c r="E739" s="17" t="s">
        <v>1476</v>
      </c>
      <c r="F739" s="16" t="n">
        <v>33.30527327</v>
      </c>
      <c r="G739" s="16" t="n">
        <v>44.48564506</v>
      </c>
      <c r="H739" s="18" t="n">
        <v>28</v>
      </c>
      <c r="I739" s="18" t="n">
        <v>168</v>
      </c>
      <c r="J739" s="19" t="n">
        <v>4</v>
      </c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 t="n">
        <v>24</v>
      </c>
      <c r="W739" s="19"/>
      <c r="X739" s="19"/>
      <c r="Y739" s="19"/>
      <c r="Z739" s="19"/>
      <c r="AA739" s="19"/>
      <c r="AB739" s="19"/>
      <c r="AC739" s="19" t="n">
        <v>16</v>
      </c>
      <c r="AD739" s="19"/>
      <c r="AE739" s="19"/>
      <c r="AF739" s="19"/>
      <c r="AG739" s="19"/>
      <c r="AH739" s="19" t="n">
        <v>12</v>
      </c>
      <c r="AI739" s="19"/>
      <c r="AJ739" s="19"/>
      <c r="AK739" s="19"/>
      <c r="AL739" s="19" t="n">
        <v>2</v>
      </c>
      <c r="AM739" s="19" t="n">
        <v>12</v>
      </c>
      <c r="AN739" s="19" t="n">
        <v>6</v>
      </c>
      <c r="AO739" s="19" t="n">
        <v>2</v>
      </c>
      <c r="AP739" s="19" t="n">
        <v>6</v>
      </c>
      <c r="AQ739" s="19"/>
      <c r="AR739" s="19"/>
      <c r="AS739" s="20" t="str">
        <f aca="false">HYPERLINK("http://www.openstreetmap.org/?mlat=33.3053&amp;mlon=44.4856&amp;zoom=12#map=12/33.3053/44.4856","Maplink1")</f>
        <v>Maplink1</v>
      </c>
      <c r="AT739" s="20" t="str">
        <f aca="false">HYPERLINK("https://www.google.iq/maps/search/+33.3053,44.4856/@33.3053,44.4856,14z?hl=en","Maplink2")</f>
        <v>Maplink2</v>
      </c>
      <c r="AU739" s="20" t="str">
        <f aca="false">HYPERLINK("http://www.bing.com/maps/?lvl=14&amp;sty=h&amp;cp=33.3053~44.4856&amp;sp=point.33.3053_44.4856","Maplink3")</f>
        <v>Maplink3</v>
      </c>
    </row>
    <row r="740" customFormat="false" ht="15" hidden="false" customHeight="true" outlineLevel="0" collapsed="false">
      <c r="A740" s="15" t="n">
        <v>24697</v>
      </c>
      <c r="B740" s="16" t="s">
        <v>17</v>
      </c>
      <c r="C740" s="16" t="s">
        <v>1288</v>
      </c>
      <c r="D740" s="16" t="s">
        <v>1477</v>
      </c>
      <c r="E740" s="17" t="s">
        <v>1478</v>
      </c>
      <c r="F740" s="16" t="n">
        <v>33.30262949</v>
      </c>
      <c r="G740" s="16" t="n">
        <v>44.47727429</v>
      </c>
      <c r="H740" s="18" t="n">
        <v>30</v>
      </c>
      <c r="I740" s="18" t="n">
        <v>180</v>
      </c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 t="n">
        <v>30</v>
      </c>
      <c r="W740" s="19"/>
      <c r="X740" s="19"/>
      <c r="Y740" s="19"/>
      <c r="Z740" s="19"/>
      <c r="AA740" s="19"/>
      <c r="AB740" s="19"/>
      <c r="AC740" s="19" t="n">
        <v>4</v>
      </c>
      <c r="AD740" s="19"/>
      <c r="AE740" s="19"/>
      <c r="AF740" s="19"/>
      <c r="AG740" s="19"/>
      <c r="AH740" s="19" t="n">
        <v>7</v>
      </c>
      <c r="AI740" s="19" t="n">
        <v>19</v>
      </c>
      <c r="AJ740" s="19"/>
      <c r="AK740" s="19"/>
      <c r="AL740" s="19"/>
      <c r="AM740" s="19"/>
      <c r="AN740" s="19" t="n">
        <v>19</v>
      </c>
      <c r="AO740" s="19" t="n">
        <v>11</v>
      </c>
      <c r="AP740" s="19"/>
      <c r="AQ740" s="19"/>
      <c r="AR740" s="19"/>
      <c r="AS740" s="20" t="str">
        <f aca="false">HYPERLINK("http://www.openstreetmap.org/?mlat=33.3026&amp;mlon=44.4773&amp;zoom=12#map=12/33.3026/44.4773","Maplink1")</f>
        <v>Maplink1</v>
      </c>
      <c r="AT740" s="20" t="str">
        <f aca="false">HYPERLINK("https://www.google.iq/maps/search/+33.3026,44.4773/@33.3026,44.4773,14z?hl=en","Maplink2")</f>
        <v>Maplink2</v>
      </c>
      <c r="AU740" s="20" t="str">
        <f aca="false">HYPERLINK("http://www.bing.com/maps/?lvl=14&amp;sty=h&amp;cp=33.3026~44.4773&amp;sp=point.33.3026_44.4773","Maplink3")</f>
        <v>Maplink3</v>
      </c>
    </row>
    <row r="741" customFormat="false" ht="15" hidden="false" customHeight="true" outlineLevel="0" collapsed="false">
      <c r="A741" s="15" t="n">
        <v>23504</v>
      </c>
      <c r="B741" s="16" t="s">
        <v>17</v>
      </c>
      <c r="C741" s="16" t="s">
        <v>1288</v>
      </c>
      <c r="D741" s="16" t="s">
        <v>1479</v>
      </c>
      <c r="E741" s="17" t="s">
        <v>1480</v>
      </c>
      <c r="F741" s="16" t="n">
        <v>33.30421266</v>
      </c>
      <c r="G741" s="16" t="n">
        <v>44.49168297</v>
      </c>
      <c r="H741" s="18" t="n">
        <v>40</v>
      </c>
      <c r="I741" s="18" t="n">
        <v>240</v>
      </c>
      <c r="J741" s="19" t="n">
        <v>4</v>
      </c>
      <c r="K741" s="19"/>
      <c r="L741" s="19"/>
      <c r="M741" s="19"/>
      <c r="N741" s="19"/>
      <c r="O741" s="19" t="n">
        <v>5</v>
      </c>
      <c r="P741" s="19"/>
      <c r="Q741" s="19"/>
      <c r="R741" s="19" t="n">
        <v>2</v>
      </c>
      <c r="S741" s="19"/>
      <c r="T741" s="19"/>
      <c r="U741" s="19"/>
      <c r="V741" s="19" t="n">
        <v>24</v>
      </c>
      <c r="W741" s="19"/>
      <c r="X741" s="19" t="n">
        <v>5</v>
      </c>
      <c r="Y741" s="19"/>
      <c r="Z741" s="19"/>
      <c r="AA741" s="19"/>
      <c r="AB741" s="19"/>
      <c r="AC741" s="19" t="n">
        <v>20</v>
      </c>
      <c r="AD741" s="19"/>
      <c r="AE741" s="19"/>
      <c r="AF741" s="19"/>
      <c r="AG741" s="19"/>
      <c r="AH741" s="19" t="n">
        <v>7</v>
      </c>
      <c r="AI741" s="19" t="n">
        <v>13</v>
      </c>
      <c r="AJ741" s="19"/>
      <c r="AK741" s="19"/>
      <c r="AL741" s="19"/>
      <c r="AM741" s="19"/>
      <c r="AN741" s="19" t="n">
        <v>3</v>
      </c>
      <c r="AO741" s="19" t="n">
        <v>25</v>
      </c>
      <c r="AP741" s="19" t="n">
        <v>5</v>
      </c>
      <c r="AQ741" s="19"/>
      <c r="AR741" s="19" t="n">
        <v>7</v>
      </c>
      <c r="AS741" s="20" t="str">
        <f aca="false">HYPERLINK("http://www.openstreetmap.org/?mlat=33.3042&amp;mlon=44.4917&amp;zoom=12#map=12/33.3042/44.4917","Maplink1")</f>
        <v>Maplink1</v>
      </c>
      <c r="AT741" s="20" t="str">
        <f aca="false">HYPERLINK("https://www.google.iq/maps/search/+33.3042,44.4917/@33.3042,44.4917,14z?hl=en","Maplink2")</f>
        <v>Maplink2</v>
      </c>
      <c r="AU741" s="20" t="str">
        <f aca="false">HYPERLINK("http://www.bing.com/maps/?lvl=14&amp;sty=h&amp;cp=33.3042~44.4917&amp;sp=point.33.3042_44.4917","Maplink3")</f>
        <v>Maplink3</v>
      </c>
    </row>
    <row r="742" customFormat="false" ht="15" hidden="false" customHeight="true" outlineLevel="0" collapsed="false">
      <c r="A742" s="15" t="n">
        <v>24698</v>
      </c>
      <c r="B742" s="16" t="s">
        <v>17</v>
      </c>
      <c r="C742" s="16" t="s">
        <v>1288</v>
      </c>
      <c r="D742" s="16" t="s">
        <v>1481</v>
      </c>
      <c r="E742" s="17" t="s">
        <v>1482</v>
      </c>
      <c r="F742" s="16" t="n">
        <v>33.30731823</v>
      </c>
      <c r="G742" s="16" t="n">
        <v>44.49580356</v>
      </c>
      <c r="H742" s="18" t="n">
        <v>39</v>
      </c>
      <c r="I742" s="18" t="n">
        <v>234</v>
      </c>
      <c r="J742" s="19" t="n">
        <v>4</v>
      </c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 t="n">
        <v>32</v>
      </c>
      <c r="W742" s="19"/>
      <c r="X742" s="19" t="n">
        <v>3</v>
      </c>
      <c r="Y742" s="19"/>
      <c r="Z742" s="19"/>
      <c r="AA742" s="19"/>
      <c r="AB742" s="19"/>
      <c r="AC742" s="19" t="n">
        <v>21</v>
      </c>
      <c r="AD742" s="19"/>
      <c r="AE742" s="19"/>
      <c r="AF742" s="19"/>
      <c r="AG742" s="19"/>
      <c r="AH742" s="19" t="n">
        <v>18</v>
      </c>
      <c r="AI742" s="19"/>
      <c r="AJ742" s="19"/>
      <c r="AK742" s="19"/>
      <c r="AL742" s="19"/>
      <c r="AM742" s="19" t="n">
        <v>17</v>
      </c>
      <c r="AN742" s="19"/>
      <c r="AO742" s="19" t="n">
        <v>19</v>
      </c>
      <c r="AP742" s="19"/>
      <c r="AQ742" s="19"/>
      <c r="AR742" s="19" t="n">
        <v>3</v>
      </c>
      <c r="AS742" s="20" t="str">
        <f aca="false">HYPERLINK("http://www.openstreetmap.org/?mlat=33.3073&amp;mlon=44.4958&amp;zoom=12#map=12/33.3073/44.4958","Maplink1")</f>
        <v>Maplink1</v>
      </c>
      <c r="AT742" s="20" t="str">
        <f aca="false">HYPERLINK("https://www.google.iq/maps/search/+33.3073,44.4958/@33.3073,44.4958,14z?hl=en","Maplink2")</f>
        <v>Maplink2</v>
      </c>
      <c r="AU742" s="20" t="str">
        <f aca="false">HYPERLINK("http://www.bing.com/maps/?lvl=14&amp;sty=h&amp;cp=33.3073~44.4958&amp;sp=point.33.3073_44.4958","Maplink3")</f>
        <v>Maplink3</v>
      </c>
    </row>
    <row r="743" customFormat="false" ht="15" hidden="false" customHeight="true" outlineLevel="0" collapsed="false">
      <c r="A743" s="15" t="n">
        <v>24027</v>
      </c>
      <c r="B743" s="16" t="s">
        <v>17</v>
      </c>
      <c r="C743" s="16" t="s">
        <v>1288</v>
      </c>
      <c r="D743" s="16" t="s">
        <v>1483</v>
      </c>
      <c r="E743" s="17" t="s">
        <v>1484</v>
      </c>
      <c r="F743" s="16" t="n">
        <v>33.30923395</v>
      </c>
      <c r="G743" s="16" t="n">
        <v>44.48793951</v>
      </c>
      <c r="H743" s="18" t="n">
        <v>20</v>
      </c>
      <c r="I743" s="18" t="n">
        <v>120</v>
      </c>
      <c r="J743" s="19" t="n">
        <v>2</v>
      </c>
      <c r="K743" s="19"/>
      <c r="L743" s="19"/>
      <c r="M743" s="19"/>
      <c r="N743" s="19"/>
      <c r="O743" s="19" t="n">
        <v>3</v>
      </c>
      <c r="P743" s="19"/>
      <c r="Q743" s="19"/>
      <c r="R743" s="19"/>
      <c r="S743" s="19"/>
      <c r="T743" s="19"/>
      <c r="U743" s="19"/>
      <c r="V743" s="19" t="n">
        <v>15</v>
      </c>
      <c r="W743" s="19"/>
      <c r="X743" s="19"/>
      <c r="Y743" s="19"/>
      <c r="Z743" s="19"/>
      <c r="AA743" s="19"/>
      <c r="AB743" s="19"/>
      <c r="AC743" s="19" t="n">
        <v>13</v>
      </c>
      <c r="AD743" s="19"/>
      <c r="AE743" s="19"/>
      <c r="AF743" s="19"/>
      <c r="AG743" s="19"/>
      <c r="AH743" s="19" t="n">
        <v>7</v>
      </c>
      <c r="AI743" s="19"/>
      <c r="AJ743" s="19"/>
      <c r="AK743" s="19"/>
      <c r="AL743" s="19"/>
      <c r="AM743" s="19"/>
      <c r="AN743" s="19" t="n">
        <v>13</v>
      </c>
      <c r="AO743" s="19" t="n">
        <v>5</v>
      </c>
      <c r="AP743" s="19" t="n">
        <v>2</v>
      </c>
      <c r="AQ743" s="19"/>
      <c r="AR743" s="19"/>
      <c r="AS743" s="20" t="str">
        <f aca="false">HYPERLINK("http://www.openstreetmap.org/?mlat=33.3092&amp;mlon=44.4879&amp;zoom=12#map=12/33.3092/44.4879","Maplink1")</f>
        <v>Maplink1</v>
      </c>
      <c r="AT743" s="20" t="str">
        <f aca="false">HYPERLINK("https://www.google.iq/maps/search/+33.3092,44.4879/@33.3092,44.4879,14z?hl=en","Maplink2")</f>
        <v>Maplink2</v>
      </c>
      <c r="AU743" s="20" t="str">
        <f aca="false">HYPERLINK("http://www.bing.com/maps/?lvl=14&amp;sty=h&amp;cp=33.3092~44.4879&amp;sp=point.33.3092_44.4879","Maplink3")</f>
        <v>Maplink3</v>
      </c>
    </row>
    <row r="744" customFormat="false" ht="15" hidden="false" customHeight="true" outlineLevel="0" collapsed="false">
      <c r="A744" s="15" t="n">
        <v>25156</v>
      </c>
      <c r="B744" s="16" t="s">
        <v>17</v>
      </c>
      <c r="C744" s="16" t="s">
        <v>1288</v>
      </c>
      <c r="D744" s="16" t="s">
        <v>1485</v>
      </c>
      <c r="E744" s="17" t="s">
        <v>1486</v>
      </c>
      <c r="F744" s="16" t="n">
        <v>33.31201915</v>
      </c>
      <c r="G744" s="16" t="n">
        <v>44.48476814</v>
      </c>
      <c r="H744" s="18" t="n">
        <v>29</v>
      </c>
      <c r="I744" s="18" t="n">
        <v>174</v>
      </c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 t="n">
        <v>22</v>
      </c>
      <c r="W744" s="19"/>
      <c r="X744" s="19" t="n">
        <v>7</v>
      </c>
      <c r="Y744" s="19"/>
      <c r="Z744" s="19"/>
      <c r="AA744" s="19"/>
      <c r="AB744" s="19"/>
      <c r="AC744" s="19"/>
      <c r="AD744" s="19"/>
      <c r="AE744" s="19"/>
      <c r="AF744" s="19"/>
      <c r="AG744" s="19"/>
      <c r="AH744" s="19" t="n">
        <v>20</v>
      </c>
      <c r="AI744" s="19" t="n">
        <v>9</v>
      </c>
      <c r="AJ744" s="19"/>
      <c r="AK744" s="19"/>
      <c r="AL744" s="19"/>
      <c r="AM744" s="19"/>
      <c r="AN744" s="19" t="n">
        <v>20</v>
      </c>
      <c r="AO744" s="19" t="n">
        <v>9</v>
      </c>
      <c r="AP744" s="19"/>
      <c r="AQ744" s="19"/>
      <c r="AR744" s="19"/>
      <c r="AS744" s="20" t="str">
        <f aca="false">HYPERLINK("http://www.openstreetmap.org/?mlat=33.312&amp;mlon=44.4848&amp;zoom=12#map=12/33.312/44.4848","Maplink1")</f>
        <v>Maplink1</v>
      </c>
      <c r="AT744" s="20" t="str">
        <f aca="false">HYPERLINK("https://www.google.iq/maps/search/+33.312,44.4848/@33.312,44.4848,14z?hl=en","Maplink2")</f>
        <v>Maplink2</v>
      </c>
      <c r="AU744" s="20" t="str">
        <f aca="false">HYPERLINK("http://www.bing.com/maps/?lvl=14&amp;sty=h&amp;cp=33.312~44.4848&amp;sp=point.33.312_44.4848","Maplink3")</f>
        <v>Maplink3</v>
      </c>
    </row>
    <row r="745" customFormat="false" ht="15" hidden="false" customHeight="true" outlineLevel="0" collapsed="false">
      <c r="A745" s="15" t="n">
        <v>24015</v>
      </c>
      <c r="B745" s="16" t="s">
        <v>17</v>
      </c>
      <c r="C745" s="16" t="s">
        <v>1288</v>
      </c>
      <c r="D745" s="16" t="s">
        <v>1487</v>
      </c>
      <c r="E745" s="17" t="s">
        <v>1488</v>
      </c>
      <c r="F745" s="16" t="n">
        <v>33.27069714</v>
      </c>
      <c r="G745" s="16" t="n">
        <v>44.51277003</v>
      </c>
      <c r="H745" s="18" t="n">
        <v>17</v>
      </c>
      <c r="I745" s="18" t="n">
        <v>102</v>
      </c>
      <c r="J745" s="19" t="n">
        <v>3</v>
      </c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 t="n">
        <v>14</v>
      </c>
      <c r="W745" s="19"/>
      <c r="X745" s="19"/>
      <c r="Y745" s="19"/>
      <c r="Z745" s="19"/>
      <c r="AA745" s="19"/>
      <c r="AB745" s="19"/>
      <c r="AC745" s="19" t="n">
        <v>7</v>
      </c>
      <c r="AD745" s="19"/>
      <c r="AE745" s="19"/>
      <c r="AF745" s="19"/>
      <c r="AG745" s="19"/>
      <c r="AH745" s="19" t="n">
        <v>10</v>
      </c>
      <c r="AI745" s="19"/>
      <c r="AJ745" s="19"/>
      <c r="AK745" s="19"/>
      <c r="AL745" s="19" t="n">
        <v>5</v>
      </c>
      <c r="AM745" s="19"/>
      <c r="AN745" s="19" t="n">
        <v>3</v>
      </c>
      <c r="AO745" s="19" t="n">
        <v>9</v>
      </c>
      <c r="AP745" s="19"/>
      <c r="AQ745" s="19"/>
      <c r="AR745" s="19"/>
      <c r="AS745" s="20" t="str">
        <f aca="false">HYPERLINK("http://www.openstreetmap.org/?mlat=33.2707&amp;mlon=44.5128&amp;zoom=12#map=12/33.2707/44.5128","Maplink1")</f>
        <v>Maplink1</v>
      </c>
      <c r="AT745" s="20" t="str">
        <f aca="false">HYPERLINK("https://www.google.iq/maps/search/+33.2707,44.5128/@33.2707,44.5128,14z?hl=en","Maplink2")</f>
        <v>Maplink2</v>
      </c>
      <c r="AU745" s="20" t="str">
        <f aca="false">HYPERLINK("http://www.bing.com/maps/?lvl=14&amp;sty=h&amp;cp=33.2707~44.5128&amp;sp=point.33.2707_44.5128","Maplink3")</f>
        <v>Maplink3</v>
      </c>
    </row>
    <row r="746" customFormat="false" ht="15" hidden="false" customHeight="true" outlineLevel="0" collapsed="false">
      <c r="A746" s="15" t="n">
        <v>22616</v>
      </c>
      <c r="B746" s="16" t="s">
        <v>17</v>
      </c>
      <c r="C746" s="16" t="s">
        <v>1288</v>
      </c>
      <c r="D746" s="16" t="s">
        <v>1489</v>
      </c>
      <c r="E746" s="17" t="s">
        <v>1490</v>
      </c>
      <c r="F746" s="16" t="n">
        <v>33.26810239</v>
      </c>
      <c r="G746" s="16" t="n">
        <v>44.49151799</v>
      </c>
      <c r="H746" s="18" t="n">
        <v>56</v>
      </c>
      <c r="I746" s="18" t="n">
        <v>336</v>
      </c>
      <c r="J746" s="19" t="n">
        <v>15</v>
      </c>
      <c r="K746" s="19"/>
      <c r="L746" s="19"/>
      <c r="M746" s="19"/>
      <c r="N746" s="19"/>
      <c r="O746" s="19" t="n">
        <v>4</v>
      </c>
      <c r="P746" s="19"/>
      <c r="Q746" s="19"/>
      <c r="R746" s="19"/>
      <c r="S746" s="19"/>
      <c r="T746" s="19"/>
      <c r="U746" s="19"/>
      <c r="V746" s="19" t="n">
        <v>29</v>
      </c>
      <c r="W746" s="19"/>
      <c r="X746" s="19" t="n">
        <v>8</v>
      </c>
      <c r="Y746" s="19"/>
      <c r="Z746" s="19"/>
      <c r="AA746" s="19"/>
      <c r="AB746" s="19"/>
      <c r="AC746" s="19" t="n">
        <v>20</v>
      </c>
      <c r="AD746" s="19"/>
      <c r="AE746" s="19"/>
      <c r="AF746" s="19"/>
      <c r="AG746" s="19"/>
      <c r="AH746" s="19" t="n">
        <v>36</v>
      </c>
      <c r="AI746" s="19"/>
      <c r="AJ746" s="19"/>
      <c r="AK746" s="19"/>
      <c r="AL746" s="19" t="n">
        <v>5</v>
      </c>
      <c r="AM746" s="19" t="n">
        <v>13</v>
      </c>
      <c r="AN746" s="19" t="n">
        <v>9</v>
      </c>
      <c r="AO746" s="19" t="n">
        <v>14</v>
      </c>
      <c r="AP746" s="19" t="n">
        <v>15</v>
      </c>
      <c r="AQ746" s="19"/>
      <c r="AR746" s="19"/>
      <c r="AS746" s="20" t="str">
        <f aca="false">HYPERLINK("http://www.openstreetmap.org/?mlat=33.2681&amp;mlon=44.4915&amp;zoom=12#map=12/33.2681/44.4915","Maplink1")</f>
        <v>Maplink1</v>
      </c>
      <c r="AT746" s="20" t="str">
        <f aca="false">HYPERLINK("https://www.google.iq/maps/search/+33.2681,44.4915/@33.2681,44.4915,14z?hl=en","Maplink2")</f>
        <v>Maplink2</v>
      </c>
      <c r="AU746" s="20" t="str">
        <f aca="false">HYPERLINK("http://www.bing.com/maps/?lvl=14&amp;sty=h&amp;cp=33.2681~44.4915&amp;sp=point.33.2681_44.4915","Maplink3")</f>
        <v>Maplink3</v>
      </c>
    </row>
    <row r="747" customFormat="false" ht="15" hidden="false" customHeight="true" outlineLevel="0" collapsed="false">
      <c r="A747" s="15" t="n">
        <v>22140</v>
      </c>
      <c r="B747" s="16" t="s">
        <v>17</v>
      </c>
      <c r="C747" s="16" t="s">
        <v>1288</v>
      </c>
      <c r="D747" s="16" t="s">
        <v>1491</v>
      </c>
      <c r="E747" s="17" t="s">
        <v>1492</v>
      </c>
      <c r="F747" s="16" t="n">
        <v>33.26878408</v>
      </c>
      <c r="G747" s="16" t="n">
        <v>44.49380179</v>
      </c>
      <c r="H747" s="18" t="n">
        <v>33</v>
      </c>
      <c r="I747" s="18" t="n">
        <v>198</v>
      </c>
      <c r="J747" s="19" t="n">
        <v>8</v>
      </c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 t="n">
        <v>22</v>
      </c>
      <c r="W747" s="19"/>
      <c r="X747" s="19" t="n">
        <v>3</v>
      </c>
      <c r="Y747" s="19"/>
      <c r="Z747" s="19"/>
      <c r="AA747" s="19"/>
      <c r="AB747" s="19"/>
      <c r="AC747" s="19" t="n">
        <v>9</v>
      </c>
      <c r="AD747" s="19"/>
      <c r="AE747" s="19"/>
      <c r="AF747" s="19"/>
      <c r="AG747" s="19" t="n">
        <v>15</v>
      </c>
      <c r="AH747" s="19" t="n">
        <v>9</v>
      </c>
      <c r="AI747" s="19"/>
      <c r="AJ747" s="19"/>
      <c r="AK747" s="19"/>
      <c r="AL747" s="19" t="n">
        <v>10</v>
      </c>
      <c r="AM747" s="19"/>
      <c r="AN747" s="19" t="n">
        <v>18</v>
      </c>
      <c r="AO747" s="19" t="n">
        <v>3</v>
      </c>
      <c r="AP747" s="19" t="n">
        <v>2</v>
      </c>
      <c r="AQ747" s="19"/>
      <c r="AR747" s="19"/>
      <c r="AS747" s="20" t="str">
        <f aca="false">HYPERLINK("http://www.openstreetmap.org/?mlat=33.2688&amp;mlon=44.4938&amp;zoom=12#map=12/33.2688/44.4938","Maplink1")</f>
        <v>Maplink1</v>
      </c>
      <c r="AT747" s="20" t="str">
        <f aca="false">HYPERLINK("https://www.google.iq/maps/search/+33.2688,44.4938/@33.2688,44.4938,14z?hl=en","Maplink2")</f>
        <v>Maplink2</v>
      </c>
      <c r="AU747" s="20" t="str">
        <f aca="false">HYPERLINK("http://www.bing.com/maps/?lvl=14&amp;sty=h&amp;cp=33.2688~44.4938&amp;sp=point.33.2688_44.4938","Maplink3")</f>
        <v>Maplink3</v>
      </c>
    </row>
    <row r="748" customFormat="false" ht="15" hidden="false" customHeight="true" outlineLevel="0" collapsed="false">
      <c r="A748" s="15" t="n">
        <v>24623</v>
      </c>
      <c r="B748" s="16" t="s">
        <v>17</v>
      </c>
      <c r="C748" s="16" t="s">
        <v>1288</v>
      </c>
      <c r="D748" s="16" t="s">
        <v>1493</v>
      </c>
      <c r="E748" s="17" t="s">
        <v>1494</v>
      </c>
      <c r="F748" s="16" t="n">
        <v>33.26395155</v>
      </c>
      <c r="G748" s="16" t="n">
        <v>44.49086311</v>
      </c>
      <c r="H748" s="18" t="n">
        <v>14</v>
      </c>
      <c r="I748" s="18" t="n">
        <v>84</v>
      </c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 t="n">
        <v>14</v>
      </c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 t="n">
        <v>14</v>
      </c>
      <c r="AI748" s="19"/>
      <c r="AJ748" s="19"/>
      <c r="AK748" s="19"/>
      <c r="AL748" s="19"/>
      <c r="AM748" s="19"/>
      <c r="AN748" s="19" t="n">
        <v>5</v>
      </c>
      <c r="AO748" s="19" t="n">
        <v>4</v>
      </c>
      <c r="AP748" s="19"/>
      <c r="AQ748" s="19"/>
      <c r="AR748" s="19" t="n">
        <v>5</v>
      </c>
      <c r="AS748" s="20" t="str">
        <f aca="false">HYPERLINK("http://www.openstreetmap.org/?mlat=33.264&amp;mlon=44.4909&amp;zoom=12#map=12/33.264/44.4909","Maplink1")</f>
        <v>Maplink1</v>
      </c>
      <c r="AT748" s="20" t="str">
        <f aca="false">HYPERLINK("https://www.google.iq/maps/search/+33.264,44.4909/@33.264,44.4909,14z?hl=en","Maplink2")</f>
        <v>Maplink2</v>
      </c>
      <c r="AU748" s="20" t="str">
        <f aca="false">HYPERLINK("http://www.bing.com/maps/?lvl=14&amp;sty=h&amp;cp=33.264~44.4909&amp;sp=point.33.264_44.4909","Maplink3")</f>
        <v>Maplink3</v>
      </c>
    </row>
    <row r="749" customFormat="false" ht="15" hidden="false" customHeight="true" outlineLevel="0" collapsed="false">
      <c r="A749" s="15" t="n">
        <v>22248</v>
      </c>
      <c r="B749" s="16" t="s">
        <v>17</v>
      </c>
      <c r="C749" s="16" t="s">
        <v>1288</v>
      </c>
      <c r="D749" s="16" t="s">
        <v>1495</v>
      </c>
      <c r="E749" s="17" t="s">
        <v>1496</v>
      </c>
      <c r="F749" s="16" t="n">
        <v>33.26169758</v>
      </c>
      <c r="G749" s="16" t="n">
        <v>44.49624575</v>
      </c>
      <c r="H749" s="18" t="n">
        <v>48</v>
      </c>
      <c r="I749" s="18" t="n">
        <v>288</v>
      </c>
      <c r="J749" s="19" t="n">
        <v>7</v>
      </c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 t="n">
        <v>35</v>
      </c>
      <c r="W749" s="19"/>
      <c r="X749" s="19" t="n">
        <v>6</v>
      </c>
      <c r="Y749" s="19"/>
      <c r="Z749" s="19"/>
      <c r="AA749" s="19"/>
      <c r="AB749" s="19"/>
      <c r="AC749" s="19" t="n">
        <v>22</v>
      </c>
      <c r="AD749" s="19"/>
      <c r="AE749" s="19"/>
      <c r="AF749" s="19"/>
      <c r="AG749" s="19"/>
      <c r="AH749" s="19" t="n">
        <v>26</v>
      </c>
      <c r="AI749" s="19"/>
      <c r="AJ749" s="19"/>
      <c r="AK749" s="19"/>
      <c r="AL749" s="19" t="n">
        <v>4</v>
      </c>
      <c r="AM749" s="19"/>
      <c r="AN749" s="19" t="n">
        <v>30</v>
      </c>
      <c r="AO749" s="19" t="n">
        <v>8</v>
      </c>
      <c r="AP749" s="19" t="n">
        <v>6</v>
      </c>
      <c r="AQ749" s="19"/>
      <c r="AR749" s="19"/>
      <c r="AS749" s="20" t="str">
        <f aca="false">HYPERLINK("http://www.openstreetmap.org/?mlat=33.2617&amp;mlon=44.4962&amp;zoom=12#map=12/33.2617/44.4962","Maplink1")</f>
        <v>Maplink1</v>
      </c>
      <c r="AT749" s="20" t="str">
        <f aca="false">HYPERLINK("https://www.google.iq/maps/search/+33.2617,44.4962/@33.2617,44.4962,14z?hl=en","Maplink2")</f>
        <v>Maplink2</v>
      </c>
      <c r="AU749" s="20" t="str">
        <f aca="false">HYPERLINK("http://www.bing.com/maps/?lvl=14&amp;sty=h&amp;cp=33.2617~44.4962&amp;sp=point.33.2617_44.4962","Maplink3")</f>
        <v>Maplink3</v>
      </c>
    </row>
    <row r="750" customFormat="false" ht="15" hidden="false" customHeight="true" outlineLevel="0" collapsed="false">
      <c r="A750" s="15" t="n">
        <v>25407</v>
      </c>
      <c r="B750" s="16" t="s">
        <v>17</v>
      </c>
      <c r="C750" s="16" t="s">
        <v>1288</v>
      </c>
      <c r="D750" s="16" t="s">
        <v>1497</v>
      </c>
      <c r="E750" s="17" t="s">
        <v>1498</v>
      </c>
      <c r="F750" s="16" t="n">
        <v>33.25274254</v>
      </c>
      <c r="G750" s="16" t="n">
        <v>44.49389063</v>
      </c>
      <c r="H750" s="18" t="n">
        <v>28</v>
      </c>
      <c r="I750" s="18" t="n">
        <v>168</v>
      </c>
      <c r="J750" s="19" t="n">
        <v>5</v>
      </c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 t="n">
        <v>22</v>
      </c>
      <c r="W750" s="19"/>
      <c r="X750" s="19" t="n">
        <v>1</v>
      </c>
      <c r="Y750" s="19"/>
      <c r="Z750" s="19"/>
      <c r="AA750" s="19"/>
      <c r="AB750" s="19"/>
      <c r="AC750" s="19" t="n">
        <v>6</v>
      </c>
      <c r="AD750" s="19"/>
      <c r="AE750" s="19"/>
      <c r="AF750" s="19"/>
      <c r="AG750" s="19" t="n">
        <v>15</v>
      </c>
      <c r="AH750" s="19" t="n">
        <v>7</v>
      </c>
      <c r="AI750" s="19"/>
      <c r="AJ750" s="19"/>
      <c r="AK750" s="19"/>
      <c r="AL750" s="19" t="n">
        <v>7</v>
      </c>
      <c r="AM750" s="19"/>
      <c r="AN750" s="19" t="n">
        <v>17</v>
      </c>
      <c r="AO750" s="19" t="n">
        <v>4</v>
      </c>
      <c r="AP750" s="19"/>
      <c r="AQ750" s="19"/>
      <c r="AR750" s="19"/>
      <c r="AS750" s="20" t="str">
        <f aca="false">HYPERLINK("http://www.openstreetmap.org/?mlat=33.2527&amp;mlon=44.4939&amp;zoom=12#map=12/33.2527/44.4939","Maplink1")</f>
        <v>Maplink1</v>
      </c>
      <c r="AT750" s="20" t="str">
        <f aca="false">HYPERLINK("https://www.google.iq/maps/search/+33.2527,44.4939/@33.2527,44.4939,14z?hl=en","Maplink2")</f>
        <v>Maplink2</v>
      </c>
      <c r="AU750" s="20" t="str">
        <f aca="false">HYPERLINK("http://www.bing.com/maps/?lvl=14&amp;sty=h&amp;cp=33.2527~44.4939&amp;sp=point.33.2527_44.4939","Maplink3")</f>
        <v>Maplink3</v>
      </c>
    </row>
    <row r="751" customFormat="false" ht="15" hidden="false" customHeight="true" outlineLevel="0" collapsed="false">
      <c r="A751" s="15" t="n">
        <v>24013</v>
      </c>
      <c r="B751" s="16" t="s">
        <v>17</v>
      </c>
      <c r="C751" s="16" t="s">
        <v>1288</v>
      </c>
      <c r="D751" s="16" t="s">
        <v>1499</v>
      </c>
      <c r="E751" s="17" t="s">
        <v>1500</v>
      </c>
      <c r="F751" s="16" t="n">
        <v>33.24722002</v>
      </c>
      <c r="G751" s="16" t="n">
        <v>44.49833905</v>
      </c>
      <c r="H751" s="18" t="n">
        <v>69</v>
      </c>
      <c r="I751" s="18" t="n">
        <v>414</v>
      </c>
      <c r="J751" s="19" t="n">
        <v>10</v>
      </c>
      <c r="K751" s="19"/>
      <c r="L751" s="19"/>
      <c r="M751" s="19"/>
      <c r="N751" s="19"/>
      <c r="O751" s="19" t="n">
        <v>12</v>
      </c>
      <c r="P751" s="19"/>
      <c r="Q751" s="19"/>
      <c r="R751" s="19"/>
      <c r="S751" s="19"/>
      <c r="T751" s="19"/>
      <c r="U751" s="19"/>
      <c r="V751" s="19" t="n">
        <v>39</v>
      </c>
      <c r="W751" s="19"/>
      <c r="X751" s="19" t="n">
        <v>8</v>
      </c>
      <c r="Y751" s="19"/>
      <c r="Z751" s="19"/>
      <c r="AA751" s="19"/>
      <c r="AB751" s="19"/>
      <c r="AC751" s="19" t="n">
        <v>44</v>
      </c>
      <c r="AD751" s="19"/>
      <c r="AE751" s="19"/>
      <c r="AF751" s="19"/>
      <c r="AG751" s="19"/>
      <c r="AH751" s="19" t="n">
        <v>25</v>
      </c>
      <c r="AI751" s="19"/>
      <c r="AJ751" s="19"/>
      <c r="AK751" s="19"/>
      <c r="AL751" s="19"/>
      <c r="AM751" s="19"/>
      <c r="AN751" s="19" t="n">
        <v>15</v>
      </c>
      <c r="AO751" s="19" t="n">
        <v>37</v>
      </c>
      <c r="AP751" s="19" t="n">
        <v>17</v>
      </c>
      <c r="AQ751" s="19"/>
      <c r="AR751" s="19"/>
      <c r="AS751" s="20" t="str">
        <f aca="false">HYPERLINK("http://www.openstreetmap.org/?mlat=33.2472&amp;mlon=44.4983&amp;zoom=12#map=12/33.2472/44.4983","Maplink1")</f>
        <v>Maplink1</v>
      </c>
      <c r="AT751" s="20" t="str">
        <f aca="false">HYPERLINK("https://www.google.iq/maps/search/+33.2472,44.4983/@33.2472,44.4983,14z?hl=en","Maplink2")</f>
        <v>Maplink2</v>
      </c>
      <c r="AU751" s="20" t="str">
        <f aca="false">HYPERLINK("http://www.bing.com/maps/?lvl=14&amp;sty=h&amp;cp=33.2472~44.4983&amp;sp=point.33.2472_44.4983","Maplink3")</f>
        <v>Maplink3</v>
      </c>
    </row>
    <row r="752" customFormat="false" ht="15" hidden="false" customHeight="true" outlineLevel="0" collapsed="false">
      <c r="A752" s="15" t="n">
        <v>24012</v>
      </c>
      <c r="B752" s="16" t="s">
        <v>17</v>
      </c>
      <c r="C752" s="16" t="s">
        <v>1288</v>
      </c>
      <c r="D752" s="16" t="s">
        <v>1501</v>
      </c>
      <c r="E752" s="17" t="s">
        <v>1502</v>
      </c>
      <c r="F752" s="16" t="n">
        <v>33.23751907</v>
      </c>
      <c r="G752" s="16" t="n">
        <v>44.51136831</v>
      </c>
      <c r="H752" s="18" t="n">
        <v>54</v>
      </c>
      <c r="I752" s="18" t="n">
        <v>324</v>
      </c>
      <c r="J752" s="19" t="n">
        <v>11</v>
      </c>
      <c r="K752" s="19"/>
      <c r="L752" s="19"/>
      <c r="M752" s="19"/>
      <c r="N752" s="19"/>
      <c r="O752" s="19" t="n">
        <v>6</v>
      </c>
      <c r="P752" s="19"/>
      <c r="Q752" s="19"/>
      <c r="R752" s="19"/>
      <c r="S752" s="19"/>
      <c r="T752" s="19"/>
      <c r="U752" s="19"/>
      <c r="V752" s="19" t="n">
        <v>29</v>
      </c>
      <c r="W752" s="19"/>
      <c r="X752" s="19" t="n">
        <v>8</v>
      </c>
      <c r="Y752" s="19"/>
      <c r="Z752" s="19"/>
      <c r="AA752" s="19"/>
      <c r="AB752" s="19"/>
      <c r="AC752" s="19" t="n">
        <v>9</v>
      </c>
      <c r="AD752" s="19"/>
      <c r="AE752" s="19"/>
      <c r="AF752" s="19"/>
      <c r="AG752" s="19"/>
      <c r="AH752" s="19" t="n">
        <v>45</v>
      </c>
      <c r="AI752" s="19"/>
      <c r="AJ752" s="19"/>
      <c r="AK752" s="19"/>
      <c r="AL752" s="19" t="n">
        <v>11</v>
      </c>
      <c r="AM752" s="19"/>
      <c r="AN752" s="19" t="n">
        <v>16</v>
      </c>
      <c r="AO752" s="19" t="n">
        <v>22</v>
      </c>
      <c r="AP752" s="19" t="n">
        <v>5</v>
      </c>
      <c r="AQ752" s="19"/>
      <c r="AR752" s="19"/>
      <c r="AS752" s="20" t="str">
        <f aca="false">HYPERLINK("http://www.openstreetmap.org/?mlat=33.2375&amp;mlon=44.5114&amp;zoom=12#map=12/33.2375/44.5114","Maplink1")</f>
        <v>Maplink1</v>
      </c>
      <c r="AT752" s="20" t="str">
        <f aca="false">HYPERLINK("https://www.google.iq/maps/search/+33.2375,44.5114/@33.2375,44.5114,14z?hl=en","Maplink2")</f>
        <v>Maplink2</v>
      </c>
      <c r="AU752" s="20" t="str">
        <f aca="false">HYPERLINK("http://www.bing.com/maps/?lvl=14&amp;sty=h&amp;cp=33.2375~44.5114&amp;sp=point.33.2375_44.5114","Maplink3")</f>
        <v>Maplink3</v>
      </c>
    </row>
    <row r="753" customFormat="false" ht="15" hidden="false" customHeight="true" outlineLevel="0" collapsed="false">
      <c r="A753" s="15" t="n">
        <v>24014</v>
      </c>
      <c r="B753" s="16" t="s">
        <v>17</v>
      </c>
      <c r="C753" s="16" t="s">
        <v>1288</v>
      </c>
      <c r="D753" s="16" t="s">
        <v>1503</v>
      </c>
      <c r="E753" s="17" t="s">
        <v>1504</v>
      </c>
      <c r="F753" s="16" t="n">
        <v>33.25585341</v>
      </c>
      <c r="G753" s="16" t="n">
        <v>44.51986547</v>
      </c>
      <c r="H753" s="18" t="n">
        <v>10</v>
      </c>
      <c r="I753" s="18" t="n">
        <v>60</v>
      </c>
      <c r="J753" s="19" t="n">
        <v>4</v>
      </c>
      <c r="K753" s="19"/>
      <c r="L753" s="19"/>
      <c r="M753" s="19"/>
      <c r="N753" s="19"/>
      <c r="O753" s="19" t="n">
        <v>6</v>
      </c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 t="n">
        <v>3</v>
      </c>
      <c r="AD753" s="19"/>
      <c r="AE753" s="19"/>
      <c r="AF753" s="19"/>
      <c r="AG753" s="19"/>
      <c r="AH753" s="19" t="n">
        <v>7</v>
      </c>
      <c r="AI753" s="19"/>
      <c r="AJ753" s="19"/>
      <c r="AK753" s="19"/>
      <c r="AL753" s="19" t="n">
        <v>4</v>
      </c>
      <c r="AM753" s="19"/>
      <c r="AN753" s="19" t="n">
        <v>6</v>
      </c>
      <c r="AO753" s="19"/>
      <c r="AP753" s="19"/>
      <c r="AQ753" s="19"/>
      <c r="AR753" s="19"/>
      <c r="AS753" s="20" t="str">
        <f aca="false">HYPERLINK("http://www.openstreetmap.org/?mlat=33.2559&amp;mlon=44.5199&amp;zoom=12#map=12/33.2559/44.5199","Maplink1")</f>
        <v>Maplink1</v>
      </c>
      <c r="AT753" s="20" t="str">
        <f aca="false">HYPERLINK("https://www.google.iq/maps/search/+33.2559,44.5199/@33.2559,44.5199,14z?hl=en","Maplink2")</f>
        <v>Maplink2</v>
      </c>
      <c r="AU753" s="20" t="str">
        <f aca="false">HYPERLINK("http://www.bing.com/maps/?lvl=14&amp;sty=h&amp;cp=33.2559~44.5199&amp;sp=point.33.2559_44.5199","Maplink3")</f>
        <v>Maplink3</v>
      </c>
    </row>
    <row r="754" customFormat="false" ht="15" hidden="false" customHeight="true" outlineLevel="0" collapsed="false">
      <c r="A754" s="15" t="n">
        <v>23991</v>
      </c>
      <c r="B754" s="16" t="s">
        <v>17</v>
      </c>
      <c r="C754" s="16" t="s">
        <v>1288</v>
      </c>
      <c r="D754" s="16" t="s">
        <v>1505</v>
      </c>
      <c r="E754" s="17" t="s">
        <v>1506</v>
      </c>
      <c r="F754" s="16" t="n">
        <v>33.30774398</v>
      </c>
      <c r="G754" s="16" t="n">
        <v>44.46449236</v>
      </c>
      <c r="H754" s="18" t="n">
        <v>54</v>
      </c>
      <c r="I754" s="18" t="n">
        <v>324</v>
      </c>
      <c r="J754" s="19" t="n">
        <v>6</v>
      </c>
      <c r="K754" s="19"/>
      <c r="L754" s="19"/>
      <c r="M754" s="19"/>
      <c r="N754" s="19"/>
      <c r="O754" s="19" t="n">
        <v>8</v>
      </c>
      <c r="P754" s="19"/>
      <c r="Q754" s="19"/>
      <c r="R754" s="19"/>
      <c r="S754" s="19"/>
      <c r="T754" s="19"/>
      <c r="U754" s="19"/>
      <c r="V754" s="19" t="n">
        <v>35</v>
      </c>
      <c r="W754" s="19"/>
      <c r="X754" s="19" t="n">
        <v>5</v>
      </c>
      <c r="Y754" s="19"/>
      <c r="Z754" s="19"/>
      <c r="AA754" s="19"/>
      <c r="AB754" s="19"/>
      <c r="AC754" s="19" t="n">
        <v>15</v>
      </c>
      <c r="AD754" s="19"/>
      <c r="AE754" s="19"/>
      <c r="AF754" s="19"/>
      <c r="AG754" s="19" t="n">
        <v>25</v>
      </c>
      <c r="AH754" s="19" t="n">
        <v>14</v>
      </c>
      <c r="AI754" s="19"/>
      <c r="AJ754" s="19"/>
      <c r="AK754" s="19"/>
      <c r="AL754" s="19"/>
      <c r="AM754" s="19"/>
      <c r="AN754" s="19" t="n">
        <v>43</v>
      </c>
      <c r="AO754" s="19" t="n">
        <v>7</v>
      </c>
      <c r="AP754" s="19" t="n">
        <v>4</v>
      </c>
      <c r="AQ754" s="19"/>
      <c r="AR754" s="19"/>
      <c r="AS754" s="20" t="str">
        <f aca="false">HYPERLINK("http://www.openstreetmap.org/?mlat=33.3077&amp;mlon=44.4645&amp;zoom=12#map=12/33.3077/44.4645","Maplink1")</f>
        <v>Maplink1</v>
      </c>
      <c r="AT754" s="20" t="str">
        <f aca="false">HYPERLINK("https://www.google.iq/maps/search/+33.3077,44.4645/@33.3077,44.4645,14z?hl=en","Maplink2")</f>
        <v>Maplink2</v>
      </c>
      <c r="AU754" s="20" t="str">
        <f aca="false">HYPERLINK("http://www.bing.com/maps/?lvl=14&amp;sty=h&amp;cp=33.3077~44.4645&amp;sp=point.33.3077_44.4645","Maplink3")</f>
        <v>Maplink3</v>
      </c>
    </row>
    <row r="755" customFormat="false" ht="15" hidden="false" customHeight="true" outlineLevel="0" collapsed="false">
      <c r="A755" s="15" t="n">
        <v>23990</v>
      </c>
      <c r="B755" s="16" t="s">
        <v>17</v>
      </c>
      <c r="C755" s="16" t="s">
        <v>1288</v>
      </c>
      <c r="D755" s="16" t="s">
        <v>1507</v>
      </c>
      <c r="E755" s="17" t="s">
        <v>1508</v>
      </c>
      <c r="F755" s="16" t="n">
        <v>33.31361623</v>
      </c>
      <c r="G755" s="16" t="n">
        <v>44.47752989</v>
      </c>
      <c r="H755" s="18" t="n">
        <v>62</v>
      </c>
      <c r="I755" s="18" t="n">
        <v>372</v>
      </c>
      <c r="J755" s="19" t="n">
        <v>19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 t="n">
        <v>40</v>
      </c>
      <c r="W755" s="19"/>
      <c r="X755" s="19" t="n">
        <v>3</v>
      </c>
      <c r="Y755" s="19"/>
      <c r="Z755" s="19"/>
      <c r="AA755" s="19"/>
      <c r="AB755" s="19"/>
      <c r="AC755" s="19" t="n">
        <v>25</v>
      </c>
      <c r="AD755" s="19"/>
      <c r="AE755" s="19"/>
      <c r="AF755" s="19"/>
      <c r="AG755" s="19"/>
      <c r="AH755" s="19" t="n">
        <v>37</v>
      </c>
      <c r="AI755" s="19"/>
      <c r="AJ755" s="19"/>
      <c r="AK755" s="19"/>
      <c r="AL755" s="19" t="n">
        <v>4</v>
      </c>
      <c r="AM755" s="19"/>
      <c r="AN755" s="19" t="n">
        <v>40</v>
      </c>
      <c r="AO755" s="19" t="n">
        <v>8</v>
      </c>
      <c r="AP755" s="19" t="n">
        <v>10</v>
      </c>
      <c r="AQ755" s="19"/>
      <c r="AR755" s="19"/>
      <c r="AS755" s="20" t="str">
        <f aca="false">HYPERLINK("http://www.openstreetmap.org/?mlat=33.3136&amp;mlon=44.4775&amp;zoom=12#map=12/33.3136/44.4775","Maplink1")</f>
        <v>Maplink1</v>
      </c>
      <c r="AT755" s="20" t="str">
        <f aca="false">HYPERLINK("https://www.google.iq/maps/search/+33.3136,44.4775/@33.3136,44.4775,14z?hl=en","Maplink2")</f>
        <v>Maplink2</v>
      </c>
      <c r="AU755" s="20" t="str">
        <f aca="false">HYPERLINK("http://www.bing.com/maps/?lvl=14&amp;sty=h&amp;cp=33.3136~44.4775&amp;sp=point.33.3136_44.4775","Maplink3")</f>
        <v>Maplink3</v>
      </c>
    </row>
    <row r="756" customFormat="false" ht="15" hidden="false" customHeight="true" outlineLevel="0" collapsed="false">
      <c r="A756" s="15" t="n">
        <v>24226</v>
      </c>
      <c r="B756" s="16" t="s">
        <v>17</v>
      </c>
      <c r="C756" s="16" t="s">
        <v>1288</v>
      </c>
      <c r="D756" s="16" t="s">
        <v>1509</v>
      </c>
      <c r="E756" s="17" t="s">
        <v>1510</v>
      </c>
      <c r="F756" s="16" t="n">
        <v>33.31571702</v>
      </c>
      <c r="G756" s="16" t="n">
        <v>44.46848771</v>
      </c>
      <c r="H756" s="18" t="n">
        <v>22</v>
      </c>
      <c r="I756" s="18" t="n">
        <v>132</v>
      </c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 t="n">
        <v>20</v>
      </c>
      <c r="W756" s="19"/>
      <c r="X756" s="19" t="n">
        <v>2</v>
      </c>
      <c r="Y756" s="19"/>
      <c r="Z756" s="19"/>
      <c r="AA756" s="19"/>
      <c r="AB756" s="19"/>
      <c r="AC756" s="19" t="n">
        <v>17</v>
      </c>
      <c r="AD756" s="19"/>
      <c r="AE756" s="19"/>
      <c r="AF756" s="19"/>
      <c r="AG756" s="19"/>
      <c r="AH756" s="19" t="n">
        <v>5</v>
      </c>
      <c r="AI756" s="19"/>
      <c r="AJ756" s="19"/>
      <c r="AK756" s="19"/>
      <c r="AL756" s="19"/>
      <c r="AM756" s="19" t="n">
        <v>7</v>
      </c>
      <c r="AN756" s="19" t="n">
        <v>15</v>
      </c>
      <c r="AO756" s="19"/>
      <c r="AP756" s="19"/>
      <c r="AQ756" s="19"/>
      <c r="AR756" s="19"/>
      <c r="AS756" s="20" t="str">
        <f aca="false">HYPERLINK("http://www.openstreetmap.org/?mlat=33.3157&amp;mlon=44.4685&amp;zoom=12#map=12/33.3157/44.4685","Maplink1")</f>
        <v>Maplink1</v>
      </c>
      <c r="AT756" s="20" t="str">
        <f aca="false">HYPERLINK("https://www.google.iq/maps/search/+33.3157,44.4685/@33.3157,44.4685,14z?hl=en","Maplink2")</f>
        <v>Maplink2</v>
      </c>
      <c r="AU756" s="20" t="str">
        <f aca="false">HYPERLINK("http://www.bing.com/maps/?lvl=14&amp;sty=h&amp;cp=33.3157~44.4685&amp;sp=point.33.3157_44.4685","Maplink3")</f>
        <v>Maplink3</v>
      </c>
    </row>
    <row r="757" customFormat="false" ht="15" hidden="false" customHeight="true" outlineLevel="0" collapsed="false">
      <c r="A757" s="15" t="n">
        <v>25969</v>
      </c>
      <c r="B757" s="16" t="s">
        <v>17</v>
      </c>
      <c r="C757" s="16" t="s">
        <v>1288</v>
      </c>
      <c r="D757" s="16" t="s">
        <v>1511</v>
      </c>
      <c r="E757" s="17" t="s">
        <v>1512</v>
      </c>
      <c r="F757" s="16" t="n">
        <v>33.31793319</v>
      </c>
      <c r="G757" s="16" t="n">
        <v>44.4452111</v>
      </c>
      <c r="H757" s="18" t="n">
        <v>143</v>
      </c>
      <c r="I757" s="18" t="n">
        <v>858</v>
      </c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 t="n">
        <v>143</v>
      </c>
      <c r="W757" s="19"/>
      <c r="X757" s="19"/>
      <c r="Y757" s="19"/>
      <c r="Z757" s="19"/>
      <c r="AA757" s="19"/>
      <c r="AB757" s="19" t="n">
        <v>143</v>
      </c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 t="n">
        <v>143</v>
      </c>
      <c r="AO757" s="19"/>
      <c r="AP757" s="19"/>
      <c r="AQ757" s="19"/>
      <c r="AR757" s="19"/>
      <c r="AS757" s="20" t="str">
        <f aca="false">HYPERLINK("http://www.openstreetmap.org/?mlat=33.3179&amp;mlon=44.4452&amp;zoom=12#map=12/33.3179/44.4452","Maplink1")</f>
        <v>Maplink1</v>
      </c>
      <c r="AT757" s="20" t="str">
        <f aca="false">HYPERLINK("https://www.google.iq/maps/search/+33.3179,44.4452/@33.3179,44.4452,14z?hl=en","Maplink2")</f>
        <v>Maplink2</v>
      </c>
      <c r="AU757" s="20" t="str">
        <f aca="false">HYPERLINK("http://www.bing.com/maps/?lvl=14&amp;sty=h&amp;cp=33.3179~44.4452&amp;sp=point.33.3179_44.4452","Maplink3")</f>
        <v>Maplink3</v>
      </c>
    </row>
    <row r="758" customFormat="false" ht="15" hidden="false" customHeight="true" outlineLevel="0" collapsed="false">
      <c r="A758" s="15" t="n">
        <v>28396</v>
      </c>
      <c r="B758" s="16" t="s">
        <v>17</v>
      </c>
      <c r="C758" s="16" t="s">
        <v>1513</v>
      </c>
      <c r="D758" s="16" t="s">
        <v>1514</v>
      </c>
      <c r="E758" s="17" t="s">
        <v>1515</v>
      </c>
      <c r="F758" s="16" t="n">
        <v>33.50422</v>
      </c>
      <c r="G758" s="16" t="n">
        <v>44.19709</v>
      </c>
      <c r="H758" s="18" t="n">
        <v>10</v>
      </c>
      <c r="I758" s="18" t="n">
        <v>60</v>
      </c>
      <c r="J758" s="19" t="n">
        <v>10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 t="n">
        <v>3</v>
      </c>
      <c r="AD758" s="19"/>
      <c r="AE758" s="19"/>
      <c r="AF758" s="19"/>
      <c r="AG758" s="19"/>
      <c r="AH758" s="19" t="n">
        <v>7</v>
      </c>
      <c r="AI758" s="19"/>
      <c r="AJ758" s="19"/>
      <c r="AK758" s="19"/>
      <c r="AL758" s="19"/>
      <c r="AM758" s="19"/>
      <c r="AN758" s="19"/>
      <c r="AO758" s="19" t="n">
        <v>10</v>
      </c>
      <c r="AP758" s="19"/>
      <c r="AQ758" s="19"/>
      <c r="AR758" s="19"/>
      <c r="AS758" s="20" t="str">
        <f aca="false">HYPERLINK("http://www.openstreetmap.org/?mlat=33.5042&amp;mlon=44.1971&amp;zoom=12#map=12/33.5042/44.1971","Maplink1")</f>
        <v>Maplink1</v>
      </c>
      <c r="AT758" s="20" t="str">
        <f aca="false">HYPERLINK("https://www.google.iq/maps/search/+33.5042,44.1971/@33.5042,44.1971,14z?hl=en","Maplink2")</f>
        <v>Maplink2</v>
      </c>
      <c r="AU758" s="20" t="str">
        <f aca="false">HYPERLINK("http://www.bing.com/maps/?lvl=14&amp;sty=h&amp;cp=33.5042~44.1971&amp;sp=point.33.5042_44.1971","Maplink3")</f>
        <v>Maplink3</v>
      </c>
    </row>
    <row r="759" customFormat="false" ht="15" hidden="false" customHeight="true" outlineLevel="0" collapsed="false">
      <c r="A759" s="15" t="n">
        <v>28398</v>
      </c>
      <c r="B759" s="16" t="s">
        <v>17</v>
      </c>
      <c r="C759" s="16" t="s">
        <v>1513</v>
      </c>
      <c r="D759" s="16" t="s">
        <v>1516</v>
      </c>
      <c r="E759" s="17" t="s">
        <v>1517</v>
      </c>
      <c r="F759" s="16" t="n">
        <v>33.57572</v>
      </c>
      <c r="G759" s="16" t="n">
        <v>44.16779</v>
      </c>
      <c r="H759" s="18" t="n">
        <v>30</v>
      </c>
      <c r="I759" s="18" t="n">
        <v>180</v>
      </c>
      <c r="J759" s="19" t="n">
        <v>30</v>
      </c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 t="n">
        <v>20</v>
      </c>
      <c r="AD759" s="19"/>
      <c r="AE759" s="19"/>
      <c r="AF759" s="19"/>
      <c r="AG759" s="19"/>
      <c r="AH759" s="19" t="n">
        <v>10</v>
      </c>
      <c r="AI759" s="19"/>
      <c r="AJ759" s="19"/>
      <c r="AK759" s="19"/>
      <c r="AL759" s="19"/>
      <c r="AM759" s="19"/>
      <c r="AN759" s="19"/>
      <c r="AO759" s="19"/>
      <c r="AP759" s="19" t="n">
        <v>22</v>
      </c>
      <c r="AQ759" s="19" t="n">
        <v>8</v>
      </c>
      <c r="AR759" s="19"/>
      <c r="AS759" s="20" t="str">
        <f aca="false">HYPERLINK("http://www.openstreetmap.org/?mlat=33.5757&amp;mlon=44.1678&amp;zoom=12#map=12/33.5757/44.1678","Maplink1")</f>
        <v>Maplink1</v>
      </c>
      <c r="AT759" s="20" t="str">
        <f aca="false">HYPERLINK("https://www.google.iq/maps/search/+33.5757,44.1678/@33.5757,44.1678,14z?hl=en","Maplink2")</f>
        <v>Maplink2</v>
      </c>
      <c r="AU759" s="20" t="str">
        <f aca="false">HYPERLINK("http://www.bing.com/maps/?lvl=14&amp;sty=h&amp;cp=33.5757~44.1678&amp;sp=point.33.5757_44.1678","Maplink3")</f>
        <v>Maplink3</v>
      </c>
    </row>
    <row r="760" customFormat="false" ht="15" hidden="false" customHeight="true" outlineLevel="0" collapsed="false">
      <c r="A760" s="15" t="n">
        <v>23619</v>
      </c>
      <c r="B760" s="16" t="s">
        <v>17</v>
      </c>
      <c r="C760" s="16" t="s">
        <v>1513</v>
      </c>
      <c r="D760" s="16" t="s">
        <v>1518</v>
      </c>
      <c r="E760" s="17" t="s">
        <v>1519</v>
      </c>
      <c r="F760" s="16" t="n">
        <v>33.49652796</v>
      </c>
      <c r="G760" s="16" t="n">
        <v>44.24454194</v>
      </c>
      <c r="H760" s="18" t="n">
        <v>70</v>
      </c>
      <c r="I760" s="18" t="n">
        <v>420</v>
      </c>
      <c r="J760" s="19" t="n">
        <v>58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 t="n">
        <v>12</v>
      </c>
      <c r="Y760" s="19"/>
      <c r="Z760" s="19"/>
      <c r="AA760" s="19"/>
      <c r="AB760" s="19"/>
      <c r="AC760" s="19" t="n">
        <v>20</v>
      </c>
      <c r="AD760" s="19"/>
      <c r="AE760" s="19"/>
      <c r="AF760" s="19"/>
      <c r="AG760" s="19"/>
      <c r="AH760" s="19" t="n">
        <v>50</v>
      </c>
      <c r="AI760" s="19"/>
      <c r="AJ760" s="19"/>
      <c r="AK760" s="19"/>
      <c r="AL760" s="19" t="n">
        <v>29</v>
      </c>
      <c r="AM760" s="19"/>
      <c r="AN760" s="19"/>
      <c r="AO760" s="19" t="n">
        <v>12</v>
      </c>
      <c r="AP760" s="19" t="n">
        <v>21</v>
      </c>
      <c r="AQ760" s="19" t="n">
        <v>8</v>
      </c>
      <c r="AR760" s="19"/>
      <c r="AS760" s="20" t="str">
        <f aca="false">HYPERLINK("http://www.openstreetmap.org/?mlat=33.4965&amp;mlon=44.2445&amp;zoom=12#map=12/33.4965/44.2445","Maplink1")</f>
        <v>Maplink1</v>
      </c>
      <c r="AT760" s="20" t="str">
        <f aca="false">HYPERLINK("https://www.google.iq/maps/search/+33.4965,44.2445/@33.4965,44.2445,14z?hl=en","Maplink2")</f>
        <v>Maplink2</v>
      </c>
      <c r="AU760" s="20" t="str">
        <f aca="false">HYPERLINK("http://www.bing.com/maps/?lvl=14&amp;sty=h&amp;cp=33.4965~44.2445&amp;sp=point.33.4965_44.2445","Maplink3")</f>
        <v>Maplink3</v>
      </c>
    </row>
    <row r="761" customFormat="false" ht="15" hidden="false" customHeight="true" outlineLevel="0" collapsed="false">
      <c r="A761" s="15" t="n">
        <v>25193</v>
      </c>
      <c r="B761" s="16" t="s">
        <v>17</v>
      </c>
      <c r="C761" s="16" t="s">
        <v>1513</v>
      </c>
      <c r="D761" s="16" t="s">
        <v>1520</v>
      </c>
      <c r="E761" s="17" t="s">
        <v>1521</v>
      </c>
      <c r="F761" s="16" t="n">
        <v>33.4532</v>
      </c>
      <c r="G761" s="16" t="n">
        <v>44.2376</v>
      </c>
      <c r="H761" s="18" t="n">
        <v>13</v>
      </c>
      <c r="I761" s="18" t="n">
        <v>78</v>
      </c>
      <c r="J761" s="19" t="n">
        <v>13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 t="n">
        <v>5</v>
      </c>
      <c r="AD761" s="19"/>
      <c r="AE761" s="19"/>
      <c r="AF761" s="19"/>
      <c r="AG761" s="19"/>
      <c r="AH761" s="19" t="n">
        <v>8</v>
      </c>
      <c r="AI761" s="19"/>
      <c r="AJ761" s="19"/>
      <c r="AK761" s="19"/>
      <c r="AL761" s="19"/>
      <c r="AM761" s="19"/>
      <c r="AN761" s="19"/>
      <c r="AO761" s="19" t="n">
        <v>13</v>
      </c>
      <c r="AP761" s="19"/>
      <c r="AQ761" s="19"/>
      <c r="AR761" s="19"/>
      <c r="AS761" s="20" t="str">
        <f aca="false">HYPERLINK("http://www.openstreetmap.org/?mlat=33.4532&amp;mlon=44.2376&amp;zoom=12#map=12/33.4532/44.2376","Maplink1")</f>
        <v>Maplink1</v>
      </c>
      <c r="AT761" s="20" t="str">
        <f aca="false">HYPERLINK("https://www.google.iq/maps/search/+33.4532,44.2376/@33.4532,44.2376,14z?hl=en","Maplink2")</f>
        <v>Maplink2</v>
      </c>
      <c r="AU761" s="20" t="str">
        <f aca="false">HYPERLINK("http://www.bing.com/maps/?lvl=14&amp;sty=h&amp;cp=33.4532~44.2376&amp;sp=point.33.4532_44.2376","Maplink3")</f>
        <v>Maplink3</v>
      </c>
    </row>
    <row r="762" customFormat="false" ht="15" hidden="false" customHeight="true" outlineLevel="0" collapsed="false">
      <c r="A762" s="15" t="n">
        <v>27413</v>
      </c>
      <c r="B762" s="16" t="s">
        <v>17</v>
      </c>
      <c r="C762" s="16" t="s">
        <v>1513</v>
      </c>
      <c r="D762" s="16" t="s">
        <v>1522</v>
      </c>
      <c r="E762" s="17" t="s">
        <v>1523</v>
      </c>
      <c r="F762" s="16" t="n">
        <v>33.4371653</v>
      </c>
      <c r="G762" s="16" t="n">
        <v>44.2539638</v>
      </c>
      <c r="H762" s="18" t="n">
        <v>170</v>
      </c>
      <c r="I762" s="18" t="n">
        <v>1020</v>
      </c>
      <c r="J762" s="19" t="n">
        <v>105</v>
      </c>
      <c r="K762" s="19"/>
      <c r="L762" s="19" t="n">
        <v>6</v>
      </c>
      <c r="M762" s="19"/>
      <c r="N762" s="19"/>
      <c r="O762" s="19"/>
      <c r="P762" s="19"/>
      <c r="Q762" s="19"/>
      <c r="R762" s="19" t="n">
        <v>1</v>
      </c>
      <c r="S762" s="19"/>
      <c r="T762" s="19"/>
      <c r="U762" s="19"/>
      <c r="V762" s="19"/>
      <c r="W762" s="19"/>
      <c r="X762" s="19" t="n">
        <v>58</v>
      </c>
      <c r="Y762" s="19"/>
      <c r="Z762" s="19"/>
      <c r="AA762" s="19"/>
      <c r="AB762" s="19"/>
      <c r="AC762" s="19" t="n">
        <v>51</v>
      </c>
      <c r="AD762" s="19"/>
      <c r="AE762" s="19" t="n">
        <v>35</v>
      </c>
      <c r="AF762" s="19"/>
      <c r="AG762" s="19"/>
      <c r="AH762" s="19" t="n">
        <v>79</v>
      </c>
      <c r="AI762" s="19"/>
      <c r="AJ762" s="19" t="n">
        <v>5</v>
      </c>
      <c r="AK762" s="19"/>
      <c r="AL762" s="19"/>
      <c r="AM762" s="19" t="n">
        <v>24</v>
      </c>
      <c r="AN762" s="19" t="n">
        <v>73</v>
      </c>
      <c r="AO762" s="19" t="n">
        <v>11</v>
      </c>
      <c r="AP762" s="19" t="n">
        <v>59</v>
      </c>
      <c r="AQ762" s="19" t="n">
        <v>3</v>
      </c>
      <c r="AR762" s="19"/>
      <c r="AS762" s="20" t="str">
        <f aca="false">HYPERLINK("http://www.openstreetmap.org/?mlat=33.4372&amp;mlon=44.254&amp;zoom=12#map=12/33.4372/44.254","Maplink1")</f>
        <v>Maplink1</v>
      </c>
      <c r="AT762" s="20" t="str">
        <f aca="false">HYPERLINK("https://www.google.iq/maps/search/+33.4372,44.254/@33.4372,44.254,14z?hl=en","Maplink2")</f>
        <v>Maplink2</v>
      </c>
      <c r="AU762" s="20" t="str">
        <f aca="false">HYPERLINK("http://www.bing.com/maps/?lvl=14&amp;sty=h&amp;cp=33.4372~44.254&amp;sp=point.33.4372_44.254","Maplink3")</f>
        <v>Maplink3</v>
      </c>
    </row>
    <row r="763" customFormat="false" ht="15" hidden="false" customHeight="true" outlineLevel="0" collapsed="false">
      <c r="A763" s="15" t="n">
        <v>27414</v>
      </c>
      <c r="B763" s="16" t="s">
        <v>17</v>
      </c>
      <c r="C763" s="16" t="s">
        <v>1513</v>
      </c>
      <c r="D763" s="16" t="s">
        <v>1524</v>
      </c>
      <c r="E763" s="17" t="s">
        <v>1525</v>
      </c>
      <c r="F763" s="16" t="n">
        <v>33.40264687</v>
      </c>
      <c r="G763" s="16" t="n">
        <v>44.29316656</v>
      </c>
      <c r="H763" s="18" t="n">
        <v>188</v>
      </c>
      <c r="I763" s="18" t="n">
        <v>1128</v>
      </c>
      <c r="J763" s="19" t="n">
        <v>172</v>
      </c>
      <c r="K763" s="19"/>
      <c r="L763" s="19" t="n">
        <v>2</v>
      </c>
      <c r="M763" s="19"/>
      <c r="N763" s="19"/>
      <c r="O763" s="19"/>
      <c r="P763" s="19"/>
      <c r="Q763" s="19"/>
      <c r="R763" s="19"/>
      <c r="S763" s="19"/>
      <c r="T763" s="19"/>
      <c r="U763" s="19"/>
      <c r="V763" s="19" t="n">
        <v>1</v>
      </c>
      <c r="W763" s="19"/>
      <c r="X763" s="19" t="n">
        <v>13</v>
      </c>
      <c r="Y763" s="19"/>
      <c r="Z763" s="19"/>
      <c r="AA763" s="19"/>
      <c r="AB763" s="19"/>
      <c r="AC763" s="19" t="n">
        <v>60</v>
      </c>
      <c r="AD763" s="19"/>
      <c r="AE763" s="19"/>
      <c r="AF763" s="19"/>
      <c r="AG763" s="19"/>
      <c r="AH763" s="19" t="n">
        <v>103</v>
      </c>
      <c r="AI763" s="19"/>
      <c r="AJ763" s="19" t="n">
        <v>25</v>
      </c>
      <c r="AK763" s="19"/>
      <c r="AL763" s="19" t="n">
        <v>47</v>
      </c>
      <c r="AM763" s="19" t="n">
        <v>38</v>
      </c>
      <c r="AN763" s="19" t="n">
        <v>32</v>
      </c>
      <c r="AO763" s="19" t="n">
        <v>17</v>
      </c>
      <c r="AP763" s="19" t="n">
        <v>51</v>
      </c>
      <c r="AQ763" s="19" t="n">
        <v>3</v>
      </c>
      <c r="AR763" s="19"/>
      <c r="AS763" s="20" t="str">
        <f aca="false">HYPERLINK("http://www.openstreetmap.org/?mlat=33.4026&amp;mlon=44.2932&amp;zoom=12#map=12/33.4026/44.2932","Maplink1")</f>
        <v>Maplink1</v>
      </c>
      <c r="AT763" s="20" t="str">
        <f aca="false">HYPERLINK("https://www.google.iq/maps/search/+33.4026,44.2932/@33.4026,44.2932,14z?hl=en","Maplink2")</f>
        <v>Maplink2</v>
      </c>
      <c r="AU763" s="20" t="str">
        <f aca="false">HYPERLINK("http://www.bing.com/maps/?lvl=14&amp;sty=h&amp;cp=33.4026~44.2932&amp;sp=point.33.4026_44.2932","Maplink3")</f>
        <v>Maplink3</v>
      </c>
    </row>
    <row r="764" customFormat="false" ht="15" hidden="false" customHeight="true" outlineLevel="0" collapsed="false">
      <c r="A764" s="15" t="n">
        <v>27415</v>
      </c>
      <c r="B764" s="16" t="s">
        <v>17</v>
      </c>
      <c r="C764" s="16" t="s">
        <v>1513</v>
      </c>
      <c r="D764" s="16" t="s">
        <v>1526</v>
      </c>
      <c r="E764" s="17" t="s">
        <v>1527</v>
      </c>
      <c r="F764" s="16" t="n">
        <v>33.44459771</v>
      </c>
      <c r="G764" s="16" t="n">
        <v>44.25475343</v>
      </c>
      <c r="H764" s="18" t="n">
        <v>65</v>
      </c>
      <c r="I764" s="18" t="n">
        <v>390</v>
      </c>
      <c r="J764" s="19" t="n">
        <v>31</v>
      </c>
      <c r="K764" s="19"/>
      <c r="L764" s="19" t="n">
        <v>4</v>
      </c>
      <c r="M764" s="19"/>
      <c r="N764" s="19"/>
      <c r="O764" s="19"/>
      <c r="P764" s="19"/>
      <c r="Q764" s="19"/>
      <c r="R764" s="19" t="n">
        <v>3</v>
      </c>
      <c r="S764" s="19"/>
      <c r="T764" s="19"/>
      <c r="U764" s="19"/>
      <c r="V764" s="19"/>
      <c r="W764" s="19"/>
      <c r="X764" s="19" t="n">
        <v>27</v>
      </c>
      <c r="Y764" s="19"/>
      <c r="Z764" s="19"/>
      <c r="AA764" s="19"/>
      <c r="AB764" s="19"/>
      <c r="AC764" s="19" t="n">
        <v>20</v>
      </c>
      <c r="AD764" s="19"/>
      <c r="AE764" s="19"/>
      <c r="AF764" s="19"/>
      <c r="AG764" s="19"/>
      <c r="AH764" s="19" t="n">
        <v>45</v>
      </c>
      <c r="AI764" s="19"/>
      <c r="AJ764" s="19"/>
      <c r="AK764" s="19"/>
      <c r="AL764" s="19" t="n">
        <v>15</v>
      </c>
      <c r="AM764" s="19"/>
      <c r="AN764" s="19"/>
      <c r="AO764" s="19" t="n">
        <v>25</v>
      </c>
      <c r="AP764" s="19" t="n">
        <v>20</v>
      </c>
      <c r="AQ764" s="19" t="n">
        <v>5</v>
      </c>
      <c r="AR764" s="19"/>
      <c r="AS764" s="20" t="str">
        <f aca="false">HYPERLINK("http://www.openstreetmap.org/?mlat=33.4446&amp;mlon=44.2548&amp;zoom=12#map=12/33.4446/44.2548","Maplink1")</f>
        <v>Maplink1</v>
      </c>
      <c r="AT764" s="20" t="str">
        <f aca="false">HYPERLINK("https://www.google.iq/maps/search/+33.4446,44.2548/@33.4446,44.2548,14z?hl=en","Maplink2")</f>
        <v>Maplink2</v>
      </c>
      <c r="AU764" s="20" t="str">
        <f aca="false">HYPERLINK("http://www.bing.com/maps/?lvl=14&amp;sty=h&amp;cp=33.4446~44.2548&amp;sp=point.33.4446_44.2548","Maplink3")</f>
        <v>Maplink3</v>
      </c>
    </row>
    <row r="765" customFormat="false" ht="15" hidden="false" customHeight="true" outlineLevel="0" collapsed="false">
      <c r="A765" s="15" t="n">
        <v>24660</v>
      </c>
      <c r="B765" s="16" t="s">
        <v>17</v>
      </c>
      <c r="C765" s="16" t="s">
        <v>1513</v>
      </c>
      <c r="D765" s="16" t="s">
        <v>1528</v>
      </c>
      <c r="E765" s="17" t="s">
        <v>1529</v>
      </c>
      <c r="F765" s="16" t="n">
        <v>33.35106684</v>
      </c>
      <c r="G765" s="16" t="n">
        <v>44.3624095</v>
      </c>
      <c r="H765" s="18" t="n">
        <v>18</v>
      </c>
      <c r="I765" s="18" t="n">
        <v>108</v>
      </c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 t="n">
        <v>12</v>
      </c>
      <c r="W765" s="19"/>
      <c r="X765" s="19" t="n">
        <v>6</v>
      </c>
      <c r="Y765" s="19"/>
      <c r="Z765" s="19"/>
      <c r="AA765" s="19"/>
      <c r="AB765" s="19"/>
      <c r="AC765" s="19" t="n">
        <v>10</v>
      </c>
      <c r="AD765" s="19"/>
      <c r="AE765" s="19"/>
      <c r="AF765" s="19"/>
      <c r="AG765" s="19"/>
      <c r="AH765" s="19" t="n">
        <v>8</v>
      </c>
      <c r="AI765" s="19"/>
      <c r="AJ765" s="19"/>
      <c r="AK765" s="19"/>
      <c r="AL765" s="19"/>
      <c r="AM765" s="19"/>
      <c r="AN765" s="19"/>
      <c r="AO765" s="19" t="n">
        <v>18</v>
      </c>
      <c r="AP765" s="19"/>
      <c r="AQ765" s="19"/>
      <c r="AR765" s="19"/>
      <c r="AS765" s="20" t="str">
        <f aca="false">HYPERLINK("http://www.openstreetmap.org/?mlat=33.3511&amp;mlon=44.3624&amp;zoom=12#map=12/33.3511/44.3624","Maplink1")</f>
        <v>Maplink1</v>
      </c>
      <c r="AT765" s="20" t="str">
        <f aca="false">HYPERLINK("https://www.google.iq/maps/search/+33.3511,44.3624/@33.3511,44.3624,14z?hl=en","Maplink2")</f>
        <v>Maplink2</v>
      </c>
      <c r="AU765" s="20" t="str">
        <f aca="false">HYPERLINK("http://www.bing.com/maps/?lvl=14&amp;sty=h&amp;cp=33.3511~44.3624&amp;sp=point.33.3511_44.3624","Maplink3")</f>
        <v>Maplink3</v>
      </c>
    </row>
    <row r="766" customFormat="false" ht="15" hidden="false" customHeight="true" outlineLevel="0" collapsed="false">
      <c r="A766" s="15" t="n">
        <v>24773</v>
      </c>
      <c r="B766" s="16" t="s">
        <v>17</v>
      </c>
      <c r="C766" s="16" t="s">
        <v>1513</v>
      </c>
      <c r="D766" s="16" t="s">
        <v>1530</v>
      </c>
      <c r="E766" s="17" t="s">
        <v>1531</v>
      </c>
      <c r="F766" s="16" t="n">
        <v>33.3538169</v>
      </c>
      <c r="G766" s="16" t="n">
        <v>44.36236558</v>
      </c>
      <c r="H766" s="18" t="n">
        <v>10</v>
      </c>
      <c r="I766" s="18" t="n">
        <v>60</v>
      </c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 t="n">
        <v>10</v>
      </c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 t="n">
        <v>10</v>
      </c>
      <c r="AI766" s="19"/>
      <c r="AJ766" s="19"/>
      <c r="AK766" s="19"/>
      <c r="AL766" s="19"/>
      <c r="AM766" s="19"/>
      <c r="AN766" s="19"/>
      <c r="AO766" s="19" t="n">
        <v>10</v>
      </c>
      <c r="AP766" s="19"/>
      <c r="AQ766" s="19"/>
      <c r="AR766" s="19"/>
      <c r="AS766" s="20" t="str">
        <f aca="false">HYPERLINK("http://www.openstreetmap.org/?mlat=33.3538&amp;mlon=44.3624&amp;zoom=12#map=12/33.3538/44.3624","Maplink1")</f>
        <v>Maplink1</v>
      </c>
      <c r="AT766" s="20" t="str">
        <f aca="false">HYPERLINK("https://www.google.iq/maps/search/+33.3538,44.3624/@33.3538,44.3624,14z?hl=en","Maplink2")</f>
        <v>Maplink2</v>
      </c>
      <c r="AU766" s="20" t="str">
        <f aca="false">HYPERLINK("http://www.bing.com/maps/?lvl=14&amp;sty=h&amp;cp=33.3538~44.3624&amp;sp=point.33.3538_44.3624","Maplink3")</f>
        <v>Maplink3</v>
      </c>
    </row>
    <row r="767" customFormat="false" ht="15" hidden="false" customHeight="true" outlineLevel="0" collapsed="false">
      <c r="A767" s="15" t="n">
        <v>25196</v>
      </c>
      <c r="B767" s="16" t="s">
        <v>17</v>
      </c>
      <c r="C767" s="16" t="s">
        <v>1513</v>
      </c>
      <c r="D767" s="16" t="s">
        <v>1532</v>
      </c>
      <c r="E767" s="17" t="s">
        <v>1533</v>
      </c>
      <c r="F767" s="16" t="n">
        <v>33.479018351</v>
      </c>
      <c r="G767" s="16" t="n">
        <v>44.2619337685</v>
      </c>
      <c r="H767" s="18" t="n">
        <v>19</v>
      </c>
      <c r="I767" s="18" t="n">
        <v>114</v>
      </c>
      <c r="J767" s="19" t="n">
        <v>19</v>
      </c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 t="n">
        <v>4</v>
      </c>
      <c r="AD767" s="19"/>
      <c r="AE767" s="19"/>
      <c r="AF767" s="19"/>
      <c r="AG767" s="19"/>
      <c r="AH767" s="19" t="n">
        <v>15</v>
      </c>
      <c r="AI767" s="19"/>
      <c r="AJ767" s="19"/>
      <c r="AK767" s="19"/>
      <c r="AL767" s="19"/>
      <c r="AM767" s="19"/>
      <c r="AN767" s="19"/>
      <c r="AO767" s="19"/>
      <c r="AP767" s="19" t="n">
        <v>19</v>
      </c>
      <c r="AQ767" s="19"/>
      <c r="AR767" s="19"/>
      <c r="AS767" s="20" t="str">
        <f aca="false">HYPERLINK("http://www.openstreetmap.org/?mlat=33.479&amp;mlon=44.2619&amp;zoom=12#map=12/33.479/44.2619","Maplink1")</f>
        <v>Maplink1</v>
      </c>
      <c r="AT767" s="20" t="str">
        <f aca="false">HYPERLINK("https://www.google.iq/maps/search/+33.479,44.2619/@33.479,44.2619,14z?hl=en","Maplink2")</f>
        <v>Maplink2</v>
      </c>
      <c r="AU767" s="20" t="str">
        <f aca="false">HYPERLINK("http://www.bing.com/maps/?lvl=14&amp;sty=h&amp;cp=33.479~44.2619&amp;sp=point.33.479_44.2619","Maplink3")</f>
        <v>Maplink3</v>
      </c>
    </row>
    <row r="768" customFormat="false" ht="15" hidden="false" customHeight="true" outlineLevel="0" collapsed="false">
      <c r="A768" s="15" t="n">
        <v>27313</v>
      </c>
      <c r="B768" s="16" t="s">
        <v>17</v>
      </c>
      <c r="C768" s="16" t="s">
        <v>1513</v>
      </c>
      <c r="D768" s="16" t="s">
        <v>1534</v>
      </c>
      <c r="E768" s="17" t="s">
        <v>1535</v>
      </c>
      <c r="F768" s="16" t="n">
        <v>33.52065</v>
      </c>
      <c r="G768" s="16" t="n">
        <v>44.20641</v>
      </c>
      <c r="H768" s="18" t="n">
        <v>20</v>
      </c>
      <c r="I768" s="18" t="n">
        <v>120</v>
      </c>
      <c r="J768" s="19" t="n">
        <v>20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 t="n">
        <v>20</v>
      </c>
      <c r="AI768" s="19"/>
      <c r="AJ768" s="19"/>
      <c r="AK768" s="19"/>
      <c r="AL768" s="19"/>
      <c r="AM768" s="19"/>
      <c r="AN768" s="19"/>
      <c r="AO768" s="19" t="n">
        <v>20</v>
      </c>
      <c r="AP768" s="19"/>
      <c r="AQ768" s="19"/>
      <c r="AR768" s="19"/>
      <c r="AS768" s="20" t="str">
        <f aca="false">HYPERLINK("http://www.openstreetmap.org/?mlat=33.5207&amp;mlon=44.2064&amp;zoom=12#map=12/33.5207/44.2064","Maplink1")</f>
        <v>Maplink1</v>
      </c>
      <c r="AT768" s="20" t="str">
        <f aca="false">HYPERLINK("https://www.google.iq/maps/search/+33.5207,44.2064/@33.5207,44.2064,14z?hl=en","Maplink2")</f>
        <v>Maplink2</v>
      </c>
      <c r="AU768" s="20" t="str">
        <f aca="false">HYPERLINK("http://www.bing.com/maps/?lvl=14&amp;sty=h&amp;cp=33.5207~44.2064&amp;sp=point.33.5207_44.2064","Maplink3")</f>
        <v>Maplink3</v>
      </c>
    </row>
    <row r="769" customFormat="false" ht="15" hidden="false" customHeight="true" outlineLevel="0" collapsed="false">
      <c r="A769" s="15" t="n">
        <v>25184</v>
      </c>
      <c r="B769" s="16" t="s">
        <v>17</v>
      </c>
      <c r="C769" s="16" t="s">
        <v>1513</v>
      </c>
      <c r="D769" s="16" t="s">
        <v>1536</v>
      </c>
      <c r="E769" s="17" t="s">
        <v>1537</v>
      </c>
      <c r="F769" s="16" t="n">
        <v>33.49895</v>
      </c>
      <c r="G769" s="16" t="n">
        <v>44.27534</v>
      </c>
      <c r="H769" s="18" t="n">
        <v>47</v>
      </c>
      <c r="I769" s="18" t="n">
        <v>282</v>
      </c>
      <c r="J769" s="19" t="n">
        <v>41</v>
      </c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 t="n">
        <v>6</v>
      </c>
      <c r="Y769" s="19"/>
      <c r="Z769" s="19"/>
      <c r="AA769" s="19"/>
      <c r="AB769" s="19"/>
      <c r="AC769" s="19" t="n">
        <v>21</v>
      </c>
      <c r="AD769" s="19"/>
      <c r="AE769" s="19"/>
      <c r="AF769" s="19"/>
      <c r="AG769" s="19"/>
      <c r="AH769" s="19" t="n">
        <v>26</v>
      </c>
      <c r="AI769" s="19"/>
      <c r="AJ769" s="19"/>
      <c r="AK769" s="19"/>
      <c r="AL769" s="19" t="n">
        <v>10</v>
      </c>
      <c r="AM769" s="19"/>
      <c r="AN769" s="19"/>
      <c r="AO769" s="19" t="n">
        <v>9</v>
      </c>
      <c r="AP769" s="19" t="n">
        <v>28</v>
      </c>
      <c r="AQ769" s="19"/>
      <c r="AR769" s="19"/>
      <c r="AS769" s="20" t="str">
        <f aca="false">HYPERLINK("http://www.openstreetmap.org/?mlat=33.499&amp;mlon=44.2753&amp;zoom=12#map=12/33.499/44.2753","Maplink1")</f>
        <v>Maplink1</v>
      </c>
      <c r="AT769" s="20" t="str">
        <f aca="false">HYPERLINK("https://www.google.iq/maps/search/+33.499,44.2753/@33.499,44.2753,14z?hl=en","Maplink2")</f>
        <v>Maplink2</v>
      </c>
      <c r="AU769" s="20" t="str">
        <f aca="false">HYPERLINK("http://www.bing.com/maps/?lvl=14&amp;sty=h&amp;cp=33.499~44.2753&amp;sp=point.33.499_44.2753","Maplink3")</f>
        <v>Maplink3</v>
      </c>
    </row>
    <row r="770" customFormat="false" ht="15" hidden="false" customHeight="true" outlineLevel="0" collapsed="false">
      <c r="A770" s="15" t="n">
        <v>22249</v>
      </c>
      <c r="B770" s="16" t="s">
        <v>17</v>
      </c>
      <c r="C770" s="16" t="s">
        <v>1513</v>
      </c>
      <c r="D770" s="16" t="s">
        <v>1538</v>
      </c>
      <c r="E770" s="17" t="s">
        <v>1539</v>
      </c>
      <c r="F770" s="16" t="n">
        <v>33.353</v>
      </c>
      <c r="G770" s="16" t="n">
        <v>44.32766</v>
      </c>
      <c r="H770" s="18" t="n">
        <v>28</v>
      </c>
      <c r="I770" s="18" t="n">
        <v>168</v>
      </c>
      <c r="J770" s="19" t="n">
        <v>13</v>
      </c>
      <c r="K770" s="19"/>
      <c r="L770" s="19"/>
      <c r="M770" s="19"/>
      <c r="N770" s="19"/>
      <c r="O770" s="19"/>
      <c r="P770" s="19"/>
      <c r="Q770" s="19"/>
      <c r="R770" s="19" t="n">
        <v>1</v>
      </c>
      <c r="S770" s="19"/>
      <c r="T770" s="19"/>
      <c r="U770" s="19"/>
      <c r="V770" s="19" t="n">
        <v>7</v>
      </c>
      <c r="W770" s="19"/>
      <c r="X770" s="19" t="n">
        <v>7</v>
      </c>
      <c r="Y770" s="19"/>
      <c r="Z770" s="19"/>
      <c r="AA770" s="19"/>
      <c r="AB770" s="19"/>
      <c r="AC770" s="19" t="n">
        <v>7</v>
      </c>
      <c r="AD770" s="19"/>
      <c r="AE770" s="19"/>
      <c r="AF770" s="19"/>
      <c r="AG770" s="19"/>
      <c r="AH770" s="19" t="n">
        <v>21</v>
      </c>
      <c r="AI770" s="19"/>
      <c r="AJ770" s="19"/>
      <c r="AK770" s="19"/>
      <c r="AL770" s="19"/>
      <c r="AM770" s="19" t="n">
        <v>11</v>
      </c>
      <c r="AN770" s="19" t="n">
        <v>7</v>
      </c>
      <c r="AO770" s="19" t="n">
        <v>10</v>
      </c>
      <c r="AP770" s="19"/>
      <c r="AQ770" s="19"/>
      <c r="AR770" s="19"/>
      <c r="AS770" s="20" t="str">
        <f aca="false">HYPERLINK("http://www.openstreetmap.org/?mlat=33.353&amp;mlon=44.3277&amp;zoom=12#map=12/33.353/44.3277","Maplink1")</f>
        <v>Maplink1</v>
      </c>
      <c r="AT770" s="20" t="str">
        <f aca="false">HYPERLINK("https://www.google.iq/maps/search/+33.353,44.3277/@33.353,44.3277,14z?hl=en","Maplink2")</f>
        <v>Maplink2</v>
      </c>
      <c r="AU770" s="20" t="str">
        <f aca="false">HYPERLINK("http://www.bing.com/maps/?lvl=14&amp;sty=h&amp;cp=33.353~44.3277&amp;sp=point.33.353_44.3277","Maplink3")</f>
        <v>Maplink3</v>
      </c>
    </row>
    <row r="771" customFormat="false" ht="15" hidden="false" customHeight="true" outlineLevel="0" collapsed="false">
      <c r="A771" s="15" t="n">
        <v>24934</v>
      </c>
      <c r="B771" s="16" t="s">
        <v>17</v>
      </c>
      <c r="C771" s="16" t="s">
        <v>1513</v>
      </c>
      <c r="D771" s="16" t="s">
        <v>1540</v>
      </c>
      <c r="E771" s="17" t="s">
        <v>1541</v>
      </c>
      <c r="F771" s="16" t="n">
        <v>33.35156217</v>
      </c>
      <c r="G771" s="16" t="n">
        <v>44.32294565</v>
      </c>
      <c r="H771" s="18" t="n">
        <v>40</v>
      </c>
      <c r="I771" s="18" t="n">
        <v>240</v>
      </c>
      <c r="J771" s="19" t="n">
        <v>3</v>
      </c>
      <c r="K771" s="19"/>
      <c r="L771" s="19" t="n">
        <v>3</v>
      </c>
      <c r="M771" s="19"/>
      <c r="N771" s="19"/>
      <c r="O771" s="19"/>
      <c r="P771" s="19"/>
      <c r="Q771" s="19"/>
      <c r="R771" s="19"/>
      <c r="S771" s="19"/>
      <c r="T771" s="19"/>
      <c r="U771" s="19"/>
      <c r="V771" s="19" t="n">
        <v>19</v>
      </c>
      <c r="W771" s="19"/>
      <c r="X771" s="19" t="n">
        <v>15</v>
      </c>
      <c r="Y771" s="19"/>
      <c r="Z771" s="19"/>
      <c r="AA771" s="19"/>
      <c r="AB771" s="19"/>
      <c r="AC771" s="19" t="n">
        <v>13</v>
      </c>
      <c r="AD771" s="19"/>
      <c r="AE771" s="19"/>
      <c r="AF771" s="19"/>
      <c r="AG771" s="19"/>
      <c r="AH771" s="19" t="n">
        <v>27</v>
      </c>
      <c r="AI771" s="19"/>
      <c r="AJ771" s="19"/>
      <c r="AK771" s="19"/>
      <c r="AL771" s="19" t="n">
        <v>6</v>
      </c>
      <c r="AM771" s="19" t="n">
        <v>6</v>
      </c>
      <c r="AN771" s="19" t="n">
        <v>19</v>
      </c>
      <c r="AO771" s="19" t="n">
        <v>9</v>
      </c>
      <c r="AP771" s="19"/>
      <c r="AQ771" s="19"/>
      <c r="AR771" s="19"/>
      <c r="AS771" s="20" t="str">
        <f aca="false">HYPERLINK("http://www.openstreetmap.org/?mlat=33.3516&amp;mlon=44.3229&amp;zoom=12#map=12/33.3516/44.3229","Maplink1")</f>
        <v>Maplink1</v>
      </c>
      <c r="AT771" s="20" t="str">
        <f aca="false">HYPERLINK("https://www.google.iq/maps/search/+33.3516,44.3229/@33.3516,44.3229,14z?hl=en","Maplink2")</f>
        <v>Maplink2</v>
      </c>
      <c r="AU771" s="20" t="str">
        <f aca="false">HYPERLINK("http://www.bing.com/maps/?lvl=14&amp;sty=h&amp;cp=33.3516~44.3229&amp;sp=point.33.3516_44.3229","Maplink3")</f>
        <v>Maplink3</v>
      </c>
    </row>
    <row r="772" customFormat="false" ht="15" hidden="false" customHeight="true" outlineLevel="0" collapsed="false">
      <c r="A772" s="15" t="n">
        <v>24935</v>
      </c>
      <c r="B772" s="16" t="s">
        <v>17</v>
      </c>
      <c r="C772" s="16" t="s">
        <v>1513</v>
      </c>
      <c r="D772" s="16" t="s">
        <v>1542</v>
      </c>
      <c r="E772" s="17" t="s">
        <v>1543</v>
      </c>
      <c r="F772" s="16" t="n">
        <v>33.34964141</v>
      </c>
      <c r="G772" s="16" t="n">
        <v>44.32892849</v>
      </c>
      <c r="H772" s="18" t="n">
        <v>20</v>
      </c>
      <c r="I772" s="18" t="n">
        <v>120</v>
      </c>
      <c r="J772" s="19" t="n">
        <v>2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 t="n">
        <v>18</v>
      </c>
      <c r="W772" s="19"/>
      <c r="X772" s="19"/>
      <c r="Y772" s="19"/>
      <c r="Z772" s="19"/>
      <c r="AA772" s="19"/>
      <c r="AB772" s="19"/>
      <c r="AC772" s="19" t="n">
        <v>4</v>
      </c>
      <c r="AD772" s="19"/>
      <c r="AE772" s="19"/>
      <c r="AF772" s="19"/>
      <c r="AG772" s="19"/>
      <c r="AH772" s="19" t="n">
        <v>16</v>
      </c>
      <c r="AI772" s="19"/>
      <c r="AJ772" s="19"/>
      <c r="AK772" s="19"/>
      <c r="AL772" s="19"/>
      <c r="AM772" s="19" t="n">
        <v>20</v>
      </c>
      <c r="AN772" s="19"/>
      <c r="AO772" s="19"/>
      <c r="AP772" s="19"/>
      <c r="AQ772" s="19"/>
      <c r="AR772" s="19"/>
      <c r="AS772" s="20" t="str">
        <f aca="false">HYPERLINK("http://www.openstreetmap.org/?mlat=33.3496&amp;mlon=44.3289&amp;zoom=12#map=12/33.3496/44.3289","Maplink1")</f>
        <v>Maplink1</v>
      </c>
      <c r="AT772" s="20" t="str">
        <f aca="false">HYPERLINK("https://www.google.iq/maps/search/+33.3496,44.3289/@33.3496,44.3289,14z?hl=en","Maplink2")</f>
        <v>Maplink2</v>
      </c>
      <c r="AU772" s="20" t="str">
        <f aca="false">HYPERLINK("http://www.bing.com/maps/?lvl=14&amp;sty=h&amp;cp=33.3496~44.3289&amp;sp=point.33.3496_44.3289","Maplink3")</f>
        <v>Maplink3</v>
      </c>
    </row>
    <row r="773" customFormat="false" ht="15" hidden="false" customHeight="true" outlineLevel="0" collapsed="false">
      <c r="A773" s="15" t="n">
        <v>24963</v>
      </c>
      <c r="B773" s="16" t="s">
        <v>17</v>
      </c>
      <c r="C773" s="16" t="s">
        <v>1513</v>
      </c>
      <c r="D773" s="16" t="s">
        <v>1544</v>
      </c>
      <c r="E773" s="17" t="s">
        <v>1545</v>
      </c>
      <c r="F773" s="16" t="n">
        <v>33.3611</v>
      </c>
      <c r="G773" s="16" t="n">
        <v>44.32591</v>
      </c>
      <c r="H773" s="18" t="n">
        <v>22</v>
      </c>
      <c r="I773" s="18" t="n">
        <v>132</v>
      </c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 t="n">
        <v>13</v>
      </c>
      <c r="W773" s="19"/>
      <c r="X773" s="19" t="n">
        <v>9</v>
      </c>
      <c r="Y773" s="19"/>
      <c r="Z773" s="19"/>
      <c r="AA773" s="19"/>
      <c r="AB773" s="19"/>
      <c r="AC773" s="19" t="n">
        <v>5</v>
      </c>
      <c r="AD773" s="19"/>
      <c r="AE773" s="19"/>
      <c r="AF773" s="19"/>
      <c r="AG773" s="19"/>
      <c r="AH773" s="19" t="n">
        <v>17</v>
      </c>
      <c r="AI773" s="19"/>
      <c r="AJ773" s="19"/>
      <c r="AK773" s="19"/>
      <c r="AL773" s="19"/>
      <c r="AM773" s="19" t="n">
        <v>5</v>
      </c>
      <c r="AN773" s="19" t="n">
        <v>12</v>
      </c>
      <c r="AO773" s="19" t="n">
        <v>3</v>
      </c>
      <c r="AP773" s="19"/>
      <c r="AQ773" s="19"/>
      <c r="AR773" s="19" t="n">
        <v>2</v>
      </c>
      <c r="AS773" s="20" t="str">
        <f aca="false">HYPERLINK("http://www.openstreetmap.org/?mlat=33.3611&amp;mlon=44.3259&amp;zoom=12#map=12/33.3611/44.3259","Maplink1")</f>
        <v>Maplink1</v>
      </c>
      <c r="AT773" s="20" t="str">
        <f aca="false">HYPERLINK("https://www.google.iq/maps/search/+33.3611,44.3259/@33.3611,44.3259,14z?hl=en","Maplink2")</f>
        <v>Maplink2</v>
      </c>
      <c r="AU773" s="20" t="str">
        <f aca="false">HYPERLINK("http://www.bing.com/maps/?lvl=14&amp;sty=h&amp;cp=33.3611~44.3259&amp;sp=point.33.3611_44.3259","Maplink3")</f>
        <v>Maplink3</v>
      </c>
    </row>
    <row r="774" customFormat="false" ht="15" hidden="false" customHeight="true" outlineLevel="0" collapsed="false">
      <c r="A774" s="15" t="n">
        <v>24752</v>
      </c>
      <c r="B774" s="16" t="s">
        <v>17</v>
      </c>
      <c r="C774" s="16" t="s">
        <v>1513</v>
      </c>
      <c r="D774" s="16" t="s">
        <v>1546</v>
      </c>
      <c r="E774" s="17" t="s">
        <v>1547</v>
      </c>
      <c r="F774" s="16" t="n">
        <v>33.34980662</v>
      </c>
      <c r="G774" s="16" t="n">
        <v>44.3210557</v>
      </c>
      <c r="H774" s="18" t="n">
        <v>64</v>
      </c>
      <c r="I774" s="18" t="n">
        <v>384</v>
      </c>
      <c r="J774" s="19" t="n">
        <v>10</v>
      </c>
      <c r="K774" s="19"/>
      <c r="L774" s="19"/>
      <c r="M774" s="19"/>
      <c r="N774" s="19"/>
      <c r="O774" s="19" t="n">
        <v>8</v>
      </c>
      <c r="P774" s="19"/>
      <c r="Q774" s="19"/>
      <c r="R774" s="19"/>
      <c r="S774" s="19"/>
      <c r="T774" s="19"/>
      <c r="U774" s="19"/>
      <c r="V774" s="19" t="n">
        <v>30</v>
      </c>
      <c r="W774" s="19"/>
      <c r="X774" s="19" t="n">
        <v>16</v>
      </c>
      <c r="Y774" s="19"/>
      <c r="Z774" s="19"/>
      <c r="AA774" s="19"/>
      <c r="AB774" s="19"/>
      <c r="AC774" s="19" t="n">
        <v>18</v>
      </c>
      <c r="AD774" s="19"/>
      <c r="AE774" s="19"/>
      <c r="AF774" s="19"/>
      <c r="AG774" s="19"/>
      <c r="AH774" s="19" t="n">
        <v>46</v>
      </c>
      <c r="AI774" s="19"/>
      <c r="AJ774" s="19"/>
      <c r="AK774" s="19"/>
      <c r="AL774" s="19"/>
      <c r="AM774" s="19" t="n">
        <v>25</v>
      </c>
      <c r="AN774" s="19" t="n">
        <v>12</v>
      </c>
      <c r="AO774" s="19" t="n">
        <v>21</v>
      </c>
      <c r="AP774" s="19" t="n">
        <v>6</v>
      </c>
      <c r="AQ774" s="19"/>
      <c r="AR774" s="19"/>
      <c r="AS774" s="20" t="str">
        <f aca="false">HYPERLINK("http://www.openstreetmap.org/?mlat=33.3498&amp;mlon=44.3211&amp;zoom=12#map=12/33.3498/44.3211","Maplink1")</f>
        <v>Maplink1</v>
      </c>
      <c r="AT774" s="20" t="str">
        <f aca="false">HYPERLINK("https://www.google.iq/maps/search/+33.3498,44.3211/@33.3498,44.3211,14z?hl=en","Maplink2")</f>
        <v>Maplink2</v>
      </c>
      <c r="AU774" s="20" t="str">
        <f aca="false">HYPERLINK("http://www.bing.com/maps/?lvl=14&amp;sty=h&amp;cp=33.3498~44.3211&amp;sp=point.33.3498_44.3211","Maplink3")</f>
        <v>Maplink3</v>
      </c>
    </row>
    <row r="775" customFormat="false" ht="15" hidden="false" customHeight="true" outlineLevel="0" collapsed="false">
      <c r="A775" s="15" t="n">
        <v>24936</v>
      </c>
      <c r="B775" s="16" t="s">
        <v>17</v>
      </c>
      <c r="C775" s="16" t="s">
        <v>1513</v>
      </c>
      <c r="D775" s="16" t="s">
        <v>1548</v>
      </c>
      <c r="E775" s="17" t="s">
        <v>1549</v>
      </c>
      <c r="F775" s="16" t="n">
        <v>33.35272344</v>
      </c>
      <c r="G775" s="16" t="n">
        <v>44.30862651</v>
      </c>
      <c r="H775" s="18" t="n">
        <v>19</v>
      </c>
      <c r="I775" s="18" t="n">
        <v>114</v>
      </c>
      <c r="J775" s="19" t="n">
        <v>4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 t="n">
        <v>7</v>
      </c>
      <c r="W775" s="19"/>
      <c r="X775" s="19" t="n">
        <v>8</v>
      </c>
      <c r="Y775" s="19"/>
      <c r="Z775" s="19"/>
      <c r="AA775" s="19"/>
      <c r="AB775" s="19"/>
      <c r="AC775" s="19" t="n">
        <v>6</v>
      </c>
      <c r="AD775" s="19"/>
      <c r="AE775" s="19"/>
      <c r="AF775" s="19"/>
      <c r="AG775" s="19"/>
      <c r="AH775" s="19" t="n">
        <v>13</v>
      </c>
      <c r="AI775" s="19"/>
      <c r="AJ775" s="19"/>
      <c r="AK775" s="19"/>
      <c r="AL775" s="19"/>
      <c r="AM775" s="19" t="n">
        <v>6</v>
      </c>
      <c r="AN775" s="19"/>
      <c r="AO775" s="19" t="n">
        <v>11</v>
      </c>
      <c r="AP775" s="19"/>
      <c r="AQ775" s="19"/>
      <c r="AR775" s="19" t="n">
        <v>2</v>
      </c>
      <c r="AS775" s="20" t="str">
        <f aca="false">HYPERLINK("http://www.openstreetmap.org/?mlat=33.3527&amp;mlon=44.3086&amp;zoom=12#map=12/33.3527/44.3086","Maplink1")</f>
        <v>Maplink1</v>
      </c>
      <c r="AT775" s="20" t="str">
        <f aca="false">HYPERLINK("https://www.google.iq/maps/search/+33.3527,44.3086/@33.3527,44.3086,14z?hl=en","Maplink2")</f>
        <v>Maplink2</v>
      </c>
      <c r="AU775" s="20" t="str">
        <f aca="false">HYPERLINK("http://www.bing.com/maps/?lvl=14&amp;sty=h&amp;cp=33.3527~44.3086&amp;sp=point.33.3527_44.3086","Maplink3")</f>
        <v>Maplink3</v>
      </c>
    </row>
    <row r="776" customFormat="false" ht="15" hidden="false" customHeight="true" outlineLevel="0" collapsed="false">
      <c r="A776" s="15" t="n">
        <v>24732</v>
      </c>
      <c r="B776" s="16" t="s">
        <v>17</v>
      </c>
      <c r="C776" s="16" t="s">
        <v>1513</v>
      </c>
      <c r="D776" s="16" t="s">
        <v>1550</v>
      </c>
      <c r="E776" s="17" t="s">
        <v>1551</v>
      </c>
      <c r="F776" s="16" t="n">
        <v>33.35569017</v>
      </c>
      <c r="G776" s="16" t="n">
        <v>44.30681728</v>
      </c>
      <c r="H776" s="18" t="n">
        <v>51</v>
      </c>
      <c r="I776" s="18" t="n">
        <v>306</v>
      </c>
      <c r="J776" s="19" t="n">
        <v>10</v>
      </c>
      <c r="K776" s="19" t="n">
        <v>2</v>
      </c>
      <c r="L776" s="19"/>
      <c r="M776" s="19"/>
      <c r="N776" s="19"/>
      <c r="O776" s="19"/>
      <c r="P776" s="19"/>
      <c r="Q776" s="19"/>
      <c r="R776" s="19" t="n">
        <v>1</v>
      </c>
      <c r="S776" s="19"/>
      <c r="T776" s="19"/>
      <c r="U776" s="19"/>
      <c r="V776" s="19" t="n">
        <v>26</v>
      </c>
      <c r="W776" s="19"/>
      <c r="X776" s="19" t="n">
        <v>12</v>
      </c>
      <c r="Y776" s="19"/>
      <c r="Z776" s="19"/>
      <c r="AA776" s="19"/>
      <c r="AB776" s="19"/>
      <c r="AC776" s="19" t="n">
        <v>21</v>
      </c>
      <c r="AD776" s="19"/>
      <c r="AE776" s="19"/>
      <c r="AF776" s="19"/>
      <c r="AG776" s="19"/>
      <c r="AH776" s="19" t="n">
        <v>30</v>
      </c>
      <c r="AI776" s="19"/>
      <c r="AJ776" s="19"/>
      <c r="AK776" s="19"/>
      <c r="AL776" s="19" t="n">
        <v>4</v>
      </c>
      <c r="AM776" s="19" t="n">
        <v>26</v>
      </c>
      <c r="AN776" s="19"/>
      <c r="AO776" s="19" t="n">
        <v>15</v>
      </c>
      <c r="AP776" s="19" t="n">
        <v>6</v>
      </c>
      <c r="AQ776" s="19"/>
      <c r="AR776" s="19"/>
      <c r="AS776" s="20" t="str">
        <f aca="false">HYPERLINK("http://www.openstreetmap.org/?mlat=33.3557&amp;mlon=44.3068&amp;zoom=12#map=12/33.3557/44.3068","Maplink1")</f>
        <v>Maplink1</v>
      </c>
      <c r="AT776" s="20" t="str">
        <f aca="false">HYPERLINK("https://www.google.iq/maps/search/+33.3557,44.3068/@33.3557,44.3068,14z?hl=en","Maplink2")</f>
        <v>Maplink2</v>
      </c>
      <c r="AU776" s="20" t="str">
        <f aca="false">HYPERLINK("http://www.bing.com/maps/?lvl=14&amp;sty=h&amp;cp=33.3557~44.3068&amp;sp=point.33.3557_44.3068","Maplink3")</f>
        <v>Maplink3</v>
      </c>
    </row>
    <row r="777" customFormat="false" ht="15" hidden="false" customHeight="true" outlineLevel="0" collapsed="false">
      <c r="A777" s="15" t="n">
        <v>24937</v>
      </c>
      <c r="B777" s="16" t="s">
        <v>17</v>
      </c>
      <c r="C777" s="16" t="s">
        <v>1513</v>
      </c>
      <c r="D777" s="16" t="s">
        <v>1552</v>
      </c>
      <c r="E777" s="17" t="s">
        <v>1553</v>
      </c>
      <c r="F777" s="16" t="n">
        <v>33.36</v>
      </c>
      <c r="G777" s="16" t="n">
        <v>44.3112</v>
      </c>
      <c r="H777" s="18" t="n">
        <v>27</v>
      </c>
      <c r="I777" s="18" t="n">
        <v>162</v>
      </c>
      <c r="J777" s="19" t="n">
        <v>4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 t="n">
        <v>15</v>
      </c>
      <c r="W777" s="19"/>
      <c r="X777" s="19" t="n">
        <v>8</v>
      </c>
      <c r="Y777" s="19"/>
      <c r="Z777" s="19"/>
      <c r="AA777" s="19"/>
      <c r="AB777" s="19"/>
      <c r="AC777" s="19" t="n">
        <v>12</v>
      </c>
      <c r="AD777" s="19"/>
      <c r="AE777" s="19"/>
      <c r="AF777" s="19"/>
      <c r="AG777" s="19"/>
      <c r="AH777" s="19" t="n">
        <v>15</v>
      </c>
      <c r="AI777" s="19"/>
      <c r="AJ777" s="19"/>
      <c r="AK777" s="19"/>
      <c r="AL777" s="19"/>
      <c r="AM777" s="19" t="n">
        <v>13</v>
      </c>
      <c r="AN777" s="19"/>
      <c r="AO777" s="19" t="n">
        <v>7</v>
      </c>
      <c r="AP777" s="19" t="n">
        <v>4</v>
      </c>
      <c r="AQ777" s="19" t="n">
        <v>3</v>
      </c>
      <c r="AR777" s="19"/>
      <c r="AS777" s="20" t="str">
        <f aca="false">HYPERLINK("http://www.openstreetmap.org/?mlat=33.36&amp;mlon=44.3112&amp;zoom=12#map=12/33.36/44.3112","Maplink1")</f>
        <v>Maplink1</v>
      </c>
      <c r="AT777" s="20" t="str">
        <f aca="false">HYPERLINK("https://www.google.iq/maps/search/+33.36,44.3112/@33.36,44.3112,14z?hl=en","Maplink2")</f>
        <v>Maplink2</v>
      </c>
      <c r="AU777" s="20" t="str">
        <f aca="false">HYPERLINK("http://www.bing.com/maps/?lvl=14&amp;sty=h&amp;cp=33.36~44.3112&amp;sp=point.33.36_44.3112","Maplink3")</f>
        <v>Maplink3</v>
      </c>
    </row>
    <row r="778" customFormat="false" ht="15" hidden="false" customHeight="true" outlineLevel="0" collapsed="false">
      <c r="A778" s="15" t="n">
        <v>24733</v>
      </c>
      <c r="B778" s="16" t="s">
        <v>17</v>
      </c>
      <c r="C778" s="16" t="s">
        <v>1513</v>
      </c>
      <c r="D778" s="16" t="s">
        <v>1554</v>
      </c>
      <c r="E778" s="17" t="s">
        <v>1555</v>
      </c>
      <c r="F778" s="16" t="n">
        <v>33.35265</v>
      </c>
      <c r="G778" s="16" t="n">
        <v>44.31359</v>
      </c>
      <c r="H778" s="18" t="n">
        <v>24</v>
      </c>
      <c r="I778" s="18" t="n">
        <v>144</v>
      </c>
      <c r="J778" s="19" t="n">
        <v>2</v>
      </c>
      <c r="K778" s="19"/>
      <c r="L778" s="19"/>
      <c r="M778" s="19"/>
      <c r="N778" s="19"/>
      <c r="O778" s="19" t="n">
        <v>3</v>
      </c>
      <c r="P778" s="19"/>
      <c r="Q778" s="19"/>
      <c r="R778" s="19" t="n">
        <v>2</v>
      </c>
      <c r="S778" s="19"/>
      <c r="T778" s="19"/>
      <c r="U778" s="19"/>
      <c r="V778" s="19" t="n">
        <v>10</v>
      </c>
      <c r="W778" s="19"/>
      <c r="X778" s="19" t="n">
        <v>7</v>
      </c>
      <c r="Y778" s="19"/>
      <c r="Z778" s="19"/>
      <c r="AA778" s="19"/>
      <c r="AB778" s="19"/>
      <c r="AC778" s="19" t="n">
        <v>4</v>
      </c>
      <c r="AD778" s="19"/>
      <c r="AE778" s="19"/>
      <c r="AF778" s="19"/>
      <c r="AG778" s="19"/>
      <c r="AH778" s="19" t="n">
        <v>20</v>
      </c>
      <c r="AI778" s="19"/>
      <c r="AJ778" s="19"/>
      <c r="AK778" s="19"/>
      <c r="AL778" s="19" t="n">
        <v>4</v>
      </c>
      <c r="AM778" s="19" t="n">
        <v>6</v>
      </c>
      <c r="AN778" s="19"/>
      <c r="AO778" s="19" t="n">
        <v>10</v>
      </c>
      <c r="AP778" s="19"/>
      <c r="AQ778" s="19"/>
      <c r="AR778" s="19" t="n">
        <v>4</v>
      </c>
      <c r="AS778" s="20" t="str">
        <f aca="false">HYPERLINK("http://www.openstreetmap.org/?mlat=33.3526&amp;mlon=44.3136&amp;zoom=12#map=12/33.3526/44.3136","Maplink1")</f>
        <v>Maplink1</v>
      </c>
      <c r="AT778" s="20" t="str">
        <f aca="false">HYPERLINK("https://www.google.iq/maps/search/+33.3526,44.3136/@33.3526,44.3136,14z?hl=en","Maplink2")</f>
        <v>Maplink2</v>
      </c>
      <c r="AU778" s="20" t="str">
        <f aca="false">HYPERLINK("http://www.bing.com/maps/?lvl=14&amp;sty=h&amp;cp=33.3526~44.3136&amp;sp=point.33.3526_44.3136","Maplink3")</f>
        <v>Maplink3</v>
      </c>
    </row>
    <row r="779" customFormat="false" ht="15" hidden="false" customHeight="true" outlineLevel="0" collapsed="false">
      <c r="A779" s="15" t="n">
        <v>28397</v>
      </c>
      <c r="B779" s="16" t="s">
        <v>17</v>
      </c>
      <c r="C779" s="16" t="s">
        <v>1513</v>
      </c>
      <c r="D779" s="16" t="s">
        <v>1556</v>
      </c>
      <c r="E779" s="17" t="s">
        <v>1557</v>
      </c>
      <c r="F779" s="16" t="n">
        <v>33.56722</v>
      </c>
      <c r="G779" s="16" t="n">
        <v>44.17758</v>
      </c>
      <c r="H779" s="18" t="n">
        <v>7</v>
      </c>
      <c r="I779" s="18" t="n">
        <v>42</v>
      </c>
      <c r="J779" s="19" t="n">
        <v>7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 t="n">
        <v>2</v>
      </c>
      <c r="AD779" s="19"/>
      <c r="AE779" s="19"/>
      <c r="AF779" s="19"/>
      <c r="AG779" s="19"/>
      <c r="AH779" s="19" t="n">
        <v>5</v>
      </c>
      <c r="AI779" s="19"/>
      <c r="AJ779" s="19"/>
      <c r="AK779" s="19"/>
      <c r="AL779" s="19"/>
      <c r="AM779" s="19"/>
      <c r="AN779" s="19"/>
      <c r="AO779" s="19" t="n">
        <v>5</v>
      </c>
      <c r="AP779" s="19" t="n">
        <v>2</v>
      </c>
      <c r="AQ779" s="19"/>
      <c r="AR779" s="19"/>
      <c r="AS779" s="20" t="str">
        <f aca="false">HYPERLINK("http://www.openstreetmap.org/?mlat=33.5672&amp;mlon=44.1776&amp;zoom=12#map=12/33.5672/44.1776","Maplink1")</f>
        <v>Maplink1</v>
      </c>
      <c r="AT779" s="20" t="str">
        <f aca="false">HYPERLINK("https://www.google.iq/maps/search/+33.5672,44.1776/@33.5672,44.1776,14z?hl=en","Maplink2")</f>
        <v>Maplink2</v>
      </c>
      <c r="AU779" s="20" t="str">
        <f aca="false">HYPERLINK("http://www.bing.com/maps/?lvl=14&amp;sty=h&amp;cp=33.5672~44.1776&amp;sp=point.33.5672_44.1776","Maplink3")</f>
        <v>Maplink3</v>
      </c>
    </row>
    <row r="780" customFormat="false" ht="15" hidden="false" customHeight="true" outlineLevel="0" collapsed="false">
      <c r="A780" s="15" t="n">
        <v>25177</v>
      </c>
      <c r="B780" s="16" t="s">
        <v>17</v>
      </c>
      <c r="C780" s="16" t="s">
        <v>1513</v>
      </c>
      <c r="D780" s="16" t="s">
        <v>1558</v>
      </c>
      <c r="E780" s="17" t="s">
        <v>1559</v>
      </c>
      <c r="F780" s="16" t="n">
        <v>33.45827605</v>
      </c>
      <c r="G780" s="16" t="n">
        <v>44.25535775</v>
      </c>
      <c r="H780" s="18" t="n">
        <v>5</v>
      </c>
      <c r="I780" s="18" t="n">
        <v>30</v>
      </c>
      <c r="J780" s="19" t="n">
        <v>5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 t="n">
        <v>5</v>
      </c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 t="n">
        <v>5</v>
      </c>
      <c r="AQ780" s="19"/>
      <c r="AR780" s="19"/>
      <c r="AS780" s="20" t="str">
        <f aca="false">HYPERLINK("http://www.openstreetmap.org/?mlat=33.4583&amp;mlon=44.2554&amp;zoom=12#map=12/33.4583/44.2554","Maplink1")</f>
        <v>Maplink1</v>
      </c>
      <c r="AT780" s="20" t="str">
        <f aca="false">HYPERLINK("https://www.google.iq/maps/search/+33.4583,44.2554/@33.4583,44.2554,14z?hl=en","Maplink2")</f>
        <v>Maplink2</v>
      </c>
      <c r="AU780" s="20" t="str">
        <f aca="false">HYPERLINK("http://www.bing.com/maps/?lvl=14&amp;sty=h&amp;cp=33.4583~44.2554&amp;sp=point.33.4583_44.2554","Maplink3")</f>
        <v>Maplink3</v>
      </c>
    </row>
    <row r="781" customFormat="false" ht="15" hidden="false" customHeight="true" outlineLevel="0" collapsed="false">
      <c r="A781" s="15" t="n">
        <v>25198</v>
      </c>
      <c r="B781" s="16" t="s">
        <v>17</v>
      </c>
      <c r="C781" s="16" t="s">
        <v>1513</v>
      </c>
      <c r="D781" s="16" t="s">
        <v>1560</v>
      </c>
      <c r="E781" s="17" t="s">
        <v>1561</v>
      </c>
      <c r="F781" s="16" t="n">
        <v>33.51876395</v>
      </c>
      <c r="G781" s="16" t="n">
        <v>44.23316676</v>
      </c>
      <c r="H781" s="18" t="n">
        <v>154</v>
      </c>
      <c r="I781" s="18" t="n">
        <v>924</v>
      </c>
      <c r="J781" s="19" t="n">
        <v>154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 t="n">
        <v>61</v>
      </c>
      <c r="AD781" s="19"/>
      <c r="AE781" s="19"/>
      <c r="AF781" s="19"/>
      <c r="AG781" s="19"/>
      <c r="AH781" s="19" t="n">
        <v>93</v>
      </c>
      <c r="AI781" s="19"/>
      <c r="AJ781" s="19"/>
      <c r="AK781" s="19"/>
      <c r="AL781" s="19"/>
      <c r="AM781" s="19"/>
      <c r="AN781" s="19" t="n">
        <v>20</v>
      </c>
      <c r="AO781" s="19" t="n">
        <v>20</v>
      </c>
      <c r="AP781" s="19" t="n">
        <v>109</v>
      </c>
      <c r="AQ781" s="19" t="n">
        <v>5</v>
      </c>
      <c r="AR781" s="19"/>
      <c r="AS781" s="20" t="str">
        <f aca="false">HYPERLINK("http://www.openstreetmap.org/?mlat=33.5188&amp;mlon=44.2332&amp;zoom=12#map=12/33.5188/44.2332","Maplink1")</f>
        <v>Maplink1</v>
      </c>
      <c r="AT781" s="20" t="str">
        <f aca="false">HYPERLINK("https://www.google.iq/maps/search/+33.5188,44.2332/@33.5188,44.2332,14z?hl=en","Maplink2")</f>
        <v>Maplink2</v>
      </c>
      <c r="AU781" s="20" t="str">
        <f aca="false">HYPERLINK("http://www.bing.com/maps/?lvl=14&amp;sty=h&amp;cp=33.5188~44.2332&amp;sp=point.33.5188_44.2332","Maplink3")</f>
        <v>Maplink3</v>
      </c>
    </row>
    <row r="782" customFormat="false" ht="15" hidden="false" customHeight="true" outlineLevel="0" collapsed="false">
      <c r="A782" s="15" t="n">
        <v>25191</v>
      </c>
      <c r="B782" s="16" t="s">
        <v>17</v>
      </c>
      <c r="C782" s="16" t="s">
        <v>1513</v>
      </c>
      <c r="D782" s="16" t="s">
        <v>1562</v>
      </c>
      <c r="E782" s="17" t="s">
        <v>1563</v>
      </c>
      <c r="F782" s="16" t="n">
        <v>33.47908</v>
      </c>
      <c r="G782" s="16" t="n">
        <v>44.26205</v>
      </c>
      <c r="H782" s="18" t="n">
        <v>21</v>
      </c>
      <c r="I782" s="18" t="n">
        <v>126</v>
      </c>
      <c r="J782" s="19" t="n">
        <v>21</v>
      </c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 t="n">
        <v>21</v>
      </c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 t="n">
        <v>10</v>
      </c>
      <c r="AP782" s="19" t="n">
        <v>11</v>
      </c>
      <c r="AQ782" s="19"/>
      <c r="AR782" s="19"/>
      <c r="AS782" s="20" t="str">
        <f aca="false">HYPERLINK("http://www.openstreetmap.org/?mlat=33.4791&amp;mlon=44.2621&amp;zoom=12#map=12/33.4791/44.2621","Maplink1")</f>
        <v>Maplink1</v>
      </c>
      <c r="AT782" s="20" t="str">
        <f aca="false">HYPERLINK("https://www.google.iq/maps/search/+33.4791,44.2621/@33.4791,44.2621,14z?hl=en","Maplink2")</f>
        <v>Maplink2</v>
      </c>
      <c r="AU782" s="20" t="str">
        <f aca="false">HYPERLINK("http://www.bing.com/maps/?lvl=14&amp;sty=h&amp;cp=33.4791~44.2621&amp;sp=point.33.4791_44.2621","Maplink3")</f>
        <v>Maplink3</v>
      </c>
    </row>
    <row r="783" customFormat="false" ht="15" hidden="false" customHeight="true" outlineLevel="0" collapsed="false">
      <c r="A783" s="15" t="n">
        <v>25718</v>
      </c>
      <c r="B783" s="16" t="s">
        <v>17</v>
      </c>
      <c r="C783" s="16" t="s">
        <v>1513</v>
      </c>
      <c r="D783" s="16" t="s">
        <v>1564</v>
      </c>
      <c r="E783" s="17" t="s">
        <v>1565</v>
      </c>
      <c r="F783" s="16" t="n">
        <v>33.34344727</v>
      </c>
      <c r="G783" s="16" t="n">
        <v>44.33884051</v>
      </c>
      <c r="H783" s="18" t="n">
        <v>137</v>
      </c>
      <c r="I783" s="18" t="n">
        <v>822</v>
      </c>
      <c r="J783" s="19" t="n">
        <v>98</v>
      </c>
      <c r="K783" s="19"/>
      <c r="L783" s="19"/>
      <c r="M783" s="19"/>
      <c r="N783" s="19"/>
      <c r="O783" s="19" t="n">
        <v>3</v>
      </c>
      <c r="P783" s="19"/>
      <c r="Q783" s="19"/>
      <c r="R783" s="19"/>
      <c r="S783" s="19"/>
      <c r="T783" s="19"/>
      <c r="U783" s="19"/>
      <c r="V783" s="19" t="n">
        <v>18</v>
      </c>
      <c r="W783" s="19"/>
      <c r="X783" s="19" t="n">
        <v>18</v>
      </c>
      <c r="Y783" s="19"/>
      <c r="Z783" s="19"/>
      <c r="AA783" s="19"/>
      <c r="AB783" s="19"/>
      <c r="AC783" s="19" t="n">
        <v>61</v>
      </c>
      <c r="AD783" s="19"/>
      <c r="AE783" s="19"/>
      <c r="AF783" s="19"/>
      <c r="AG783" s="19"/>
      <c r="AH783" s="19" t="n">
        <v>76</v>
      </c>
      <c r="AI783" s="19"/>
      <c r="AJ783" s="19"/>
      <c r="AK783" s="19"/>
      <c r="AL783" s="19" t="n">
        <v>18</v>
      </c>
      <c r="AM783" s="19" t="n">
        <v>7</v>
      </c>
      <c r="AN783" s="19" t="n">
        <v>5</v>
      </c>
      <c r="AO783" s="19" t="n">
        <v>45</v>
      </c>
      <c r="AP783" s="19" t="n">
        <v>58</v>
      </c>
      <c r="AQ783" s="19"/>
      <c r="AR783" s="19" t="n">
        <v>4</v>
      </c>
      <c r="AS783" s="20" t="str">
        <f aca="false">HYPERLINK("http://www.openstreetmap.org/?mlat=33.3434&amp;mlon=44.3388&amp;zoom=12#map=12/33.3434/44.3388","Maplink1")</f>
        <v>Maplink1</v>
      </c>
      <c r="AT783" s="20" t="str">
        <f aca="false">HYPERLINK("https://www.google.iq/maps/search/+33.3434,44.3388/@33.3434,44.3388,14z?hl=en","Maplink2")</f>
        <v>Maplink2</v>
      </c>
      <c r="AU783" s="20" t="str">
        <f aca="false">HYPERLINK("http://www.bing.com/maps/?lvl=14&amp;sty=h&amp;cp=33.3434~44.3388&amp;sp=point.33.3434_44.3388","Maplink3")</f>
        <v>Maplink3</v>
      </c>
    </row>
    <row r="784" customFormat="false" ht="15" hidden="false" customHeight="true" outlineLevel="0" collapsed="false">
      <c r="A784" s="15" t="n">
        <v>25717</v>
      </c>
      <c r="B784" s="16" t="s">
        <v>17</v>
      </c>
      <c r="C784" s="16" t="s">
        <v>1513</v>
      </c>
      <c r="D784" s="16" t="s">
        <v>1566</v>
      </c>
      <c r="E784" s="17" t="s">
        <v>1567</v>
      </c>
      <c r="F784" s="16" t="n">
        <v>33.34791042</v>
      </c>
      <c r="G784" s="16" t="n">
        <v>44.33606652</v>
      </c>
      <c r="H784" s="18" t="n">
        <v>34</v>
      </c>
      <c r="I784" s="18" t="n">
        <v>204</v>
      </c>
      <c r="J784" s="19" t="n">
        <v>27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 t="n">
        <v>7</v>
      </c>
      <c r="W784" s="19"/>
      <c r="X784" s="19"/>
      <c r="Y784" s="19"/>
      <c r="Z784" s="19"/>
      <c r="AA784" s="19"/>
      <c r="AB784" s="19"/>
      <c r="AC784" s="19" t="n">
        <v>17</v>
      </c>
      <c r="AD784" s="19"/>
      <c r="AE784" s="19"/>
      <c r="AF784" s="19"/>
      <c r="AG784" s="19"/>
      <c r="AH784" s="19" t="n">
        <v>17</v>
      </c>
      <c r="AI784" s="19"/>
      <c r="AJ784" s="19"/>
      <c r="AK784" s="19"/>
      <c r="AL784" s="19" t="n">
        <v>8</v>
      </c>
      <c r="AM784" s="19" t="n">
        <v>6</v>
      </c>
      <c r="AN784" s="19"/>
      <c r="AO784" s="19" t="n">
        <v>11</v>
      </c>
      <c r="AP784" s="19" t="n">
        <v>4</v>
      </c>
      <c r="AQ784" s="19"/>
      <c r="AR784" s="19" t="n">
        <v>5</v>
      </c>
      <c r="AS784" s="20" t="str">
        <f aca="false">HYPERLINK("http://www.openstreetmap.org/?mlat=33.3479&amp;mlon=44.3361&amp;zoom=12#map=12/33.3479/44.3361","Maplink1")</f>
        <v>Maplink1</v>
      </c>
      <c r="AT784" s="20" t="str">
        <f aca="false">HYPERLINK("https://www.google.iq/maps/search/+33.3479,44.3361/@33.3479,44.3361,14z?hl=en","Maplink2")</f>
        <v>Maplink2</v>
      </c>
      <c r="AU784" s="20" t="str">
        <f aca="false">HYPERLINK("http://www.bing.com/maps/?lvl=14&amp;sty=h&amp;cp=33.3479~44.3361&amp;sp=point.33.3479_44.3361","Maplink3")</f>
        <v>Maplink3</v>
      </c>
    </row>
    <row r="785" customFormat="false" ht="15" hidden="false" customHeight="true" outlineLevel="0" collapsed="false">
      <c r="A785" s="15" t="n">
        <v>25719</v>
      </c>
      <c r="B785" s="16" t="s">
        <v>17</v>
      </c>
      <c r="C785" s="16" t="s">
        <v>1513</v>
      </c>
      <c r="D785" s="16" t="s">
        <v>1568</v>
      </c>
      <c r="E785" s="17" t="s">
        <v>1569</v>
      </c>
      <c r="F785" s="16" t="n">
        <v>33.34753852</v>
      </c>
      <c r="G785" s="16" t="n">
        <v>44.34106171</v>
      </c>
      <c r="H785" s="18" t="n">
        <v>71</v>
      </c>
      <c r="I785" s="18" t="n">
        <v>426</v>
      </c>
      <c r="J785" s="19" t="n">
        <v>55</v>
      </c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 t="n">
        <v>1</v>
      </c>
      <c r="W785" s="19"/>
      <c r="X785" s="19" t="n">
        <v>15</v>
      </c>
      <c r="Y785" s="19"/>
      <c r="Z785" s="19"/>
      <c r="AA785" s="19"/>
      <c r="AB785" s="19"/>
      <c r="AC785" s="19" t="n">
        <v>25</v>
      </c>
      <c r="AD785" s="19"/>
      <c r="AE785" s="19"/>
      <c r="AF785" s="19"/>
      <c r="AG785" s="19"/>
      <c r="AH785" s="19" t="n">
        <v>46</v>
      </c>
      <c r="AI785" s="19"/>
      <c r="AJ785" s="19"/>
      <c r="AK785" s="19"/>
      <c r="AL785" s="19"/>
      <c r="AM785" s="19" t="n">
        <v>6</v>
      </c>
      <c r="AN785" s="19" t="n">
        <v>11</v>
      </c>
      <c r="AO785" s="19" t="n">
        <v>23</v>
      </c>
      <c r="AP785" s="19" t="n">
        <v>31</v>
      </c>
      <c r="AQ785" s="19"/>
      <c r="AR785" s="19"/>
      <c r="AS785" s="20" t="str">
        <f aca="false">HYPERLINK("http://www.openstreetmap.org/?mlat=33.3475&amp;mlon=44.3411&amp;zoom=12#map=12/33.3475/44.3411","Maplink1")</f>
        <v>Maplink1</v>
      </c>
      <c r="AT785" s="20" t="str">
        <f aca="false">HYPERLINK("https://www.google.iq/maps/search/+33.3475,44.3411/@33.3475,44.3411,14z?hl=en","Maplink2")</f>
        <v>Maplink2</v>
      </c>
      <c r="AU785" s="20" t="str">
        <f aca="false">HYPERLINK("http://www.bing.com/maps/?lvl=14&amp;sty=h&amp;cp=33.3475~44.3411&amp;sp=point.33.3475_44.3411","Maplink3")</f>
        <v>Maplink3</v>
      </c>
    </row>
    <row r="786" customFormat="false" ht="15" hidden="false" customHeight="true" outlineLevel="0" collapsed="false">
      <c r="A786" s="15" t="n">
        <v>25200</v>
      </c>
      <c r="B786" s="16" t="s">
        <v>17</v>
      </c>
      <c r="C786" s="16" t="s">
        <v>1513</v>
      </c>
      <c r="D786" s="16" t="s">
        <v>1570</v>
      </c>
      <c r="E786" s="17" t="s">
        <v>1571</v>
      </c>
      <c r="F786" s="16" t="n">
        <v>33.35234</v>
      </c>
      <c r="G786" s="16" t="n">
        <v>44.33587</v>
      </c>
      <c r="H786" s="18" t="n">
        <v>180</v>
      </c>
      <c r="I786" s="18" t="n">
        <v>1080</v>
      </c>
      <c r="J786" s="19" t="n">
        <v>147</v>
      </c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 t="n">
        <v>8</v>
      </c>
      <c r="W786" s="19"/>
      <c r="X786" s="19" t="n">
        <v>25</v>
      </c>
      <c r="Y786" s="19"/>
      <c r="Z786" s="19"/>
      <c r="AA786" s="19"/>
      <c r="AB786" s="19"/>
      <c r="AC786" s="19" t="n">
        <v>61</v>
      </c>
      <c r="AD786" s="19"/>
      <c r="AE786" s="19"/>
      <c r="AF786" s="19"/>
      <c r="AG786" s="19"/>
      <c r="AH786" s="19" t="n">
        <v>119</v>
      </c>
      <c r="AI786" s="19"/>
      <c r="AJ786" s="19"/>
      <c r="AK786" s="19"/>
      <c r="AL786" s="19" t="n">
        <v>23</v>
      </c>
      <c r="AM786" s="19" t="n">
        <v>5</v>
      </c>
      <c r="AN786" s="19" t="n">
        <v>23</v>
      </c>
      <c r="AO786" s="19" t="n">
        <v>64</v>
      </c>
      <c r="AP786" s="19" t="n">
        <v>63</v>
      </c>
      <c r="AQ786" s="19" t="n">
        <v>2</v>
      </c>
      <c r="AR786" s="19"/>
      <c r="AS786" s="20" t="str">
        <f aca="false">HYPERLINK("http://www.openstreetmap.org/?mlat=33.3523&amp;mlon=44.3359&amp;zoom=12#map=12/33.3523/44.3359","Maplink1")</f>
        <v>Maplink1</v>
      </c>
      <c r="AT786" s="20" t="str">
        <f aca="false">HYPERLINK("https://www.google.iq/maps/search/+33.3523,44.3359/@33.3523,44.3359,14z?hl=en","Maplink2")</f>
        <v>Maplink2</v>
      </c>
      <c r="AU786" s="20" t="str">
        <f aca="false">HYPERLINK("http://www.bing.com/maps/?lvl=14&amp;sty=h&amp;cp=33.3523~44.3359&amp;sp=point.33.3523_44.3359","Maplink3")</f>
        <v>Maplink3</v>
      </c>
    </row>
    <row r="787" customFormat="false" ht="15" hidden="false" customHeight="true" outlineLevel="0" collapsed="false">
      <c r="A787" s="15" t="n">
        <v>25199</v>
      </c>
      <c r="B787" s="16" t="s">
        <v>17</v>
      </c>
      <c r="C787" s="16" t="s">
        <v>1513</v>
      </c>
      <c r="D787" s="16" t="s">
        <v>1572</v>
      </c>
      <c r="E787" s="17" t="s">
        <v>1573</v>
      </c>
      <c r="F787" s="16" t="n">
        <v>33.50662009</v>
      </c>
      <c r="G787" s="16" t="n">
        <v>44.24065811</v>
      </c>
      <c r="H787" s="18" t="n">
        <v>54</v>
      </c>
      <c r="I787" s="18" t="n">
        <v>324</v>
      </c>
      <c r="J787" s="19" t="n">
        <v>54</v>
      </c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 t="n">
        <v>16</v>
      </c>
      <c r="AD787" s="19"/>
      <c r="AE787" s="19"/>
      <c r="AF787" s="19"/>
      <c r="AG787" s="19"/>
      <c r="AH787" s="19" t="n">
        <v>38</v>
      </c>
      <c r="AI787" s="19"/>
      <c r="AJ787" s="19"/>
      <c r="AK787" s="19"/>
      <c r="AL787" s="19"/>
      <c r="AM787" s="19"/>
      <c r="AN787" s="19"/>
      <c r="AO787" s="19" t="n">
        <v>10</v>
      </c>
      <c r="AP787" s="19" t="n">
        <v>44</v>
      </c>
      <c r="AQ787" s="19"/>
      <c r="AR787" s="19"/>
      <c r="AS787" s="20" t="str">
        <f aca="false">HYPERLINK("http://www.openstreetmap.org/?mlat=33.5066&amp;mlon=44.2407&amp;zoom=12#map=12/33.5066/44.2407","Maplink1")</f>
        <v>Maplink1</v>
      </c>
      <c r="AT787" s="20" t="str">
        <f aca="false">HYPERLINK("https://www.google.iq/maps/search/+33.5066,44.2407/@33.5066,44.2407,14z?hl=en","Maplink2")</f>
        <v>Maplink2</v>
      </c>
      <c r="AU787" s="20" t="str">
        <f aca="false">HYPERLINK("http://www.bing.com/maps/?lvl=14&amp;sty=h&amp;cp=33.5066~44.2407&amp;sp=point.33.5066_44.2407","Maplink3")</f>
        <v>Maplink3</v>
      </c>
    </row>
    <row r="788" customFormat="false" ht="15" hidden="false" customHeight="true" outlineLevel="0" collapsed="false">
      <c r="A788" s="15" t="n">
        <v>27249</v>
      </c>
      <c r="B788" s="16" t="s">
        <v>17</v>
      </c>
      <c r="C788" s="16" t="s">
        <v>1513</v>
      </c>
      <c r="D788" s="16" t="s">
        <v>1574</v>
      </c>
      <c r="E788" s="17" t="s">
        <v>1575</v>
      </c>
      <c r="F788" s="16" t="n">
        <v>33.5032</v>
      </c>
      <c r="G788" s="16" t="n">
        <v>44.302</v>
      </c>
      <c r="H788" s="18" t="n">
        <v>60</v>
      </c>
      <c r="I788" s="18" t="n">
        <v>360</v>
      </c>
      <c r="J788" s="19" t="n">
        <v>46</v>
      </c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 t="n">
        <v>14</v>
      </c>
      <c r="Y788" s="19"/>
      <c r="Z788" s="19"/>
      <c r="AA788" s="19"/>
      <c r="AB788" s="19"/>
      <c r="AC788" s="19" t="n">
        <v>23</v>
      </c>
      <c r="AD788" s="19"/>
      <c r="AE788" s="19"/>
      <c r="AF788" s="19"/>
      <c r="AG788" s="19"/>
      <c r="AH788" s="19" t="n">
        <v>37</v>
      </c>
      <c r="AI788" s="19"/>
      <c r="AJ788" s="19"/>
      <c r="AK788" s="19"/>
      <c r="AL788" s="19"/>
      <c r="AM788" s="19"/>
      <c r="AN788" s="19"/>
      <c r="AO788" s="19" t="n">
        <v>25</v>
      </c>
      <c r="AP788" s="19" t="n">
        <v>30</v>
      </c>
      <c r="AQ788" s="19" t="n">
        <v>5</v>
      </c>
      <c r="AR788" s="19"/>
      <c r="AS788" s="20" t="str">
        <f aca="false">HYPERLINK("http://www.openstreetmap.org/?mlat=33.5032&amp;mlon=44.302&amp;zoom=12#map=12/33.5032/44.302","Maplink1")</f>
        <v>Maplink1</v>
      </c>
      <c r="AT788" s="20" t="str">
        <f aca="false">HYPERLINK("https://www.google.iq/maps/search/+33.5032,44.302/@33.5032,44.302,14z?hl=en","Maplink2")</f>
        <v>Maplink2</v>
      </c>
      <c r="AU788" s="20" t="str">
        <f aca="false">HYPERLINK("http://www.bing.com/maps/?lvl=14&amp;sty=h&amp;cp=33.5032~44.302&amp;sp=point.33.5032_44.302","Maplink3")</f>
        <v>Maplink3</v>
      </c>
    </row>
    <row r="789" customFormat="false" ht="15" hidden="false" customHeight="true" outlineLevel="0" collapsed="false">
      <c r="A789" s="15" t="n">
        <v>27309</v>
      </c>
      <c r="B789" s="16" t="s">
        <v>17</v>
      </c>
      <c r="C789" s="16" t="s">
        <v>1513</v>
      </c>
      <c r="D789" s="16" t="s">
        <v>1576</v>
      </c>
      <c r="E789" s="17" t="s">
        <v>1577</v>
      </c>
      <c r="F789" s="16" t="n">
        <v>33.4612</v>
      </c>
      <c r="G789" s="16" t="n">
        <v>44.2301</v>
      </c>
      <c r="H789" s="18" t="n">
        <v>38</v>
      </c>
      <c r="I789" s="18" t="n">
        <v>228</v>
      </c>
      <c r="J789" s="19" t="n">
        <v>32</v>
      </c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 t="n">
        <v>6</v>
      </c>
      <c r="Y789" s="19"/>
      <c r="Z789" s="19"/>
      <c r="AA789" s="19"/>
      <c r="AB789" s="19"/>
      <c r="AC789" s="19" t="n">
        <v>24</v>
      </c>
      <c r="AD789" s="19"/>
      <c r="AE789" s="19"/>
      <c r="AF789" s="19"/>
      <c r="AG789" s="19"/>
      <c r="AH789" s="19" t="n">
        <v>14</v>
      </c>
      <c r="AI789" s="19"/>
      <c r="AJ789" s="19"/>
      <c r="AK789" s="19"/>
      <c r="AL789" s="19"/>
      <c r="AM789" s="19"/>
      <c r="AN789" s="19"/>
      <c r="AO789" s="19" t="n">
        <v>6</v>
      </c>
      <c r="AP789" s="19" t="n">
        <v>28</v>
      </c>
      <c r="AQ789" s="19" t="n">
        <v>4</v>
      </c>
      <c r="AR789" s="19"/>
      <c r="AS789" s="20" t="str">
        <f aca="false">HYPERLINK("http://www.openstreetmap.org/?mlat=33.4612&amp;mlon=44.2301&amp;zoom=12#map=12/33.4612/44.2301","Maplink1")</f>
        <v>Maplink1</v>
      </c>
      <c r="AT789" s="20" t="str">
        <f aca="false">HYPERLINK("https://www.google.iq/maps/search/+33.4612,44.2301/@33.4612,44.2301,14z?hl=en","Maplink2")</f>
        <v>Maplink2</v>
      </c>
      <c r="AU789" s="20" t="str">
        <f aca="false">HYPERLINK("http://www.bing.com/maps/?lvl=14&amp;sty=h&amp;cp=33.4612~44.2301&amp;sp=point.33.4612_44.2301","Maplink3")</f>
        <v>Maplink3</v>
      </c>
    </row>
    <row r="790" customFormat="false" ht="15" hidden="false" customHeight="true" outlineLevel="0" collapsed="false">
      <c r="A790" s="15" t="n">
        <v>25197</v>
      </c>
      <c r="B790" s="16" t="s">
        <v>17</v>
      </c>
      <c r="C790" s="16" t="s">
        <v>1513</v>
      </c>
      <c r="D790" s="16" t="s">
        <v>1578</v>
      </c>
      <c r="E790" s="17" t="s">
        <v>1579</v>
      </c>
      <c r="F790" s="16" t="n">
        <v>33.4776608737</v>
      </c>
      <c r="G790" s="16" t="n">
        <v>44.266676285</v>
      </c>
      <c r="H790" s="18" t="n">
        <v>2</v>
      </c>
      <c r="I790" s="18" t="n">
        <v>12</v>
      </c>
      <c r="J790" s="19" t="n">
        <v>2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 t="n">
        <v>2</v>
      </c>
      <c r="AI790" s="19"/>
      <c r="AJ790" s="19"/>
      <c r="AK790" s="19"/>
      <c r="AL790" s="19"/>
      <c r="AM790" s="19"/>
      <c r="AN790" s="19"/>
      <c r="AO790" s="19" t="n">
        <v>2</v>
      </c>
      <c r="AP790" s="19"/>
      <c r="AQ790" s="19"/>
      <c r="AR790" s="19"/>
      <c r="AS790" s="20" t="str">
        <f aca="false">HYPERLINK("http://www.openstreetmap.org/?mlat=33.4777&amp;mlon=44.2667&amp;zoom=12#map=12/33.4777/44.2667","Maplink1")</f>
        <v>Maplink1</v>
      </c>
      <c r="AT790" s="20" t="str">
        <f aca="false">HYPERLINK("https://www.google.iq/maps/search/+33.4777,44.2667/@33.4777,44.2667,14z?hl=en","Maplink2")</f>
        <v>Maplink2</v>
      </c>
      <c r="AU790" s="20" t="str">
        <f aca="false">HYPERLINK("http://www.bing.com/maps/?lvl=14&amp;sty=h&amp;cp=33.4777~44.2667&amp;sp=point.33.4777_44.2667","Maplink3")</f>
        <v>Maplink3</v>
      </c>
    </row>
    <row r="791" customFormat="false" ht="15" hidden="false" customHeight="true" outlineLevel="0" collapsed="false">
      <c r="A791" s="15" t="n">
        <v>7468</v>
      </c>
      <c r="B791" s="16" t="s">
        <v>17</v>
      </c>
      <c r="C791" s="16" t="s">
        <v>1513</v>
      </c>
      <c r="D791" s="16" t="s">
        <v>1580</v>
      </c>
      <c r="E791" s="17" t="s">
        <v>1581</v>
      </c>
      <c r="F791" s="16" t="n">
        <v>33.513904</v>
      </c>
      <c r="G791" s="16" t="n">
        <v>44.229476</v>
      </c>
      <c r="H791" s="18" t="n">
        <v>11</v>
      </c>
      <c r="I791" s="18" t="n">
        <v>66</v>
      </c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 t="n">
        <v>11</v>
      </c>
      <c r="W791" s="19"/>
      <c r="X791" s="19"/>
      <c r="Y791" s="19"/>
      <c r="Z791" s="19"/>
      <c r="AA791" s="19"/>
      <c r="AB791" s="19"/>
      <c r="AC791" s="19" t="n">
        <v>11</v>
      </c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 t="n">
        <v>11</v>
      </c>
      <c r="AS791" s="20" t="str">
        <f aca="false">HYPERLINK("http://www.openstreetmap.org/?mlat=33.5139&amp;mlon=44.2295&amp;zoom=12#map=12/33.5139/44.2295","Maplink1")</f>
        <v>Maplink1</v>
      </c>
      <c r="AT791" s="20" t="str">
        <f aca="false">HYPERLINK("https://www.google.iq/maps/search/+33.5139,44.2295/@33.5139,44.2295,14z?hl=en","Maplink2")</f>
        <v>Maplink2</v>
      </c>
      <c r="AU791" s="20" t="str">
        <f aca="false">HYPERLINK("http://www.bing.com/maps/?lvl=14&amp;sty=h&amp;cp=33.5139~44.2295&amp;sp=point.33.5139_44.2295","Maplink3")</f>
        <v>Maplink3</v>
      </c>
    </row>
    <row r="792" customFormat="false" ht="15" hidden="false" customHeight="true" outlineLevel="0" collapsed="false">
      <c r="A792" s="15" t="n">
        <v>24501</v>
      </c>
      <c r="B792" s="16" t="s">
        <v>17</v>
      </c>
      <c r="C792" s="16" t="s">
        <v>1513</v>
      </c>
      <c r="D792" s="16" t="s">
        <v>1582</v>
      </c>
      <c r="E792" s="17" t="s">
        <v>1583</v>
      </c>
      <c r="F792" s="16" t="n">
        <v>33.35048794</v>
      </c>
      <c r="G792" s="16" t="n">
        <v>44.35846254</v>
      </c>
      <c r="H792" s="18" t="n">
        <v>25</v>
      </c>
      <c r="I792" s="18" t="n">
        <v>150</v>
      </c>
      <c r="J792" s="19" t="n">
        <v>12</v>
      </c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 t="n">
        <v>13</v>
      </c>
      <c r="W792" s="19"/>
      <c r="X792" s="19"/>
      <c r="Y792" s="19"/>
      <c r="Z792" s="19"/>
      <c r="AA792" s="19"/>
      <c r="AB792" s="19"/>
      <c r="AC792" s="19" t="n">
        <v>13</v>
      </c>
      <c r="AD792" s="19"/>
      <c r="AE792" s="19"/>
      <c r="AF792" s="19"/>
      <c r="AG792" s="19"/>
      <c r="AH792" s="19" t="n">
        <v>12</v>
      </c>
      <c r="AI792" s="19"/>
      <c r="AJ792" s="19"/>
      <c r="AK792" s="19"/>
      <c r="AL792" s="19"/>
      <c r="AM792" s="19" t="n">
        <v>14</v>
      </c>
      <c r="AN792" s="19"/>
      <c r="AO792" s="19" t="n">
        <v>11</v>
      </c>
      <c r="AP792" s="19"/>
      <c r="AQ792" s="19"/>
      <c r="AR792" s="19"/>
      <c r="AS792" s="20" t="str">
        <f aca="false">HYPERLINK("http://www.openstreetmap.org/?mlat=33.3505&amp;mlon=44.3585&amp;zoom=12#map=12/33.3505/44.3585","Maplink1")</f>
        <v>Maplink1</v>
      </c>
      <c r="AT792" s="20" t="str">
        <f aca="false">HYPERLINK("https://www.google.iq/maps/search/+33.3505,44.3585/@33.3505,44.3585,14z?hl=en","Maplink2")</f>
        <v>Maplink2</v>
      </c>
      <c r="AU792" s="20" t="str">
        <f aca="false">HYPERLINK("http://www.bing.com/maps/?lvl=14&amp;sty=h&amp;cp=33.3505~44.3585&amp;sp=point.33.3505_44.3585","Maplink3")</f>
        <v>Maplink3</v>
      </c>
    </row>
    <row r="793" customFormat="false" ht="15" hidden="false" customHeight="true" outlineLevel="0" collapsed="false">
      <c r="A793" s="15" t="n">
        <v>23508</v>
      </c>
      <c r="B793" s="16" t="s">
        <v>17</v>
      </c>
      <c r="C793" s="16" t="s">
        <v>1513</v>
      </c>
      <c r="D793" s="16" t="s">
        <v>1584</v>
      </c>
      <c r="E793" s="17" t="s">
        <v>1585</v>
      </c>
      <c r="F793" s="16" t="n">
        <v>33.50939</v>
      </c>
      <c r="G793" s="16" t="n">
        <v>44.30426</v>
      </c>
      <c r="H793" s="18" t="n">
        <v>80</v>
      </c>
      <c r="I793" s="18" t="n">
        <v>480</v>
      </c>
      <c r="J793" s="19" t="n">
        <v>72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 t="n">
        <v>8</v>
      </c>
      <c r="Y793" s="19"/>
      <c r="Z793" s="19"/>
      <c r="AA793" s="19"/>
      <c r="AB793" s="19"/>
      <c r="AC793" s="19" t="n">
        <v>40</v>
      </c>
      <c r="AD793" s="19"/>
      <c r="AE793" s="19"/>
      <c r="AF793" s="19"/>
      <c r="AG793" s="19"/>
      <c r="AH793" s="19" t="n">
        <v>40</v>
      </c>
      <c r="AI793" s="19"/>
      <c r="AJ793" s="19"/>
      <c r="AK793" s="19"/>
      <c r="AL793" s="19"/>
      <c r="AM793" s="19"/>
      <c r="AN793" s="19"/>
      <c r="AO793" s="19" t="n">
        <v>27</v>
      </c>
      <c r="AP793" s="19" t="n">
        <v>45</v>
      </c>
      <c r="AQ793" s="19" t="n">
        <v>8</v>
      </c>
      <c r="AR793" s="19"/>
      <c r="AS793" s="20" t="str">
        <f aca="false">HYPERLINK("http://www.openstreetmap.org/?mlat=33.5094&amp;mlon=44.3043&amp;zoom=12#map=12/33.5094/44.3043","Maplink1")</f>
        <v>Maplink1</v>
      </c>
      <c r="AT793" s="20" t="str">
        <f aca="false">HYPERLINK("https://www.google.iq/maps/search/+33.5094,44.3043/@33.5094,44.3043,14z?hl=en","Maplink2")</f>
        <v>Maplink2</v>
      </c>
      <c r="AU793" s="20" t="str">
        <f aca="false">HYPERLINK("http://www.bing.com/maps/?lvl=14&amp;sty=h&amp;cp=33.5094~44.3043&amp;sp=point.33.5094_44.3043","Maplink3")</f>
        <v>Maplink3</v>
      </c>
    </row>
    <row r="794" customFormat="false" ht="15" hidden="false" customHeight="true" outlineLevel="0" collapsed="false">
      <c r="A794" s="15" t="n">
        <v>27250</v>
      </c>
      <c r="B794" s="16" t="s">
        <v>17</v>
      </c>
      <c r="C794" s="16" t="s">
        <v>1513</v>
      </c>
      <c r="D794" s="16" t="s">
        <v>1586</v>
      </c>
      <c r="E794" s="17" t="s">
        <v>1587</v>
      </c>
      <c r="F794" s="16" t="n">
        <v>33.52025</v>
      </c>
      <c r="G794" s="16" t="n">
        <v>44.20424</v>
      </c>
      <c r="H794" s="18" t="n">
        <v>64</v>
      </c>
      <c r="I794" s="18" t="n">
        <v>384</v>
      </c>
      <c r="J794" s="19" t="n">
        <v>38</v>
      </c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 t="n">
        <v>26</v>
      </c>
      <c r="Y794" s="19"/>
      <c r="Z794" s="19"/>
      <c r="AA794" s="19"/>
      <c r="AB794" s="19"/>
      <c r="AC794" s="19" t="n">
        <v>44</v>
      </c>
      <c r="AD794" s="19"/>
      <c r="AE794" s="19"/>
      <c r="AF794" s="19"/>
      <c r="AG794" s="19"/>
      <c r="AH794" s="19" t="n">
        <v>20</v>
      </c>
      <c r="AI794" s="19"/>
      <c r="AJ794" s="19"/>
      <c r="AK794" s="19"/>
      <c r="AL794" s="19"/>
      <c r="AM794" s="19"/>
      <c r="AN794" s="19"/>
      <c r="AO794" s="19" t="n">
        <v>26</v>
      </c>
      <c r="AP794" s="19" t="n">
        <v>38</v>
      </c>
      <c r="AQ794" s="19"/>
      <c r="AR794" s="19"/>
      <c r="AS794" s="20" t="str">
        <f aca="false">HYPERLINK("http://www.openstreetmap.org/?mlat=33.5202&amp;mlon=44.2042&amp;zoom=12#map=12/33.5202/44.2042","Maplink1")</f>
        <v>Maplink1</v>
      </c>
      <c r="AT794" s="20" t="str">
        <f aca="false">HYPERLINK("https://www.google.iq/maps/search/+33.5202,44.2042/@33.5202,44.2042,14z?hl=en","Maplink2")</f>
        <v>Maplink2</v>
      </c>
      <c r="AU794" s="20" t="str">
        <f aca="false">HYPERLINK("http://www.bing.com/maps/?lvl=14&amp;sty=h&amp;cp=33.5202~44.2042&amp;sp=point.33.5202_44.2042","Maplink3")</f>
        <v>Maplink3</v>
      </c>
    </row>
    <row r="795" customFormat="false" ht="15" hidden="false" customHeight="true" outlineLevel="0" collapsed="false">
      <c r="A795" s="15" t="n">
        <v>25192</v>
      </c>
      <c r="B795" s="16" t="s">
        <v>17</v>
      </c>
      <c r="C795" s="16" t="s">
        <v>1513</v>
      </c>
      <c r="D795" s="16" t="s">
        <v>1588</v>
      </c>
      <c r="E795" s="17" t="s">
        <v>1589</v>
      </c>
      <c r="F795" s="16" t="n">
        <v>33.5465</v>
      </c>
      <c r="G795" s="16" t="n">
        <v>44.19526</v>
      </c>
      <c r="H795" s="18" t="n">
        <v>24</v>
      </c>
      <c r="I795" s="18" t="n">
        <v>144</v>
      </c>
      <c r="J795" s="19" t="n">
        <v>24</v>
      </c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 t="n">
        <v>24</v>
      </c>
      <c r="AD795" s="19"/>
      <c r="AE795" s="19"/>
      <c r="AF795" s="19"/>
      <c r="AG795" s="19"/>
      <c r="AH795" s="19"/>
      <c r="AI795" s="19"/>
      <c r="AJ795" s="19"/>
      <c r="AK795" s="19"/>
      <c r="AL795" s="19" t="n">
        <v>14</v>
      </c>
      <c r="AM795" s="19"/>
      <c r="AN795" s="19"/>
      <c r="AO795" s="19"/>
      <c r="AP795" s="19" t="n">
        <v>10</v>
      </c>
      <c r="AQ795" s="19"/>
      <c r="AR795" s="19"/>
      <c r="AS795" s="20" t="str">
        <f aca="false">HYPERLINK("http://www.openstreetmap.org/?mlat=33.5465&amp;mlon=44.1953&amp;zoom=12#map=12/33.5465/44.1953","Maplink1")</f>
        <v>Maplink1</v>
      </c>
      <c r="AT795" s="20" t="str">
        <f aca="false">HYPERLINK("https://www.google.iq/maps/search/+33.5465,44.1953/@33.5465,44.1953,14z?hl=en","Maplink2")</f>
        <v>Maplink2</v>
      </c>
      <c r="AU795" s="20" t="str">
        <f aca="false">HYPERLINK("http://www.bing.com/maps/?lvl=14&amp;sty=h&amp;cp=33.5465~44.1953&amp;sp=point.33.5465_44.1953","Maplink3")</f>
        <v>Maplink3</v>
      </c>
    </row>
    <row r="796" customFormat="false" ht="15" hidden="false" customHeight="true" outlineLevel="0" collapsed="false">
      <c r="A796" s="15" t="n">
        <v>25176</v>
      </c>
      <c r="B796" s="16" t="s">
        <v>17</v>
      </c>
      <c r="C796" s="16" t="s">
        <v>1513</v>
      </c>
      <c r="D796" s="16" t="s">
        <v>1590</v>
      </c>
      <c r="E796" s="17" t="s">
        <v>1591</v>
      </c>
      <c r="F796" s="16" t="n">
        <v>33.4715090788</v>
      </c>
      <c r="G796" s="16" t="n">
        <v>44.233356009</v>
      </c>
      <c r="H796" s="18" t="n">
        <v>15</v>
      </c>
      <c r="I796" s="18" t="n">
        <v>90</v>
      </c>
      <c r="J796" s="19" t="n">
        <v>8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 t="n">
        <v>7</v>
      </c>
      <c r="Y796" s="19"/>
      <c r="Z796" s="19"/>
      <c r="AA796" s="19"/>
      <c r="AB796" s="19"/>
      <c r="AC796" s="19" t="n">
        <v>15</v>
      </c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 t="n">
        <v>8</v>
      </c>
      <c r="AQ796" s="19" t="n">
        <v>7</v>
      </c>
      <c r="AR796" s="19"/>
      <c r="AS796" s="20" t="str">
        <f aca="false">HYPERLINK("http://www.openstreetmap.org/?mlat=33.4715&amp;mlon=44.2334&amp;zoom=12#map=12/33.4715/44.2334","Maplink1")</f>
        <v>Maplink1</v>
      </c>
      <c r="AT796" s="20" t="str">
        <f aca="false">HYPERLINK("https://www.google.iq/maps/search/+33.4715,44.2334/@33.4715,44.2334,14z?hl=en","Maplink2")</f>
        <v>Maplink2</v>
      </c>
      <c r="AU796" s="20" t="str">
        <f aca="false">HYPERLINK("http://www.bing.com/maps/?lvl=14&amp;sty=h&amp;cp=33.4715~44.2334&amp;sp=point.33.4715_44.2334","Maplink3")</f>
        <v>Maplink3</v>
      </c>
    </row>
    <row r="797" customFormat="false" ht="15" hidden="false" customHeight="true" outlineLevel="0" collapsed="false">
      <c r="A797" s="15" t="n">
        <v>25174</v>
      </c>
      <c r="B797" s="16" t="s">
        <v>17</v>
      </c>
      <c r="C797" s="16" t="s">
        <v>1513</v>
      </c>
      <c r="D797" s="16" t="s">
        <v>1592</v>
      </c>
      <c r="E797" s="17" t="s">
        <v>1593</v>
      </c>
      <c r="F797" s="16" t="n">
        <v>33.4601</v>
      </c>
      <c r="G797" s="16" t="n">
        <v>44.2518</v>
      </c>
      <c r="H797" s="18" t="n">
        <v>28</v>
      </c>
      <c r="I797" s="18" t="n">
        <v>168</v>
      </c>
      <c r="J797" s="19" t="n">
        <v>25</v>
      </c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 t="n">
        <v>3</v>
      </c>
      <c r="Y797" s="19"/>
      <c r="Z797" s="19"/>
      <c r="AA797" s="19"/>
      <c r="AB797" s="19"/>
      <c r="AC797" s="19" t="n">
        <v>18</v>
      </c>
      <c r="AD797" s="19"/>
      <c r="AE797" s="19"/>
      <c r="AF797" s="19"/>
      <c r="AG797" s="19"/>
      <c r="AH797" s="19" t="n">
        <v>10</v>
      </c>
      <c r="AI797" s="19"/>
      <c r="AJ797" s="19"/>
      <c r="AK797" s="19"/>
      <c r="AL797" s="19" t="n">
        <v>10</v>
      </c>
      <c r="AM797" s="19"/>
      <c r="AN797" s="19"/>
      <c r="AO797" s="19" t="n">
        <v>5</v>
      </c>
      <c r="AP797" s="19" t="n">
        <v>13</v>
      </c>
      <c r="AQ797" s="19"/>
      <c r="AR797" s="19"/>
      <c r="AS797" s="20" t="str">
        <f aca="false">HYPERLINK("http://www.openstreetmap.org/?mlat=33.4601&amp;mlon=44.2518&amp;zoom=12#map=12/33.4601/44.2518","Maplink1")</f>
        <v>Maplink1</v>
      </c>
      <c r="AT797" s="20" t="str">
        <f aca="false">HYPERLINK("https://www.google.iq/maps/search/+33.4601,44.2518/@33.4601,44.2518,14z?hl=en","Maplink2")</f>
        <v>Maplink2</v>
      </c>
      <c r="AU797" s="20" t="str">
        <f aca="false">HYPERLINK("http://www.bing.com/maps/?lvl=14&amp;sty=h&amp;cp=33.4601~44.2518&amp;sp=point.33.4601_44.2518","Maplink3")</f>
        <v>Maplink3</v>
      </c>
    </row>
    <row r="798" customFormat="false" ht="15" hidden="false" customHeight="true" outlineLevel="0" collapsed="false">
      <c r="A798" s="15" t="n">
        <v>23282</v>
      </c>
      <c r="B798" s="16" t="s">
        <v>17</v>
      </c>
      <c r="C798" s="16" t="s">
        <v>1513</v>
      </c>
      <c r="D798" s="16" t="s">
        <v>1594</v>
      </c>
      <c r="E798" s="17" t="s">
        <v>1595</v>
      </c>
      <c r="F798" s="16" t="n">
        <v>33.49248044</v>
      </c>
      <c r="G798" s="16" t="n">
        <v>44.2375493</v>
      </c>
      <c r="H798" s="18" t="n">
        <v>79</v>
      </c>
      <c r="I798" s="18" t="n">
        <v>474</v>
      </c>
      <c r="J798" s="19" t="n">
        <v>66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 t="n">
        <v>13</v>
      </c>
      <c r="Y798" s="19"/>
      <c r="Z798" s="19"/>
      <c r="AA798" s="19"/>
      <c r="AB798" s="19"/>
      <c r="AC798" s="19" t="n">
        <v>46</v>
      </c>
      <c r="AD798" s="19"/>
      <c r="AE798" s="19"/>
      <c r="AF798" s="19"/>
      <c r="AG798" s="19"/>
      <c r="AH798" s="19" t="n">
        <v>33</v>
      </c>
      <c r="AI798" s="19"/>
      <c r="AJ798" s="19"/>
      <c r="AK798" s="19"/>
      <c r="AL798" s="19"/>
      <c r="AM798" s="19"/>
      <c r="AN798" s="19"/>
      <c r="AO798" s="19" t="n">
        <v>35</v>
      </c>
      <c r="AP798" s="19" t="n">
        <v>42</v>
      </c>
      <c r="AQ798" s="19" t="n">
        <v>2</v>
      </c>
      <c r="AR798" s="19"/>
      <c r="AS798" s="20" t="str">
        <f aca="false">HYPERLINK("http://www.openstreetmap.org/?mlat=33.4925&amp;mlon=44.2375&amp;zoom=12#map=12/33.4925/44.2375","Maplink1")</f>
        <v>Maplink1</v>
      </c>
      <c r="AT798" s="20" t="str">
        <f aca="false">HYPERLINK("https://www.google.iq/maps/search/+33.4925,44.2375/@33.4925,44.2375,14z?hl=en","Maplink2")</f>
        <v>Maplink2</v>
      </c>
      <c r="AU798" s="20" t="str">
        <f aca="false">HYPERLINK("http://www.bing.com/maps/?lvl=14&amp;sty=h&amp;cp=33.4925~44.2375&amp;sp=point.33.4925_44.2375","Maplink3")</f>
        <v>Maplink3</v>
      </c>
    </row>
    <row r="799" customFormat="false" ht="15" hidden="false" customHeight="true" outlineLevel="0" collapsed="false">
      <c r="A799" s="15" t="n">
        <v>25185</v>
      </c>
      <c r="B799" s="16" t="s">
        <v>17</v>
      </c>
      <c r="C799" s="16" t="s">
        <v>1513</v>
      </c>
      <c r="D799" s="16" t="s">
        <v>1596</v>
      </c>
      <c r="E799" s="17" t="s">
        <v>1597</v>
      </c>
      <c r="F799" s="16" t="n">
        <v>33.54760681</v>
      </c>
      <c r="G799" s="16" t="n">
        <v>44.1958521</v>
      </c>
      <c r="H799" s="18" t="n">
        <v>251</v>
      </c>
      <c r="I799" s="18" t="n">
        <v>1506</v>
      </c>
      <c r="J799" s="19" t="n">
        <v>251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 t="n">
        <v>111</v>
      </c>
      <c r="AD799" s="19"/>
      <c r="AE799" s="19"/>
      <c r="AF799" s="19"/>
      <c r="AG799" s="19"/>
      <c r="AH799" s="19" t="n">
        <v>140</v>
      </c>
      <c r="AI799" s="19"/>
      <c r="AJ799" s="19"/>
      <c r="AK799" s="19"/>
      <c r="AL799" s="19" t="n">
        <v>75</v>
      </c>
      <c r="AM799" s="19"/>
      <c r="AN799" s="19"/>
      <c r="AO799" s="19" t="n">
        <v>78</v>
      </c>
      <c r="AP799" s="19" t="n">
        <v>92</v>
      </c>
      <c r="AQ799" s="19" t="n">
        <v>6</v>
      </c>
      <c r="AR799" s="19"/>
      <c r="AS799" s="20" t="str">
        <f aca="false">HYPERLINK("http://www.openstreetmap.org/?mlat=33.5476&amp;mlon=44.1959&amp;zoom=12#map=12/33.5476/44.1959","Maplink1")</f>
        <v>Maplink1</v>
      </c>
      <c r="AT799" s="20" t="str">
        <f aca="false">HYPERLINK("https://www.google.iq/maps/search/+33.5476,44.1959/@33.5476,44.1959,14z?hl=en","Maplink2")</f>
        <v>Maplink2</v>
      </c>
      <c r="AU799" s="20" t="str">
        <f aca="false">HYPERLINK("http://www.bing.com/maps/?lvl=14&amp;sty=h&amp;cp=33.5476~44.1959&amp;sp=point.33.5476_44.1959","Maplink3")</f>
        <v>Maplink3</v>
      </c>
    </row>
    <row r="800" customFormat="false" ht="15" hidden="false" customHeight="true" outlineLevel="0" collapsed="false">
      <c r="A800" s="15" t="n">
        <v>25188</v>
      </c>
      <c r="B800" s="16" t="s">
        <v>17</v>
      </c>
      <c r="C800" s="16" t="s">
        <v>1513</v>
      </c>
      <c r="D800" s="16" t="s">
        <v>1598</v>
      </c>
      <c r="E800" s="17" t="s">
        <v>1599</v>
      </c>
      <c r="F800" s="16" t="n">
        <v>33.52216314</v>
      </c>
      <c r="G800" s="16" t="n">
        <v>44.20729968</v>
      </c>
      <c r="H800" s="18" t="n">
        <v>50</v>
      </c>
      <c r="I800" s="18" t="n">
        <v>300</v>
      </c>
      <c r="J800" s="19" t="n">
        <v>50</v>
      </c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 t="n">
        <v>20</v>
      </c>
      <c r="AD800" s="19"/>
      <c r="AE800" s="19"/>
      <c r="AF800" s="19"/>
      <c r="AG800" s="19"/>
      <c r="AH800" s="19" t="n">
        <v>30</v>
      </c>
      <c r="AI800" s="19"/>
      <c r="AJ800" s="19"/>
      <c r="AK800" s="19"/>
      <c r="AL800" s="19" t="n">
        <v>20</v>
      </c>
      <c r="AM800" s="19"/>
      <c r="AN800" s="19" t="n">
        <v>5</v>
      </c>
      <c r="AO800" s="19" t="n">
        <v>23</v>
      </c>
      <c r="AP800" s="19" t="n">
        <v>2</v>
      </c>
      <c r="AQ800" s="19"/>
      <c r="AR800" s="19"/>
      <c r="AS800" s="20" t="str">
        <f aca="false">HYPERLINK("http://www.openstreetmap.org/?mlat=33.5222&amp;mlon=44.2073&amp;zoom=12#map=12/33.5222/44.2073","Maplink1")</f>
        <v>Maplink1</v>
      </c>
      <c r="AT800" s="20" t="str">
        <f aca="false">HYPERLINK("https://www.google.iq/maps/search/+33.5222,44.2073/@33.5222,44.2073,14z?hl=en","Maplink2")</f>
        <v>Maplink2</v>
      </c>
      <c r="AU800" s="20" t="str">
        <f aca="false">HYPERLINK("http://www.bing.com/maps/?lvl=14&amp;sty=h&amp;cp=33.5222~44.2073&amp;sp=point.33.5222_44.2073","Maplink3")</f>
        <v>Maplink3</v>
      </c>
    </row>
    <row r="801" customFormat="false" ht="15" hidden="false" customHeight="true" outlineLevel="0" collapsed="false">
      <c r="A801" s="15" t="n">
        <v>25182</v>
      </c>
      <c r="B801" s="16" t="s">
        <v>17</v>
      </c>
      <c r="C801" s="16" t="s">
        <v>1513</v>
      </c>
      <c r="D801" s="16" t="s">
        <v>1600</v>
      </c>
      <c r="E801" s="17" t="s">
        <v>1601</v>
      </c>
      <c r="F801" s="16" t="n">
        <v>33.47778</v>
      </c>
      <c r="G801" s="16" t="n">
        <v>44.26747</v>
      </c>
      <c r="H801" s="18" t="n">
        <v>125</v>
      </c>
      <c r="I801" s="18" t="n">
        <v>750</v>
      </c>
      <c r="J801" s="19" t="n">
        <v>120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 t="n">
        <v>5</v>
      </c>
      <c r="Y801" s="19"/>
      <c r="Z801" s="19"/>
      <c r="AA801" s="19"/>
      <c r="AB801" s="19"/>
      <c r="AC801" s="19" t="n">
        <v>73</v>
      </c>
      <c r="AD801" s="19"/>
      <c r="AE801" s="19"/>
      <c r="AF801" s="19"/>
      <c r="AG801" s="19"/>
      <c r="AH801" s="19" t="n">
        <v>52</v>
      </c>
      <c r="AI801" s="19"/>
      <c r="AJ801" s="19"/>
      <c r="AK801" s="19"/>
      <c r="AL801" s="19"/>
      <c r="AM801" s="19"/>
      <c r="AN801" s="19"/>
      <c r="AO801" s="19" t="n">
        <v>61</v>
      </c>
      <c r="AP801" s="19" t="n">
        <v>60</v>
      </c>
      <c r="AQ801" s="19" t="n">
        <v>4</v>
      </c>
      <c r="AR801" s="19"/>
      <c r="AS801" s="20" t="str">
        <f aca="false">HYPERLINK("http://www.openstreetmap.org/?mlat=33.4778&amp;mlon=44.2675&amp;zoom=12#map=12/33.4778/44.2675","Maplink1")</f>
        <v>Maplink1</v>
      </c>
      <c r="AT801" s="20" t="str">
        <f aca="false">HYPERLINK("https://www.google.iq/maps/search/+33.4778,44.2675/@33.4778,44.2675,14z?hl=en","Maplink2")</f>
        <v>Maplink2</v>
      </c>
      <c r="AU801" s="20" t="str">
        <f aca="false">HYPERLINK("http://www.bing.com/maps/?lvl=14&amp;sty=h&amp;cp=33.4778~44.2675&amp;sp=point.33.4778_44.2675","Maplink3")</f>
        <v>Maplink3</v>
      </c>
    </row>
    <row r="802" customFormat="false" ht="15" hidden="false" customHeight="true" outlineLevel="0" collapsed="false">
      <c r="A802" s="15" t="n">
        <v>25195</v>
      </c>
      <c r="B802" s="16" t="s">
        <v>17</v>
      </c>
      <c r="C802" s="16" t="s">
        <v>1513</v>
      </c>
      <c r="D802" s="16" t="s">
        <v>1602</v>
      </c>
      <c r="E802" s="17" t="s">
        <v>1603</v>
      </c>
      <c r="F802" s="16" t="n">
        <v>33.5456</v>
      </c>
      <c r="G802" s="16" t="n">
        <v>44.1953</v>
      </c>
      <c r="H802" s="18" t="n">
        <v>95</v>
      </c>
      <c r="I802" s="18" t="n">
        <v>570</v>
      </c>
      <c r="J802" s="19" t="n">
        <v>95</v>
      </c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 t="n">
        <v>70</v>
      </c>
      <c r="AD802" s="19"/>
      <c r="AE802" s="19"/>
      <c r="AF802" s="19"/>
      <c r="AG802" s="19"/>
      <c r="AH802" s="19" t="n">
        <v>25</v>
      </c>
      <c r="AI802" s="19"/>
      <c r="AJ802" s="19"/>
      <c r="AK802" s="19"/>
      <c r="AL802" s="19" t="n">
        <v>95</v>
      </c>
      <c r="AM802" s="19"/>
      <c r="AN802" s="19"/>
      <c r="AO802" s="19"/>
      <c r="AP802" s="19"/>
      <c r="AQ802" s="19"/>
      <c r="AR802" s="19"/>
      <c r="AS802" s="20" t="str">
        <f aca="false">HYPERLINK("http://www.openstreetmap.org/?mlat=33.5456&amp;mlon=44.1953&amp;zoom=12#map=12/33.5456/44.1953","Maplink1")</f>
        <v>Maplink1</v>
      </c>
      <c r="AT802" s="20" t="str">
        <f aca="false">HYPERLINK("https://www.google.iq/maps/search/+33.5456,44.1953/@33.5456,44.1953,14z?hl=en","Maplink2")</f>
        <v>Maplink2</v>
      </c>
      <c r="AU802" s="20" t="str">
        <f aca="false">HYPERLINK("http://www.bing.com/maps/?lvl=14&amp;sty=h&amp;cp=33.5456~44.1953&amp;sp=point.33.5456_44.1953","Maplink3")</f>
        <v>Maplink3</v>
      </c>
    </row>
    <row r="803" customFormat="false" ht="15" hidden="false" customHeight="true" outlineLevel="0" collapsed="false">
      <c r="A803" s="15" t="n">
        <v>28405</v>
      </c>
      <c r="B803" s="16" t="s">
        <v>17</v>
      </c>
      <c r="C803" s="16" t="s">
        <v>1513</v>
      </c>
      <c r="D803" s="16" t="s">
        <v>1604</v>
      </c>
      <c r="E803" s="17" t="s">
        <v>1605</v>
      </c>
      <c r="F803" s="16" t="n">
        <v>33.56655</v>
      </c>
      <c r="G803" s="16" t="n">
        <v>44.17526</v>
      </c>
      <c r="H803" s="18" t="n">
        <v>48</v>
      </c>
      <c r="I803" s="18" t="n">
        <v>288</v>
      </c>
      <c r="J803" s="19" t="n">
        <v>48</v>
      </c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 t="n">
        <v>23</v>
      </c>
      <c r="AD803" s="19"/>
      <c r="AE803" s="19"/>
      <c r="AF803" s="19"/>
      <c r="AG803" s="19"/>
      <c r="AH803" s="19" t="n">
        <v>25</v>
      </c>
      <c r="AI803" s="19"/>
      <c r="AJ803" s="19"/>
      <c r="AK803" s="19"/>
      <c r="AL803" s="19"/>
      <c r="AM803" s="19"/>
      <c r="AN803" s="19"/>
      <c r="AO803" s="19" t="n">
        <v>20</v>
      </c>
      <c r="AP803" s="19" t="n">
        <v>5</v>
      </c>
      <c r="AQ803" s="19" t="n">
        <v>23</v>
      </c>
      <c r="AR803" s="19"/>
      <c r="AS803" s="20" t="str">
        <f aca="false">HYPERLINK("http://www.openstreetmap.org/?mlat=33.5665&amp;mlon=44.1753&amp;zoom=12#map=12/33.5665/44.1753","Maplink1")</f>
        <v>Maplink1</v>
      </c>
      <c r="AT803" s="20" t="str">
        <f aca="false">HYPERLINK("https://www.google.iq/maps/search/+33.5665,44.1753/@33.5665,44.1753,14z?hl=en","Maplink2")</f>
        <v>Maplink2</v>
      </c>
      <c r="AU803" s="20" t="str">
        <f aca="false">HYPERLINK("http://www.bing.com/maps/?lvl=14&amp;sty=h&amp;cp=33.5665~44.1753&amp;sp=point.33.5665_44.1753","Maplink3")</f>
        <v>Maplink3</v>
      </c>
    </row>
    <row r="804" customFormat="false" ht="15" hidden="false" customHeight="true" outlineLevel="0" collapsed="false">
      <c r="A804" s="15" t="n">
        <v>23641</v>
      </c>
      <c r="B804" s="16" t="s">
        <v>17</v>
      </c>
      <c r="C804" s="16" t="s">
        <v>1513</v>
      </c>
      <c r="D804" s="16" t="s">
        <v>1606</v>
      </c>
      <c r="E804" s="17" t="s">
        <v>85</v>
      </c>
      <c r="F804" s="16" t="n">
        <v>33.4630067</v>
      </c>
      <c r="G804" s="16" t="n">
        <v>44.23673114</v>
      </c>
      <c r="H804" s="18" t="n">
        <v>74</v>
      </c>
      <c r="I804" s="18" t="n">
        <v>444</v>
      </c>
      <c r="J804" s="19" t="n">
        <v>56</v>
      </c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 t="n">
        <v>2</v>
      </c>
      <c r="W804" s="19"/>
      <c r="X804" s="19" t="n">
        <v>16</v>
      </c>
      <c r="Y804" s="19"/>
      <c r="Z804" s="19"/>
      <c r="AA804" s="19"/>
      <c r="AB804" s="19"/>
      <c r="AC804" s="19" t="n">
        <v>22</v>
      </c>
      <c r="AD804" s="19"/>
      <c r="AE804" s="19"/>
      <c r="AF804" s="19"/>
      <c r="AG804" s="19"/>
      <c r="AH804" s="19" t="n">
        <v>52</v>
      </c>
      <c r="AI804" s="19"/>
      <c r="AJ804" s="19"/>
      <c r="AK804" s="19"/>
      <c r="AL804" s="19" t="n">
        <v>8</v>
      </c>
      <c r="AM804" s="19" t="n">
        <v>2</v>
      </c>
      <c r="AN804" s="19" t="n">
        <v>16</v>
      </c>
      <c r="AO804" s="19" t="n">
        <v>4</v>
      </c>
      <c r="AP804" s="19" t="n">
        <v>34</v>
      </c>
      <c r="AQ804" s="19" t="n">
        <v>10</v>
      </c>
      <c r="AR804" s="19"/>
      <c r="AS804" s="20" t="str">
        <f aca="false">HYPERLINK("http://www.openstreetmap.org/?mlat=33.463&amp;mlon=44.2367&amp;zoom=12#map=12/33.463/44.2367","Maplink1")</f>
        <v>Maplink1</v>
      </c>
      <c r="AT804" s="20" t="str">
        <f aca="false">HYPERLINK("https://www.google.iq/maps/search/+33.463,44.2367/@33.463,44.2367,14z?hl=en","Maplink2")</f>
        <v>Maplink2</v>
      </c>
      <c r="AU804" s="20" t="str">
        <f aca="false">HYPERLINK("http://www.bing.com/maps/?lvl=14&amp;sty=h&amp;cp=33.463~44.2367&amp;sp=point.33.463_44.2367","Maplink3")</f>
        <v>Maplink3</v>
      </c>
    </row>
    <row r="805" customFormat="false" ht="15" hidden="false" customHeight="true" outlineLevel="0" collapsed="false">
      <c r="A805" s="15" t="n">
        <v>27310</v>
      </c>
      <c r="B805" s="16" t="s">
        <v>17</v>
      </c>
      <c r="C805" s="16" t="s">
        <v>1513</v>
      </c>
      <c r="D805" s="16" t="s">
        <v>1607</v>
      </c>
      <c r="E805" s="17" t="s">
        <v>1608</v>
      </c>
      <c r="F805" s="16" t="n">
        <v>33.47550638</v>
      </c>
      <c r="G805" s="16" t="n">
        <v>44.24123665</v>
      </c>
      <c r="H805" s="18" t="n">
        <v>24</v>
      </c>
      <c r="I805" s="18" t="n">
        <v>144</v>
      </c>
      <c r="J805" s="19" t="n">
        <v>24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 t="n">
        <v>24</v>
      </c>
      <c r="AI805" s="19"/>
      <c r="AJ805" s="19"/>
      <c r="AK805" s="19"/>
      <c r="AL805" s="19"/>
      <c r="AM805" s="19"/>
      <c r="AN805" s="19"/>
      <c r="AO805" s="19"/>
      <c r="AP805" s="19" t="n">
        <v>24</v>
      </c>
      <c r="AQ805" s="19"/>
      <c r="AR805" s="19"/>
      <c r="AS805" s="20" t="str">
        <f aca="false">HYPERLINK("http://www.openstreetmap.org/?mlat=33.4755&amp;mlon=44.2412&amp;zoom=12#map=12/33.4755/44.2412","Maplink1")</f>
        <v>Maplink1</v>
      </c>
      <c r="AT805" s="20" t="str">
        <f aca="false">HYPERLINK("https://www.google.iq/maps/search/+33.4755,44.2412/@33.4755,44.2412,14z?hl=en","Maplink2")</f>
        <v>Maplink2</v>
      </c>
      <c r="AU805" s="20" t="str">
        <f aca="false">HYPERLINK("http://www.bing.com/maps/?lvl=14&amp;sty=h&amp;cp=33.4755~44.2412&amp;sp=point.33.4755_44.2412","Maplink3")</f>
        <v>Maplink3</v>
      </c>
    </row>
    <row r="806" customFormat="false" ht="15" hidden="false" customHeight="true" outlineLevel="0" collapsed="false">
      <c r="A806" s="15" t="n">
        <v>23581</v>
      </c>
      <c r="B806" s="16" t="s">
        <v>17</v>
      </c>
      <c r="C806" s="16" t="s">
        <v>1513</v>
      </c>
      <c r="D806" s="16" t="s">
        <v>1609</v>
      </c>
      <c r="E806" s="17" t="s">
        <v>1610</v>
      </c>
      <c r="F806" s="16" t="n">
        <v>33.4714</v>
      </c>
      <c r="G806" s="16" t="n">
        <v>44.2335</v>
      </c>
      <c r="H806" s="18" t="n">
        <v>62</v>
      </c>
      <c r="I806" s="18" t="n">
        <v>372</v>
      </c>
      <c r="J806" s="19" t="n">
        <v>59</v>
      </c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 t="n">
        <v>3</v>
      </c>
      <c r="Y806" s="19"/>
      <c r="Z806" s="19"/>
      <c r="AA806" s="19"/>
      <c r="AB806" s="19"/>
      <c r="AC806" s="19" t="n">
        <v>17</v>
      </c>
      <c r="AD806" s="19"/>
      <c r="AE806" s="19"/>
      <c r="AF806" s="19"/>
      <c r="AG806" s="19"/>
      <c r="AH806" s="19" t="n">
        <v>45</v>
      </c>
      <c r="AI806" s="19"/>
      <c r="AJ806" s="19"/>
      <c r="AK806" s="19"/>
      <c r="AL806" s="19"/>
      <c r="AM806" s="19"/>
      <c r="AN806" s="19" t="n">
        <v>13</v>
      </c>
      <c r="AO806" s="19" t="n">
        <v>8</v>
      </c>
      <c r="AP806" s="19" t="n">
        <v>41</v>
      </c>
      <c r="AQ806" s="19"/>
      <c r="AR806" s="19"/>
      <c r="AS806" s="20" t="str">
        <f aca="false">HYPERLINK("http://www.openstreetmap.org/?mlat=33.4714&amp;mlon=44.2335&amp;zoom=12#map=12/33.4714/44.2335","Maplink1")</f>
        <v>Maplink1</v>
      </c>
      <c r="AT806" s="20" t="str">
        <f aca="false">HYPERLINK("https://www.google.iq/maps/search/+33.4714,44.2335/@33.4714,44.2335,14z?hl=en","Maplink2")</f>
        <v>Maplink2</v>
      </c>
      <c r="AU806" s="20" t="str">
        <f aca="false">HYPERLINK("http://www.bing.com/maps/?lvl=14&amp;sty=h&amp;cp=33.4714~44.2335&amp;sp=point.33.4714_44.2335","Maplink3")</f>
        <v>Maplink3</v>
      </c>
    </row>
    <row r="807" customFormat="false" ht="15" hidden="false" customHeight="true" outlineLevel="0" collapsed="false">
      <c r="A807" s="15" t="n">
        <v>21695</v>
      </c>
      <c r="B807" s="16" t="s">
        <v>17</v>
      </c>
      <c r="C807" s="16" t="s">
        <v>1513</v>
      </c>
      <c r="D807" s="16" t="s">
        <v>1611</v>
      </c>
      <c r="E807" s="17" t="s">
        <v>1612</v>
      </c>
      <c r="F807" s="16" t="n">
        <v>33.56544</v>
      </c>
      <c r="G807" s="16" t="n">
        <v>44.17959</v>
      </c>
      <c r="H807" s="18" t="n">
        <v>6</v>
      </c>
      <c r="I807" s="18" t="n">
        <v>36</v>
      </c>
      <c r="J807" s="19" t="n">
        <v>6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 t="n">
        <v>6</v>
      </c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 t="n">
        <v>6</v>
      </c>
      <c r="AP807" s="19"/>
      <c r="AQ807" s="19"/>
      <c r="AR807" s="19"/>
      <c r="AS807" s="20" t="str">
        <f aca="false">HYPERLINK("http://www.openstreetmap.org/?mlat=33.5654&amp;mlon=44.1796&amp;zoom=12#map=12/33.5654/44.1796","Maplink1")</f>
        <v>Maplink1</v>
      </c>
      <c r="AT807" s="20" t="str">
        <f aca="false">HYPERLINK("https://www.google.iq/maps/search/+33.5654,44.1796/@33.5654,44.1796,14z?hl=en","Maplink2")</f>
        <v>Maplink2</v>
      </c>
      <c r="AU807" s="20" t="str">
        <f aca="false">HYPERLINK("http://www.bing.com/maps/?lvl=14&amp;sty=h&amp;cp=33.5654~44.1796&amp;sp=point.33.5654_44.1796","Maplink3")</f>
        <v>Maplink3</v>
      </c>
    </row>
    <row r="808" customFormat="false" ht="15" hidden="false" customHeight="true" outlineLevel="0" collapsed="false">
      <c r="A808" s="15" t="n">
        <v>7285</v>
      </c>
      <c r="B808" s="16" t="s">
        <v>17</v>
      </c>
      <c r="C808" s="16" t="s">
        <v>1513</v>
      </c>
      <c r="D808" s="16" t="s">
        <v>1613</v>
      </c>
      <c r="E808" s="17" t="s">
        <v>1614</v>
      </c>
      <c r="F808" s="16" t="n">
        <v>33.3736502</v>
      </c>
      <c r="G808" s="16" t="n">
        <v>44.29704607</v>
      </c>
      <c r="H808" s="18" t="n">
        <v>23</v>
      </c>
      <c r="I808" s="18" t="n">
        <v>138</v>
      </c>
      <c r="J808" s="19" t="n">
        <v>5</v>
      </c>
      <c r="K808" s="19"/>
      <c r="L808" s="19"/>
      <c r="M808" s="19"/>
      <c r="N808" s="19"/>
      <c r="O808" s="19"/>
      <c r="P808" s="19"/>
      <c r="Q808" s="19"/>
      <c r="R808" s="19" t="n">
        <v>1</v>
      </c>
      <c r="S808" s="19"/>
      <c r="T808" s="19"/>
      <c r="U808" s="19"/>
      <c r="V808" s="19" t="n">
        <v>11</v>
      </c>
      <c r="W808" s="19"/>
      <c r="X808" s="19" t="n">
        <v>6</v>
      </c>
      <c r="Y808" s="19"/>
      <c r="Z808" s="19"/>
      <c r="AA808" s="19"/>
      <c r="AB808" s="19"/>
      <c r="AC808" s="19"/>
      <c r="AD808" s="19"/>
      <c r="AE808" s="19"/>
      <c r="AF808" s="19"/>
      <c r="AG808" s="19"/>
      <c r="AH808" s="19" t="n">
        <v>23</v>
      </c>
      <c r="AI808" s="19"/>
      <c r="AJ808" s="19"/>
      <c r="AK808" s="19"/>
      <c r="AL808" s="19"/>
      <c r="AM808" s="19"/>
      <c r="AN808" s="19" t="n">
        <v>9</v>
      </c>
      <c r="AO808" s="19" t="n">
        <v>14</v>
      </c>
      <c r="AP808" s="19"/>
      <c r="AQ808" s="19"/>
      <c r="AR808" s="19"/>
      <c r="AS808" s="20" t="str">
        <f aca="false">HYPERLINK("http://www.openstreetmap.org/?mlat=33.3737&amp;mlon=44.297&amp;zoom=12#map=12/33.3737/44.297","Maplink1")</f>
        <v>Maplink1</v>
      </c>
      <c r="AT808" s="20" t="str">
        <f aca="false">HYPERLINK("https://www.google.iq/maps/search/+33.3737,44.297/@33.3737,44.297,14z?hl=en","Maplink2")</f>
        <v>Maplink2</v>
      </c>
      <c r="AU808" s="20" t="str">
        <f aca="false">HYPERLINK("http://www.bing.com/maps/?lvl=14&amp;sty=h&amp;cp=33.3737~44.297&amp;sp=point.33.3737_44.297","Maplink3")</f>
        <v>Maplink3</v>
      </c>
    </row>
    <row r="809" customFormat="false" ht="15" hidden="false" customHeight="true" outlineLevel="0" collapsed="false">
      <c r="A809" s="15" t="n">
        <v>27407</v>
      </c>
      <c r="B809" s="16" t="s">
        <v>17</v>
      </c>
      <c r="C809" s="16" t="s">
        <v>1513</v>
      </c>
      <c r="D809" s="16" t="s">
        <v>1615</v>
      </c>
      <c r="E809" s="17" t="s">
        <v>1616</v>
      </c>
      <c r="F809" s="16" t="n">
        <v>33.37528182</v>
      </c>
      <c r="G809" s="16" t="n">
        <v>44.30097559</v>
      </c>
      <c r="H809" s="18" t="n">
        <v>80</v>
      </c>
      <c r="I809" s="18" t="n">
        <v>480</v>
      </c>
      <c r="J809" s="19" t="n">
        <v>19</v>
      </c>
      <c r="K809" s="19"/>
      <c r="L809" s="19"/>
      <c r="M809" s="19"/>
      <c r="N809" s="19"/>
      <c r="O809" s="19"/>
      <c r="P809" s="19"/>
      <c r="Q809" s="19"/>
      <c r="R809" s="19" t="n">
        <v>9</v>
      </c>
      <c r="S809" s="19"/>
      <c r="T809" s="19"/>
      <c r="U809" s="19"/>
      <c r="V809" s="19" t="n">
        <v>22</v>
      </c>
      <c r="W809" s="19"/>
      <c r="X809" s="19" t="n">
        <v>30</v>
      </c>
      <c r="Y809" s="19"/>
      <c r="Z809" s="19"/>
      <c r="AA809" s="19"/>
      <c r="AB809" s="19"/>
      <c r="AC809" s="19" t="n">
        <v>20</v>
      </c>
      <c r="AD809" s="19"/>
      <c r="AE809" s="19"/>
      <c r="AF809" s="19"/>
      <c r="AG809" s="19"/>
      <c r="AH809" s="19" t="n">
        <v>60</v>
      </c>
      <c r="AI809" s="19"/>
      <c r="AJ809" s="19"/>
      <c r="AK809" s="19"/>
      <c r="AL809" s="19"/>
      <c r="AM809" s="19" t="n">
        <v>30</v>
      </c>
      <c r="AN809" s="19"/>
      <c r="AO809" s="19" t="n">
        <v>50</v>
      </c>
      <c r="AP809" s="19"/>
      <c r="AQ809" s="19"/>
      <c r="AR809" s="19"/>
      <c r="AS809" s="20" t="str">
        <f aca="false">HYPERLINK("http://www.openstreetmap.org/?mlat=33.3753&amp;mlon=44.301&amp;zoom=12#map=12/33.3753/44.301","Maplink1")</f>
        <v>Maplink1</v>
      </c>
      <c r="AT809" s="20" t="str">
        <f aca="false">HYPERLINK("https://www.google.iq/maps/search/+33.3753,44.301/@33.3753,44.301,14z?hl=en","Maplink2")</f>
        <v>Maplink2</v>
      </c>
      <c r="AU809" s="20" t="str">
        <f aca="false">HYPERLINK("http://www.bing.com/maps/?lvl=14&amp;sty=h&amp;cp=33.3753~44.301&amp;sp=point.33.3753_44.301","Maplink3")</f>
        <v>Maplink3</v>
      </c>
    </row>
    <row r="810" customFormat="false" ht="15" hidden="false" customHeight="true" outlineLevel="0" collapsed="false">
      <c r="A810" s="15" t="n">
        <v>27408</v>
      </c>
      <c r="B810" s="16" t="s">
        <v>17</v>
      </c>
      <c r="C810" s="16" t="s">
        <v>1513</v>
      </c>
      <c r="D810" s="16" t="s">
        <v>1617</v>
      </c>
      <c r="E810" s="17" t="s">
        <v>1618</v>
      </c>
      <c r="F810" s="16" t="n">
        <v>33.38126126</v>
      </c>
      <c r="G810" s="16" t="n">
        <v>44.3124614</v>
      </c>
      <c r="H810" s="18" t="n">
        <v>20</v>
      </c>
      <c r="I810" s="18" t="n">
        <v>120</v>
      </c>
      <c r="J810" s="19" t="n">
        <v>10</v>
      </c>
      <c r="K810" s="19"/>
      <c r="L810" s="19"/>
      <c r="M810" s="19"/>
      <c r="N810" s="19"/>
      <c r="O810" s="19"/>
      <c r="P810" s="19"/>
      <c r="Q810" s="19"/>
      <c r="R810" s="19" t="n">
        <v>2</v>
      </c>
      <c r="S810" s="19"/>
      <c r="T810" s="19"/>
      <c r="U810" s="19"/>
      <c r="V810" s="19" t="n">
        <v>8</v>
      </c>
      <c r="W810" s="19"/>
      <c r="X810" s="19"/>
      <c r="Y810" s="19"/>
      <c r="Z810" s="19"/>
      <c r="AA810" s="19"/>
      <c r="AB810" s="19"/>
      <c r="AC810" s="19" t="n">
        <v>11</v>
      </c>
      <c r="AD810" s="19"/>
      <c r="AE810" s="19"/>
      <c r="AF810" s="19"/>
      <c r="AG810" s="19"/>
      <c r="AH810" s="19" t="n">
        <v>9</v>
      </c>
      <c r="AI810" s="19"/>
      <c r="AJ810" s="19"/>
      <c r="AK810" s="19"/>
      <c r="AL810" s="19"/>
      <c r="AM810" s="19" t="n">
        <v>7</v>
      </c>
      <c r="AN810" s="19"/>
      <c r="AO810" s="19" t="n">
        <v>10</v>
      </c>
      <c r="AP810" s="19" t="n">
        <v>2</v>
      </c>
      <c r="AQ810" s="19" t="n">
        <v>1</v>
      </c>
      <c r="AR810" s="19"/>
      <c r="AS810" s="20" t="str">
        <f aca="false">HYPERLINK("http://www.openstreetmap.org/?mlat=33.3813&amp;mlon=44.3125&amp;zoom=12#map=12/33.3813/44.3125","Maplink1")</f>
        <v>Maplink1</v>
      </c>
      <c r="AT810" s="20" t="str">
        <f aca="false">HYPERLINK("https://www.google.iq/maps/search/+33.3813,44.3125/@33.3813,44.3125,14z?hl=en","Maplink2")</f>
        <v>Maplink2</v>
      </c>
      <c r="AU810" s="20" t="str">
        <f aca="false">HYPERLINK("http://www.bing.com/maps/?lvl=14&amp;sty=h&amp;cp=33.3813~44.3125&amp;sp=point.33.3813_44.3125","Maplink3")</f>
        <v>Maplink3</v>
      </c>
    </row>
    <row r="811" customFormat="false" ht="15" hidden="false" customHeight="true" outlineLevel="0" collapsed="false">
      <c r="A811" s="15" t="n">
        <v>20784</v>
      </c>
      <c r="B811" s="16" t="s">
        <v>17</v>
      </c>
      <c r="C811" s="16" t="s">
        <v>1513</v>
      </c>
      <c r="D811" s="16" t="s">
        <v>1619</v>
      </c>
      <c r="E811" s="17" t="s">
        <v>1620</v>
      </c>
      <c r="F811" s="16" t="n">
        <v>33.50038352</v>
      </c>
      <c r="G811" s="16" t="n">
        <v>44.26784917</v>
      </c>
      <c r="H811" s="18" t="n">
        <v>96</v>
      </c>
      <c r="I811" s="18" t="n">
        <v>576</v>
      </c>
      <c r="J811" s="19" t="n">
        <v>96</v>
      </c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 t="n">
        <v>31</v>
      </c>
      <c r="AD811" s="19"/>
      <c r="AE811" s="19"/>
      <c r="AF811" s="19"/>
      <c r="AG811" s="19"/>
      <c r="AH811" s="19" t="n">
        <v>65</v>
      </c>
      <c r="AI811" s="19"/>
      <c r="AJ811" s="19"/>
      <c r="AK811" s="19"/>
      <c r="AL811" s="19"/>
      <c r="AM811" s="19"/>
      <c r="AN811" s="19"/>
      <c r="AO811" s="19" t="n">
        <v>66</v>
      </c>
      <c r="AP811" s="19" t="n">
        <v>12</v>
      </c>
      <c r="AQ811" s="19" t="n">
        <v>18</v>
      </c>
      <c r="AR811" s="19"/>
      <c r="AS811" s="20" t="str">
        <f aca="false">HYPERLINK("http://www.openstreetmap.org/?mlat=33.5004&amp;mlon=44.2678&amp;zoom=12#map=12/33.5004/44.2678","Maplink1")</f>
        <v>Maplink1</v>
      </c>
      <c r="AT811" s="20" t="str">
        <f aca="false">HYPERLINK("https://www.google.iq/maps/search/+33.5004,44.2678/@33.5004,44.2678,14z?hl=en","Maplink2")</f>
        <v>Maplink2</v>
      </c>
      <c r="AU811" s="20" t="str">
        <f aca="false">HYPERLINK("http://www.bing.com/maps/?lvl=14&amp;sty=h&amp;cp=33.5004~44.2678&amp;sp=point.33.5004_44.2678","Maplink3")</f>
        <v>Maplink3</v>
      </c>
    </row>
    <row r="812" customFormat="false" ht="15" hidden="false" customHeight="true" outlineLevel="0" collapsed="false">
      <c r="A812" s="15" t="n">
        <v>27377</v>
      </c>
      <c r="B812" s="16" t="s">
        <v>17</v>
      </c>
      <c r="C812" s="16" t="s">
        <v>1513</v>
      </c>
      <c r="D812" s="16" t="s">
        <v>1621</v>
      </c>
      <c r="E812" s="17" t="s">
        <v>1622</v>
      </c>
      <c r="F812" s="16" t="n">
        <v>33.4624</v>
      </c>
      <c r="G812" s="16" t="n">
        <v>44.2351</v>
      </c>
      <c r="H812" s="18" t="n">
        <v>42</v>
      </c>
      <c r="I812" s="18" t="n">
        <v>252</v>
      </c>
      <c r="J812" s="19" t="n">
        <v>34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 t="n">
        <v>8</v>
      </c>
      <c r="Y812" s="19"/>
      <c r="Z812" s="19"/>
      <c r="AA812" s="19"/>
      <c r="AB812" s="19"/>
      <c r="AC812" s="19" t="n">
        <v>21</v>
      </c>
      <c r="AD812" s="19"/>
      <c r="AE812" s="19"/>
      <c r="AF812" s="19"/>
      <c r="AG812" s="19"/>
      <c r="AH812" s="19" t="n">
        <v>21</v>
      </c>
      <c r="AI812" s="19"/>
      <c r="AJ812" s="19"/>
      <c r="AK812" s="19"/>
      <c r="AL812" s="19"/>
      <c r="AM812" s="19"/>
      <c r="AN812" s="19"/>
      <c r="AO812" s="19" t="n">
        <v>28</v>
      </c>
      <c r="AP812" s="19" t="n">
        <v>14</v>
      </c>
      <c r="AQ812" s="19"/>
      <c r="AR812" s="19"/>
      <c r="AS812" s="20" t="str">
        <f aca="false">HYPERLINK("http://www.openstreetmap.org/?mlat=33.4624&amp;mlon=44.2351&amp;zoom=12#map=12/33.4624/44.2351","Maplink1")</f>
        <v>Maplink1</v>
      </c>
      <c r="AT812" s="20" t="str">
        <f aca="false">HYPERLINK("https://www.google.iq/maps/search/+33.4624,44.2351/@33.4624,44.2351,14z?hl=en","Maplink2")</f>
        <v>Maplink2</v>
      </c>
      <c r="AU812" s="20" t="str">
        <f aca="false">HYPERLINK("http://www.bing.com/maps/?lvl=14&amp;sty=h&amp;cp=33.4624~44.2351&amp;sp=point.33.4624_44.2351","Maplink3")</f>
        <v>Maplink3</v>
      </c>
    </row>
    <row r="813" customFormat="false" ht="15" hidden="false" customHeight="true" outlineLevel="0" collapsed="false">
      <c r="A813" s="15" t="n">
        <v>25173</v>
      </c>
      <c r="B813" s="16" t="s">
        <v>17</v>
      </c>
      <c r="C813" s="16" t="s">
        <v>1513</v>
      </c>
      <c r="D813" s="16" t="s">
        <v>1623</v>
      </c>
      <c r="E813" s="17" t="s">
        <v>1624</v>
      </c>
      <c r="F813" s="16" t="n">
        <v>33.46299353</v>
      </c>
      <c r="G813" s="16" t="n">
        <v>44.21898087</v>
      </c>
      <c r="H813" s="18" t="n">
        <v>64</v>
      </c>
      <c r="I813" s="18" t="n">
        <v>384</v>
      </c>
      <c r="J813" s="19" t="n">
        <v>64</v>
      </c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 t="n">
        <v>23</v>
      </c>
      <c r="AD813" s="19"/>
      <c r="AE813" s="19"/>
      <c r="AF813" s="19"/>
      <c r="AG813" s="19"/>
      <c r="AH813" s="19" t="n">
        <v>41</v>
      </c>
      <c r="AI813" s="19"/>
      <c r="AJ813" s="19"/>
      <c r="AK813" s="19"/>
      <c r="AL813" s="19"/>
      <c r="AM813" s="19"/>
      <c r="AN813" s="19"/>
      <c r="AO813" s="19"/>
      <c r="AP813" s="19" t="n">
        <v>64</v>
      </c>
      <c r="AQ813" s="19"/>
      <c r="AR813" s="19"/>
      <c r="AS813" s="20" t="str">
        <f aca="false">HYPERLINK("http://www.openstreetmap.org/?mlat=33.463&amp;mlon=44.219&amp;zoom=12#map=12/33.463/44.219","Maplink1")</f>
        <v>Maplink1</v>
      </c>
      <c r="AT813" s="20" t="str">
        <f aca="false">HYPERLINK("https://www.google.iq/maps/search/+33.463,44.219/@33.463,44.219,14z?hl=en","Maplink2")</f>
        <v>Maplink2</v>
      </c>
      <c r="AU813" s="20" t="str">
        <f aca="false">HYPERLINK("http://www.bing.com/maps/?lvl=14&amp;sty=h&amp;cp=33.463~44.219&amp;sp=point.33.463_44.219","Maplink3")</f>
        <v>Maplink3</v>
      </c>
    </row>
    <row r="814" customFormat="false" ht="15" hidden="false" customHeight="true" outlineLevel="0" collapsed="false">
      <c r="A814" s="15" t="n">
        <v>25172</v>
      </c>
      <c r="B814" s="16" t="s">
        <v>17</v>
      </c>
      <c r="C814" s="16" t="s">
        <v>1513</v>
      </c>
      <c r="D814" s="16" t="s">
        <v>1625</v>
      </c>
      <c r="E814" s="17" t="s">
        <v>1626</v>
      </c>
      <c r="F814" s="16" t="n">
        <v>33.46158048</v>
      </c>
      <c r="G814" s="16" t="n">
        <v>44.2314287</v>
      </c>
      <c r="H814" s="18" t="n">
        <v>78</v>
      </c>
      <c r="I814" s="18" t="n">
        <v>468</v>
      </c>
      <c r="J814" s="19" t="n">
        <v>75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 t="n">
        <v>3</v>
      </c>
      <c r="Y814" s="19"/>
      <c r="Z814" s="19"/>
      <c r="AA814" s="19"/>
      <c r="AB814" s="19"/>
      <c r="AC814" s="19" t="n">
        <v>36</v>
      </c>
      <c r="AD814" s="19"/>
      <c r="AE814" s="19"/>
      <c r="AF814" s="19"/>
      <c r="AG814" s="19"/>
      <c r="AH814" s="19" t="n">
        <v>42</v>
      </c>
      <c r="AI814" s="19"/>
      <c r="AJ814" s="19"/>
      <c r="AK814" s="19"/>
      <c r="AL814" s="19"/>
      <c r="AM814" s="19"/>
      <c r="AN814" s="19" t="n">
        <v>7</v>
      </c>
      <c r="AO814" s="19"/>
      <c r="AP814" s="19" t="n">
        <v>61</v>
      </c>
      <c r="AQ814" s="19" t="n">
        <v>10</v>
      </c>
      <c r="AR814" s="19"/>
      <c r="AS814" s="20" t="str">
        <f aca="false">HYPERLINK("http://www.openstreetmap.org/?mlat=33.4616&amp;mlon=44.2314&amp;zoom=12#map=12/33.4616/44.2314","Maplink1")</f>
        <v>Maplink1</v>
      </c>
      <c r="AT814" s="20" t="str">
        <f aca="false">HYPERLINK("https://www.google.iq/maps/search/+33.4616,44.2314/@33.4616,44.2314,14z?hl=en","Maplink2")</f>
        <v>Maplink2</v>
      </c>
      <c r="AU814" s="20" t="str">
        <f aca="false">HYPERLINK("http://www.bing.com/maps/?lvl=14&amp;sty=h&amp;cp=33.4616~44.2314&amp;sp=point.33.4616_44.2314","Maplink3")</f>
        <v>Maplink3</v>
      </c>
    </row>
    <row r="815" customFormat="false" ht="15" hidden="false" customHeight="true" outlineLevel="0" collapsed="false">
      <c r="A815" s="15" t="n">
        <v>25189</v>
      </c>
      <c r="B815" s="16" t="s">
        <v>17</v>
      </c>
      <c r="C815" s="16" t="s">
        <v>1513</v>
      </c>
      <c r="D815" s="16" t="s">
        <v>1627</v>
      </c>
      <c r="E815" s="17" t="s">
        <v>1628</v>
      </c>
      <c r="F815" s="16" t="n">
        <v>33.49468</v>
      </c>
      <c r="G815" s="16" t="n">
        <v>44.27657</v>
      </c>
      <c r="H815" s="18" t="n">
        <v>34</v>
      </c>
      <c r="I815" s="18" t="n">
        <v>204</v>
      </c>
      <c r="J815" s="19" t="n">
        <v>34</v>
      </c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 t="n">
        <v>21</v>
      </c>
      <c r="AD815" s="19"/>
      <c r="AE815" s="19"/>
      <c r="AF815" s="19"/>
      <c r="AG815" s="19"/>
      <c r="AH815" s="19" t="n">
        <v>13</v>
      </c>
      <c r="AI815" s="19"/>
      <c r="AJ815" s="19"/>
      <c r="AK815" s="19"/>
      <c r="AL815" s="19"/>
      <c r="AM815" s="19"/>
      <c r="AN815" s="19"/>
      <c r="AO815" s="19"/>
      <c r="AP815" s="19" t="n">
        <v>30</v>
      </c>
      <c r="AQ815" s="19" t="n">
        <v>4</v>
      </c>
      <c r="AR815" s="19"/>
      <c r="AS815" s="20" t="str">
        <f aca="false">HYPERLINK("http://www.openstreetmap.org/?mlat=33.4947&amp;mlon=44.2766&amp;zoom=12#map=12/33.4947/44.2766","Maplink1")</f>
        <v>Maplink1</v>
      </c>
      <c r="AT815" s="20" t="str">
        <f aca="false">HYPERLINK("https://www.google.iq/maps/search/+33.4947,44.2766/@33.4947,44.2766,14z?hl=en","Maplink2")</f>
        <v>Maplink2</v>
      </c>
      <c r="AU815" s="20" t="str">
        <f aca="false">HYPERLINK("http://www.bing.com/maps/?lvl=14&amp;sty=h&amp;cp=33.4947~44.2766&amp;sp=point.33.4947_44.2766","Maplink3")</f>
        <v>Maplink3</v>
      </c>
    </row>
    <row r="816" customFormat="false" ht="15" hidden="false" customHeight="true" outlineLevel="0" collapsed="false">
      <c r="A816" s="15" t="n">
        <v>25194</v>
      </c>
      <c r="B816" s="16" t="s">
        <v>17</v>
      </c>
      <c r="C816" s="16" t="s">
        <v>1513</v>
      </c>
      <c r="D816" s="16" t="s">
        <v>1629</v>
      </c>
      <c r="E816" s="17" t="s">
        <v>1630</v>
      </c>
      <c r="F816" s="16" t="n">
        <v>33.4695</v>
      </c>
      <c r="G816" s="16" t="n">
        <v>44.1984</v>
      </c>
      <c r="H816" s="18" t="n">
        <v>39</v>
      </c>
      <c r="I816" s="18" t="n">
        <v>234</v>
      </c>
      <c r="J816" s="19" t="n">
        <v>39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 t="n">
        <v>6</v>
      </c>
      <c r="AD816" s="19"/>
      <c r="AE816" s="19"/>
      <c r="AF816" s="19"/>
      <c r="AG816" s="19"/>
      <c r="AH816" s="19" t="n">
        <v>33</v>
      </c>
      <c r="AI816" s="19"/>
      <c r="AJ816" s="19"/>
      <c r="AK816" s="19"/>
      <c r="AL816" s="19" t="n">
        <v>23</v>
      </c>
      <c r="AM816" s="19"/>
      <c r="AN816" s="19"/>
      <c r="AO816" s="19" t="n">
        <v>10</v>
      </c>
      <c r="AP816" s="19" t="n">
        <v>6</v>
      </c>
      <c r="AQ816" s="19"/>
      <c r="AR816" s="19"/>
      <c r="AS816" s="20" t="str">
        <f aca="false">HYPERLINK("http://www.openstreetmap.org/?mlat=33.4695&amp;mlon=44.1984&amp;zoom=12#map=12/33.4695/44.1984","Maplink1")</f>
        <v>Maplink1</v>
      </c>
      <c r="AT816" s="20" t="str">
        <f aca="false">HYPERLINK("https://www.google.iq/maps/search/+33.4695,44.1984/@33.4695,44.1984,14z?hl=en","Maplink2")</f>
        <v>Maplink2</v>
      </c>
      <c r="AU816" s="20" t="str">
        <f aca="false">HYPERLINK("http://www.bing.com/maps/?lvl=14&amp;sty=h&amp;cp=33.4695~44.1984&amp;sp=point.33.4695_44.1984","Maplink3")</f>
        <v>Maplink3</v>
      </c>
    </row>
    <row r="817" customFormat="false" ht="15" hidden="false" customHeight="true" outlineLevel="0" collapsed="false">
      <c r="A817" s="15" t="n">
        <v>7642</v>
      </c>
      <c r="B817" s="16" t="s">
        <v>17</v>
      </c>
      <c r="C817" s="16" t="s">
        <v>1513</v>
      </c>
      <c r="D817" s="16" t="s">
        <v>1631</v>
      </c>
      <c r="E817" s="17" t="s">
        <v>1632</v>
      </c>
      <c r="F817" s="16" t="n">
        <v>33.48741436</v>
      </c>
      <c r="G817" s="16" t="n">
        <v>44.26154479</v>
      </c>
      <c r="H817" s="18" t="n">
        <v>73</v>
      </c>
      <c r="I817" s="18" t="n">
        <v>438</v>
      </c>
      <c r="J817" s="19" t="n">
        <v>73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 t="n">
        <v>17</v>
      </c>
      <c r="AD817" s="19"/>
      <c r="AE817" s="19"/>
      <c r="AF817" s="19"/>
      <c r="AG817" s="19"/>
      <c r="AH817" s="19" t="n">
        <v>56</v>
      </c>
      <c r="AI817" s="19"/>
      <c r="AJ817" s="19"/>
      <c r="AK817" s="19"/>
      <c r="AL817" s="19"/>
      <c r="AM817" s="19"/>
      <c r="AN817" s="19"/>
      <c r="AO817" s="19" t="n">
        <v>19</v>
      </c>
      <c r="AP817" s="19" t="n">
        <v>46</v>
      </c>
      <c r="AQ817" s="19" t="n">
        <v>8</v>
      </c>
      <c r="AR817" s="19"/>
      <c r="AS817" s="20" t="str">
        <f aca="false">HYPERLINK("http://www.openstreetmap.org/?mlat=33.4874&amp;mlon=44.2615&amp;zoom=12#map=12/33.4874/44.2615","Maplink1")</f>
        <v>Maplink1</v>
      </c>
      <c r="AT817" s="20" t="str">
        <f aca="false">HYPERLINK("https://www.google.iq/maps/search/+33.4874,44.2615/@33.4874,44.2615,14z?hl=en","Maplink2")</f>
        <v>Maplink2</v>
      </c>
      <c r="AU817" s="20" t="str">
        <f aca="false">HYPERLINK("http://www.bing.com/maps/?lvl=14&amp;sty=h&amp;cp=33.4874~44.2615&amp;sp=point.33.4874_44.2615","Maplink3")</f>
        <v>Maplink3</v>
      </c>
    </row>
    <row r="818" customFormat="false" ht="15" hidden="false" customHeight="true" outlineLevel="0" collapsed="false">
      <c r="A818" s="15" t="n">
        <v>25178</v>
      </c>
      <c r="B818" s="16" t="s">
        <v>17</v>
      </c>
      <c r="C818" s="16" t="s">
        <v>1513</v>
      </c>
      <c r="D818" s="16" t="s">
        <v>1633</v>
      </c>
      <c r="E818" s="17" t="s">
        <v>1634</v>
      </c>
      <c r="F818" s="16" t="n">
        <v>33.4641</v>
      </c>
      <c r="G818" s="16" t="n">
        <v>44.1987</v>
      </c>
      <c r="H818" s="18" t="n">
        <v>3</v>
      </c>
      <c r="I818" s="18" t="n">
        <v>18</v>
      </c>
      <c r="J818" s="19" t="n">
        <v>3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 t="n">
        <v>3</v>
      </c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 t="n">
        <v>3</v>
      </c>
      <c r="AQ818" s="19"/>
      <c r="AR818" s="19"/>
      <c r="AS818" s="20" t="str">
        <f aca="false">HYPERLINK("http://www.openstreetmap.org/?mlat=33.4641&amp;mlon=44.1987&amp;zoom=12#map=12/33.4641/44.1987","Maplink1")</f>
        <v>Maplink1</v>
      </c>
      <c r="AT818" s="20" t="str">
        <f aca="false">HYPERLINK("https://www.google.iq/maps/search/+33.4641,44.1987/@33.4641,44.1987,14z?hl=en","Maplink2")</f>
        <v>Maplink2</v>
      </c>
      <c r="AU818" s="20" t="str">
        <f aca="false">HYPERLINK("http://www.bing.com/maps/?lvl=14&amp;sty=h&amp;cp=33.4641~44.1987&amp;sp=point.33.4641_44.1987","Maplink3")</f>
        <v>Maplink3</v>
      </c>
    </row>
    <row r="819" customFormat="false" ht="15" hidden="false" customHeight="true" outlineLevel="0" collapsed="false">
      <c r="A819" s="15" t="n">
        <v>28399</v>
      </c>
      <c r="B819" s="16" t="s">
        <v>17</v>
      </c>
      <c r="C819" s="16" t="s">
        <v>1513</v>
      </c>
      <c r="D819" s="16" t="s">
        <v>1635</v>
      </c>
      <c r="E819" s="17" t="s">
        <v>1636</v>
      </c>
      <c r="F819" s="16" t="n">
        <v>33.44086481</v>
      </c>
      <c r="G819" s="16" t="n">
        <v>44.26982568</v>
      </c>
      <c r="H819" s="18" t="n">
        <v>51</v>
      </c>
      <c r="I819" s="18" t="n">
        <v>306</v>
      </c>
      <c r="J819" s="19" t="n">
        <v>31</v>
      </c>
      <c r="K819" s="19"/>
      <c r="L819" s="19" t="n">
        <v>6</v>
      </c>
      <c r="M819" s="19"/>
      <c r="N819" s="19"/>
      <c r="O819" s="19"/>
      <c r="P819" s="19"/>
      <c r="Q819" s="19"/>
      <c r="R819" s="19"/>
      <c r="S819" s="19"/>
      <c r="T819" s="19"/>
      <c r="U819" s="19"/>
      <c r="V819" s="19" t="n">
        <v>4</v>
      </c>
      <c r="W819" s="19"/>
      <c r="X819" s="19" t="n">
        <v>10</v>
      </c>
      <c r="Y819" s="19"/>
      <c r="Z819" s="19"/>
      <c r="AA819" s="19"/>
      <c r="AB819" s="19"/>
      <c r="AC819" s="19" t="n">
        <v>18</v>
      </c>
      <c r="AD819" s="19"/>
      <c r="AE819" s="19"/>
      <c r="AF819" s="19"/>
      <c r="AG819" s="19"/>
      <c r="AH819" s="19" t="n">
        <v>33</v>
      </c>
      <c r="AI819" s="19"/>
      <c r="AJ819" s="19"/>
      <c r="AK819" s="19"/>
      <c r="AL819" s="19"/>
      <c r="AM819" s="19" t="n">
        <v>10</v>
      </c>
      <c r="AN819" s="19" t="n">
        <v>5</v>
      </c>
      <c r="AO819" s="19" t="n">
        <v>19</v>
      </c>
      <c r="AP819" s="19" t="n">
        <v>17</v>
      </c>
      <c r="AQ819" s="19"/>
      <c r="AR819" s="19"/>
      <c r="AS819" s="20" t="str">
        <f aca="false">HYPERLINK("http://www.openstreetmap.org/?mlat=33.4409&amp;mlon=44.2698&amp;zoom=12#map=12/33.4409/44.2698","Maplink1")</f>
        <v>Maplink1</v>
      </c>
      <c r="AT819" s="20" t="str">
        <f aca="false">HYPERLINK("https://www.google.iq/maps/search/+33.4409,44.2698/@33.4409,44.2698,14z?hl=en","Maplink2")</f>
        <v>Maplink2</v>
      </c>
      <c r="AU819" s="20" t="str">
        <f aca="false">HYPERLINK("http://www.bing.com/maps/?lvl=14&amp;sty=h&amp;cp=33.4409~44.2698&amp;sp=point.33.4409_44.2698","Maplink3")</f>
        <v>Maplink3</v>
      </c>
    </row>
    <row r="820" customFormat="false" ht="15" hidden="false" customHeight="true" outlineLevel="0" collapsed="false">
      <c r="A820" s="15" t="n">
        <v>28402</v>
      </c>
      <c r="B820" s="16" t="s">
        <v>17</v>
      </c>
      <c r="C820" s="16" t="s">
        <v>1513</v>
      </c>
      <c r="D820" s="16" t="s">
        <v>1637</v>
      </c>
      <c r="E820" s="17" t="s">
        <v>1638</v>
      </c>
      <c r="F820" s="16" t="n">
        <v>33.41869618</v>
      </c>
      <c r="G820" s="16" t="n">
        <v>44.30741776</v>
      </c>
      <c r="H820" s="18" t="n">
        <v>84</v>
      </c>
      <c r="I820" s="18" t="n">
        <v>504</v>
      </c>
      <c r="J820" s="19" t="n">
        <v>41</v>
      </c>
      <c r="K820" s="19"/>
      <c r="L820" s="19" t="n">
        <v>16</v>
      </c>
      <c r="M820" s="19"/>
      <c r="N820" s="19"/>
      <c r="O820" s="19" t="n">
        <v>3</v>
      </c>
      <c r="P820" s="19"/>
      <c r="Q820" s="19"/>
      <c r="R820" s="19"/>
      <c r="S820" s="19"/>
      <c r="T820" s="19"/>
      <c r="U820" s="19"/>
      <c r="V820" s="19" t="n">
        <v>8</v>
      </c>
      <c r="W820" s="19"/>
      <c r="X820" s="19" t="n">
        <v>16</v>
      </c>
      <c r="Y820" s="19"/>
      <c r="Z820" s="19"/>
      <c r="AA820" s="19"/>
      <c r="AB820" s="19"/>
      <c r="AC820" s="19" t="n">
        <v>33</v>
      </c>
      <c r="AD820" s="19"/>
      <c r="AE820" s="19"/>
      <c r="AF820" s="19"/>
      <c r="AG820" s="19"/>
      <c r="AH820" s="19" t="n">
        <v>51</v>
      </c>
      <c r="AI820" s="19"/>
      <c r="AJ820" s="19"/>
      <c r="AK820" s="19"/>
      <c r="AL820" s="19"/>
      <c r="AM820" s="19" t="n">
        <v>5</v>
      </c>
      <c r="AN820" s="19" t="n">
        <v>19</v>
      </c>
      <c r="AO820" s="19" t="n">
        <v>38</v>
      </c>
      <c r="AP820" s="19" t="n">
        <v>22</v>
      </c>
      <c r="AQ820" s="19"/>
      <c r="AR820" s="19"/>
      <c r="AS820" s="20" t="str">
        <f aca="false">HYPERLINK("http://www.openstreetmap.org/?mlat=33.4187&amp;mlon=44.3074&amp;zoom=12#map=12/33.4187/44.3074","Maplink1")</f>
        <v>Maplink1</v>
      </c>
      <c r="AT820" s="20" t="str">
        <f aca="false">HYPERLINK("https://www.google.iq/maps/search/+33.4187,44.3074/@33.4187,44.3074,14z?hl=en","Maplink2")</f>
        <v>Maplink2</v>
      </c>
      <c r="AU820" s="20" t="str">
        <f aca="false">HYPERLINK("http://www.bing.com/maps/?lvl=14&amp;sty=h&amp;cp=33.4187~44.3074&amp;sp=point.33.4187_44.3074","Maplink3")</f>
        <v>Maplink3</v>
      </c>
    </row>
    <row r="821" customFormat="false" ht="15" hidden="false" customHeight="true" outlineLevel="0" collapsed="false">
      <c r="A821" s="15" t="n">
        <v>28400</v>
      </c>
      <c r="B821" s="16" t="s">
        <v>17</v>
      </c>
      <c r="C821" s="16" t="s">
        <v>1513</v>
      </c>
      <c r="D821" s="16" t="s">
        <v>1639</v>
      </c>
      <c r="E821" s="17" t="s">
        <v>1640</v>
      </c>
      <c r="F821" s="16" t="n">
        <v>33.43092018</v>
      </c>
      <c r="G821" s="16" t="n">
        <v>44.27725933</v>
      </c>
      <c r="H821" s="18" t="n">
        <v>91</v>
      </c>
      <c r="I821" s="18" t="n">
        <v>546</v>
      </c>
      <c r="J821" s="19" t="n">
        <v>53</v>
      </c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 t="n">
        <v>2</v>
      </c>
      <c r="W821" s="19"/>
      <c r="X821" s="19" t="n">
        <v>36</v>
      </c>
      <c r="Y821" s="19"/>
      <c r="Z821" s="19"/>
      <c r="AA821" s="19"/>
      <c r="AB821" s="19"/>
      <c r="AC821" s="19" t="n">
        <v>20</v>
      </c>
      <c r="AD821" s="19"/>
      <c r="AE821" s="19"/>
      <c r="AF821" s="19"/>
      <c r="AG821" s="19"/>
      <c r="AH821" s="19" t="n">
        <v>71</v>
      </c>
      <c r="AI821" s="19"/>
      <c r="AJ821" s="19"/>
      <c r="AK821" s="19"/>
      <c r="AL821" s="19"/>
      <c r="AM821" s="19"/>
      <c r="AN821" s="19" t="n">
        <v>12</v>
      </c>
      <c r="AO821" s="19" t="n">
        <v>26</v>
      </c>
      <c r="AP821" s="19" t="n">
        <v>53</v>
      </c>
      <c r="AQ821" s="19"/>
      <c r="AR821" s="19"/>
      <c r="AS821" s="20" t="str">
        <f aca="false">HYPERLINK("http://www.openstreetmap.org/?mlat=33.4309&amp;mlon=44.2773&amp;zoom=12#map=12/33.4309/44.2773","Maplink1")</f>
        <v>Maplink1</v>
      </c>
      <c r="AT821" s="20" t="str">
        <f aca="false">HYPERLINK("https://www.google.iq/maps/search/+33.4309,44.2773/@33.4309,44.2773,14z?hl=en","Maplink2")</f>
        <v>Maplink2</v>
      </c>
      <c r="AU821" s="20" t="str">
        <f aca="false">HYPERLINK("http://www.bing.com/maps/?lvl=14&amp;sty=h&amp;cp=33.4309~44.2773&amp;sp=point.33.4309_44.2773","Maplink3")</f>
        <v>Maplink3</v>
      </c>
    </row>
    <row r="822" customFormat="false" ht="15" hidden="false" customHeight="true" outlineLevel="0" collapsed="false">
      <c r="A822" s="15" t="n">
        <v>28401</v>
      </c>
      <c r="B822" s="16" t="s">
        <v>17</v>
      </c>
      <c r="C822" s="16" t="s">
        <v>1513</v>
      </c>
      <c r="D822" s="16" t="s">
        <v>1641</v>
      </c>
      <c r="E822" s="17" t="s">
        <v>1642</v>
      </c>
      <c r="F822" s="16" t="n">
        <v>33.40373562</v>
      </c>
      <c r="G822" s="16" t="n">
        <v>44.30041535</v>
      </c>
      <c r="H822" s="18" t="n">
        <v>107</v>
      </c>
      <c r="I822" s="18" t="n">
        <v>642</v>
      </c>
      <c r="J822" s="19" t="n">
        <v>46</v>
      </c>
      <c r="K822" s="19"/>
      <c r="L822" s="19"/>
      <c r="M822" s="19"/>
      <c r="N822" s="19"/>
      <c r="O822" s="19"/>
      <c r="P822" s="19"/>
      <c r="Q822" s="19"/>
      <c r="R822" s="19" t="n">
        <v>4</v>
      </c>
      <c r="S822" s="19"/>
      <c r="T822" s="19"/>
      <c r="U822" s="19"/>
      <c r="V822" s="19" t="n">
        <v>17</v>
      </c>
      <c r="W822" s="19"/>
      <c r="X822" s="19" t="n">
        <v>40</v>
      </c>
      <c r="Y822" s="19"/>
      <c r="Z822" s="19"/>
      <c r="AA822" s="19"/>
      <c r="AB822" s="19"/>
      <c r="AC822" s="19" t="n">
        <v>40</v>
      </c>
      <c r="AD822" s="19"/>
      <c r="AE822" s="19"/>
      <c r="AF822" s="19"/>
      <c r="AG822" s="19"/>
      <c r="AH822" s="19" t="n">
        <v>67</v>
      </c>
      <c r="AI822" s="19"/>
      <c r="AJ822" s="19"/>
      <c r="AK822" s="19"/>
      <c r="AL822" s="19"/>
      <c r="AM822" s="19" t="n">
        <v>27</v>
      </c>
      <c r="AN822" s="19" t="n">
        <v>8</v>
      </c>
      <c r="AO822" s="19" t="n">
        <v>37</v>
      </c>
      <c r="AP822" s="19" t="n">
        <v>29</v>
      </c>
      <c r="AQ822" s="19" t="n">
        <v>6</v>
      </c>
      <c r="AR822" s="19"/>
      <c r="AS822" s="20" t="str">
        <f aca="false">HYPERLINK("http://www.openstreetmap.org/?mlat=33.4037&amp;mlon=44.3004&amp;zoom=12#map=12/33.4037/44.3004","Maplink1")</f>
        <v>Maplink1</v>
      </c>
      <c r="AT822" s="20" t="str">
        <f aca="false">HYPERLINK("https://www.google.iq/maps/search/+33.4037,44.3004/@33.4037,44.3004,14z?hl=en","Maplink2")</f>
        <v>Maplink2</v>
      </c>
      <c r="AU822" s="20" t="str">
        <f aca="false">HYPERLINK("http://www.bing.com/maps/?lvl=14&amp;sty=h&amp;cp=33.4037~44.3004&amp;sp=point.33.4037_44.3004","Maplink3")</f>
        <v>Maplink3</v>
      </c>
    </row>
    <row r="823" customFormat="false" ht="15" hidden="false" customHeight="true" outlineLevel="0" collapsed="false">
      <c r="A823" s="15" t="n">
        <v>25183</v>
      </c>
      <c r="B823" s="16" t="s">
        <v>17</v>
      </c>
      <c r="C823" s="16" t="s">
        <v>1513</v>
      </c>
      <c r="D823" s="16" t="s">
        <v>1643</v>
      </c>
      <c r="E823" s="17" t="s">
        <v>1644</v>
      </c>
      <c r="F823" s="16" t="n">
        <v>33.52267</v>
      </c>
      <c r="G823" s="16" t="n">
        <v>44.20533</v>
      </c>
      <c r="H823" s="18" t="n">
        <v>70</v>
      </c>
      <c r="I823" s="18" t="n">
        <v>420</v>
      </c>
      <c r="J823" s="19" t="n">
        <v>70</v>
      </c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 t="n">
        <v>30</v>
      </c>
      <c r="AD823" s="19"/>
      <c r="AE823" s="19"/>
      <c r="AF823" s="19"/>
      <c r="AG823" s="19"/>
      <c r="AH823" s="19" t="n">
        <v>40</v>
      </c>
      <c r="AI823" s="19"/>
      <c r="AJ823" s="19"/>
      <c r="AK823" s="19"/>
      <c r="AL823" s="19"/>
      <c r="AM823" s="19"/>
      <c r="AN823" s="19" t="n">
        <v>30</v>
      </c>
      <c r="AO823" s="19"/>
      <c r="AP823" s="19" t="n">
        <v>40</v>
      </c>
      <c r="AQ823" s="19"/>
      <c r="AR823" s="19"/>
      <c r="AS823" s="20" t="str">
        <f aca="false">HYPERLINK("http://www.openstreetmap.org/?mlat=33.5227&amp;mlon=44.2053&amp;zoom=12#map=12/33.5227/44.2053","Maplink1")</f>
        <v>Maplink1</v>
      </c>
      <c r="AT823" s="20" t="str">
        <f aca="false">HYPERLINK("https://www.google.iq/maps/search/+33.5227,44.2053/@33.5227,44.2053,14z?hl=en","Maplink2")</f>
        <v>Maplink2</v>
      </c>
      <c r="AU823" s="20" t="str">
        <f aca="false">HYPERLINK("http://www.bing.com/maps/?lvl=14&amp;sty=h&amp;cp=33.5227~44.2053&amp;sp=point.33.5227_44.2053","Maplink3")</f>
        <v>Maplink3</v>
      </c>
    </row>
    <row r="824" customFormat="false" ht="15" hidden="false" customHeight="true" outlineLevel="0" collapsed="false">
      <c r="A824" s="15" t="n">
        <v>26043</v>
      </c>
      <c r="B824" s="16" t="s">
        <v>17</v>
      </c>
      <c r="C824" s="16" t="s">
        <v>1513</v>
      </c>
      <c r="D824" s="16" t="s">
        <v>1645</v>
      </c>
      <c r="E824" s="17" t="s">
        <v>1646</v>
      </c>
      <c r="F824" s="16" t="n">
        <v>33.43673604</v>
      </c>
      <c r="G824" s="16" t="n">
        <v>44.24272029</v>
      </c>
      <c r="H824" s="18" t="n">
        <v>43</v>
      </c>
      <c r="I824" s="18" t="n">
        <v>258</v>
      </c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 t="n">
        <v>21</v>
      </c>
      <c r="W824" s="19"/>
      <c r="X824" s="19" t="n">
        <v>22</v>
      </c>
      <c r="Y824" s="19"/>
      <c r="Z824" s="19"/>
      <c r="AA824" s="19"/>
      <c r="AB824" s="19"/>
      <c r="AC824" s="19" t="n">
        <v>43</v>
      </c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 t="n">
        <v>27</v>
      </c>
      <c r="AQ824" s="19" t="n">
        <v>16</v>
      </c>
      <c r="AR824" s="19"/>
      <c r="AS824" s="20" t="str">
        <f aca="false">HYPERLINK("http://www.openstreetmap.org/?mlat=33.4367&amp;mlon=44.2427&amp;zoom=12#map=12/33.4367/44.2427","Maplink1")</f>
        <v>Maplink1</v>
      </c>
      <c r="AT824" s="20" t="str">
        <f aca="false">HYPERLINK("https://www.google.iq/maps/search/+33.4367,44.2427/@33.4367,44.2427,14z?hl=en","Maplink2")</f>
        <v>Maplink2</v>
      </c>
      <c r="AU824" s="20" t="str">
        <f aca="false">HYPERLINK("http://www.bing.com/maps/?lvl=14&amp;sty=h&amp;cp=33.4367~44.2427&amp;sp=point.33.4367_44.2427","Maplink3")</f>
        <v>Maplink3</v>
      </c>
    </row>
    <row r="825" customFormat="false" ht="15" hidden="false" customHeight="true" outlineLevel="0" collapsed="false">
      <c r="A825" s="15" t="n">
        <v>25158</v>
      </c>
      <c r="B825" s="16" t="s">
        <v>17</v>
      </c>
      <c r="C825" s="16" t="s">
        <v>1513</v>
      </c>
      <c r="D825" s="16" t="s">
        <v>1647</v>
      </c>
      <c r="E825" s="17" t="s">
        <v>1648</v>
      </c>
      <c r="F825" s="16" t="n">
        <v>33.46905636</v>
      </c>
      <c r="G825" s="16" t="n">
        <v>44.1537299</v>
      </c>
      <c r="H825" s="18" t="n">
        <v>18</v>
      </c>
      <c r="I825" s="18" t="n">
        <v>108</v>
      </c>
      <c r="J825" s="19" t="n">
        <v>18</v>
      </c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 t="n">
        <v>18</v>
      </c>
      <c r="AI825" s="19"/>
      <c r="AJ825" s="19"/>
      <c r="AK825" s="19"/>
      <c r="AL825" s="19" t="n">
        <v>12</v>
      </c>
      <c r="AM825" s="19"/>
      <c r="AN825" s="19"/>
      <c r="AO825" s="19"/>
      <c r="AP825" s="19" t="n">
        <v>6</v>
      </c>
      <c r="AQ825" s="19"/>
      <c r="AR825" s="19"/>
      <c r="AS825" s="20" t="str">
        <f aca="false">HYPERLINK("http://www.openstreetmap.org/?mlat=33.4691&amp;mlon=44.1537&amp;zoom=12#map=12/33.4691/44.1537","Maplink1")</f>
        <v>Maplink1</v>
      </c>
      <c r="AT825" s="20" t="str">
        <f aca="false">HYPERLINK("https://www.google.iq/maps/search/+33.4691,44.1537/@33.4691,44.1537,14z?hl=en","Maplink2")</f>
        <v>Maplink2</v>
      </c>
      <c r="AU825" s="20" t="str">
        <f aca="false">HYPERLINK("http://www.bing.com/maps/?lvl=14&amp;sty=h&amp;cp=33.4691~44.1537&amp;sp=point.33.4691_44.1537","Maplink3")</f>
        <v>Maplink3</v>
      </c>
    </row>
    <row r="826" customFormat="false" ht="15" hidden="false" customHeight="true" outlineLevel="0" collapsed="false">
      <c r="A826" s="15" t="n">
        <v>25167</v>
      </c>
      <c r="B826" s="16" t="s">
        <v>17</v>
      </c>
      <c r="C826" s="16" t="s">
        <v>1513</v>
      </c>
      <c r="D826" s="16" t="s">
        <v>1649</v>
      </c>
      <c r="E826" s="17" t="s">
        <v>1650</v>
      </c>
      <c r="F826" s="16" t="n">
        <v>33.46436399</v>
      </c>
      <c r="G826" s="16" t="n">
        <v>44.16739532</v>
      </c>
      <c r="H826" s="18" t="n">
        <v>22</v>
      </c>
      <c r="I826" s="18" t="n">
        <v>132</v>
      </c>
      <c r="J826" s="19" t="n">
        <v>22</v>
      </c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 t="n">
        <v>15</v>
      </c>
      <c r="AD826" s="19"/>
      <c r="AE826" s="19"/>
      <c r="AF826" s="19"/>
      <c r="AG826" s="19"/>
      <c r="AH826" s="19" t="n">
        <v>7</v>
      </c>
      <c r="AI826" s="19"/>
      <c r="AJ826" s="19"/>
      <c r="AK826" s="19"/>
      <c r="AL826" s="19" t="n">
        <v>16</v>
      </c>
      <c r="AM826" s="19"/>
      <c r="AN826" s="19"/>
      <c r="AO826" s="19"/>
      <c r="AP826" s="19" t="n">
        <v>6</v>
      </c>
      <c r="AQ826" s="19"/>
      <c r="AR826" s="19"/>
      <c r="AS826" s="20" t="str">
        <f aca="false">HYPERLINK("http://www.openstreetmap.org/?mlat=33.4644&amp;mlon=44.1674&amp;zoom=12#map=12/33.4644/44.1674","Maplink1")</f>
        <v>Maplink1</v>
      </c>
      <c r="AT826" s="20" t="str">
        <f aca="false">HYPERLINK("https://www.google.iq/maps/search/+33.4644,44.1674/@33.4644,44.1674,14z?hl=en","Maplink2")</f>
        <v>Maplink2</v>
      </c>
      <c r="AU826" s="20" t="str">
        <f aca="false">HYPERLINK("http://www.bing.com/maps/?lvl=14&amp;sty=h&amp;cp=33.4644~44.1674&amp;sp=point.33.4644_44.1674","Maplink3")</f>
        <v>Maplink3</v>
      </c>
    </row>
    <row r="827" customFormat="false" ht="15" hidden="false" customHeight="true" outlineLevel="0" collapsed="false">
      <c r="A827" s="15" t="n">
        <v>22541</v>
      </c>
      <c r="B827" s="16" t="s">
        <v>17</v>
      </c>
      <c r="C827" s="16" t="s">
        <v>1513</v>
      </c>
      <c r="D827" s="16" t="s">
        <v>1651</v>
      </c>
      <c r="E827" s="17" t="s">
        <v>1652</v>
      </c>
      <c r="F827" s="16" t="n">
        <v>33.4743</v>
      </c>
      <c r="G827" s="16" t="n">
        <v>44.2418</v>
      </c>
      <c r="H827" s="18" t="n">
        <v>55</v>
      </c>
      <c r="I827" s="18" t="n">
        <v>330</v>
      </c>
      <c r="J827" s="19" t="n">
        <v>55</v>
      </c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 t="n">
        <v>14</v>
      </c>
      <c r="AD827" s="19"/>
      <c r="AE827" s="19"/>
      <c r="AF827" s="19"/>
      <c r="AG827" s="19"/>
      <c r="AH827" s="19" t="n">
        <v>41</v>
      </c>
      <c r="AI827" s="19"/>
      <c r="AJ827" s="19"/>
      <c r="AK827" s="19"/>
      <c r="AL827" s="19"/>
      <c r="AM827" s="19"/>
      <c r="AN827" s="19" t="n">
        <v>30</v>
      </c>
      <c r="AO827" s="19" t="n">
        <v>6</v>
      </c>
      <c r="AP827" s="19" t="n">
        <v>16</v>
      </c>
      <c r="AQ827" s="19" t="n">
        <v>3</v>
      </c>
      <c r="AR827" s="19"/>
      <c r="AS827" s="20" t="str">
        <f aca="false">HYPERLINK("http://www.openstreetmap.org/?mlat=33.4743&amp;mlon=44.2418&amp;zoom=12#map=12/33.4743/44.2418","Maplink1")</f>
        <v>Maplink1</v>
      </c>
      <c r="AT827" s="20" t="str">
        <f aca="false">HYPERLINK("https://www.google.iq/maps/search/+33.4743,44.2418/@33.4743,44.2418,14z?hl=en","Maplink2")</f>
        <v>Maplink2</v>
      </c>
      <c r="AU827" s="20" t="str">
        <f aca="false">HYPERLINK("http://www.bing.com/maps/?lvl=14&amp;sty=h&amp;cp=33.4743~44.2418&amp;sp=point.33.4743_44.2418","Maplink3")</f>
        <v>Maplink3</v>
      </c>
    </row>
    <row r="828" customFormat="false" ht="15" hidden="false" customHeight="true" outlineLevel="0" collapsed="false">
      <c r="A828" s="15" t="n">
        <v>22611</v>
      </c>
      <c r="B828" s="16" t="s">
        <v>17</v>
      </c>
      <c r="C828" s="16" t="s">
        <v>1513</v>
      </c>
      <c r="D828" s="16" t="s">
        <v>1653</v>
      </c>
      <c r="E828" s="17" t="s">
        <v>1654</v>
      </c>
      <c r="F828" s="16" t="n">
        <v>33.46030205</v>
      </c>
      <c r="G828" s="16" t="n">
        <v>44.16687689</v>
      </c>
      <c r="H828" s="18" t="n">
        <v>85</v>
      </c>
      <c r="I828" s="18" t="n">
        <v>510</v>
      </c>
      <c r="J828" s="19" t="n">
        <v>65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 t="n">
        <v>20</v>
      </c>
      <c r="Y828" s="19"/>
      <c r="Z828" s="19"/>
      <c r="AA828" s="19"/>
      <c r="AB828" s="19"/>
      <c r="AC828" s="19" t="n">
        <v>20</v>
      </c>
      <c r="AD828" s="19"/>
      <c r="AE828" s="19"/>
      <c r="AF828" s="19"/>
      <c r="AG828" s="19"/>
      <c r="AH828" s="19" t="n">
        <v>65</v>
      </c>
      <c r="AI828" s="19"/>
      <c r="AJ828" s="19"/>
      <c r="AK828" s="19"/>
      <c r="AL828" s="19"/>
      <c r="AM828" s="19" t="n">
        <v>13</v>
      </c>
      <c r="AN828" s="19"/>
      <c r="AO828" s="19"/>
      <c r="AP828" s="19" t="n">
        <v>49</v>
      </c>
      <c r="AQ828" s="19" t="n">
        <v>23</v>
      </c>
      <c r="AR828" s="19"/>
      <c r="AS828" s="20" t="str">
        <f aca="false">HYPERLINK("http://www.openstreetmap.org/?mlat=33.4603&amp;mlon=44.1669&amp;zoom=12#map=12/33.4603/44.1669","Maplink1")</f>
        <v>Maplink1</v>
      </c>
      <c r="AT828" s="20" t="str">
        <f aca="false">HYPERLINK("https://www.google.iq/maps/search/+33.4603,44.1669/@33.4603,44.1669,14z?hl=en","Maplink2")</f>
        <v>Maplink2</v>
      </c>
      <c r="AU828" s="20" t="str">
        <f aca="false">HYPERLINK("http://www.bing.com/maps/?lvl=14&amp;sty=h&amp;cp=33.4603~44.1669&amp;sp=point.33.4603_44.1669","Maplink3")</f>
        <v>Maplink3</v>
      </c>
    </row>
    <row r="829" customFormat="false" ht="15" hidden="false" customHeight="true" outlineLevel="0" collapsed="false">
      <c r="A829" s="15" t="n">
        <v>25168</v>
      </c>
      <c r="B829" s="16" t="s">
        <v>17</v>
      </c>
      <c r="C829" s="16" t="s">
        <v>1513</v>
      </c>
      <c r="D829" s="16" t="s">
        <v>1655</v>
      </c>
      <c r="E829" s="17" t="s">
        <v>1656</v>
      </c>
      <c r="F829" s="16" t="n">
        <v>33.4669893</v>
      </c>
      <c r="G829" s="16" t="n">
        <v>44.17049014</v>
      </c>
      <c r="H829" s="18" t="n">
        <v>87</v>
      </c>
      <c r="I829" s="18" t="n">
        <v>522</v>
      </c>
      <c r="J829" s="19" t="n">
        <v>80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 t="n">
        <v>7</v>
      </c>
      <c r="Y829" s="19"/>
      <c r="Z829" s="19"/>
      <c r="AA829" s="19"/>
      <c r="AB829" s="19"/>
      <c r="AC829" s="19" t="n">
        <v>22</v>
      </c>
      <c r="AD829" s="19"/>
      <c r="AE829" s="19"/>
      <c r="AF829" s="19"/>
      <c r="AG829" s="19"/>
      <c r="AH829" s="19" t="n">
        <v>65</v>
      </c>
      <c r="AI829" s="19"/>
      <c r="AJ829" s="19"/>
      <c r="AK829" s="19"/>
      <c r="AL829" s="19"/>
      <c r="AM829" s="19"/>
      <c r="AN829" s="19"/>
      <c r="AO829" s="19" t="n">
        <v>53</v>
      </c>
      <c r="AP829" s="19" t="n">
        <v>22</v>
      </c>
      <c r="AQ829" s="19" t="n">
        <v>12</v>
      </c>
      <c r="AR829" s="19"/>
      <c r="AS829" s="20" t="str">
        <f aca="false">HYPERLINK("http://www.openstreetmap.org/?mlat=33.467&amp;mlon=44.1705&amp;zoom=12#map=12/33.467/44.1705","Maplink1")</f>
        <v>Maplink1</v>
      </c>
      <c r="AT829" s="20" t="str">
        <f aca="false">HYPERLINK("https://www.google.iq/maps/search/+33.467,44.1705/@33.467,44.1705,14z?hl=en","Maplink2")</f>
        <v>Maplink2</v>
      </c>
      <c r="AU829" s="20" t="str">
        <f aca="false">HYPERLINK("http://www.bing.com/maps/?lvl=14&amp;sty=h&amp;cp=33.467~44.1705&amp;sp=point.33.467_44.1705","Maplink3")</f>
        <v>Maplink3</v>
      </c>
    </row>
    <row r="830" customFormat="false" ht="15" hidden="false" customHeight="true" outlineLevel="0" collapsed="false">
      <c r="A830" s="15" t="n">
        <v>25169</v>
      </c>
      <c r="B830" s="16" t="s">
        <v>17</v>
      </c>
      <c r="C830" s="16" t="s">
        <v>1513</v>
      </c>
      <c r="D830" s="16" t="s">
        <v>1657</v>
      </c>
      <c r="E830" s="17" t="s">
        <v>1658</v>
      </c>
      <c r="F830" s="16" t="n">
        <v>33.469582</v>
      </c>
      <c r="G830" s="16" t="n">
        <v>44.16658144</v>
      </c>
      <c r="H830" s="18" t="n">
        <v>24</v>
      </c>
      <c r="I830" s="18" t="n">
        <v>144</v>
      </c>
      <c r="J830" s="19" t="n">
        <v>24</v>
      </c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 t="n">
        <v>4</v>
      </c>
      <c r="AD830" s="19"/>
      <c r="AE830" s="19"/>
      <c r="AF830" s="19"/>
      <c r="AG830" s="19"/>
      <c r="AH830" s="19" t="n">
        <v>20</v>
      </c>
      <c r="AI830" s="19"/>
      <c r="AJ830" s="19"/>
      <c r="AK830" s="19"/>
      <c r="AL830" s="19"/>
      <c r="AM830" s="19"/>
      <c r="AN830" s="19"/>
      <c r="AO830" s="19"/>
      <c r="AP830" s="19" t="n">
        <v>24</v>
      </c>
      <c r="AQ830" s="19"/>
      <c r="AR830" s="19"/>
      <c r="AS830" s="20" t="str">
        <f aca="false">HYPERLINK("http://www.openstreetmap.org/?mlat=33.4696&amp;mlon=44.1666&amp;zoom=12#map=12/33.4696/44.1666","Maplink1")</f>
        <v>Maplink1</v>
      </c>
      <c r="AT830" s="20" t="str">
        <f aca="false">HYPERLINK("https://www.google.iq/maps/search/+33.4696,44.1666/@33.4696,44.1666,14z?hl=en","Maplink2")</f>
        <v>Maplink2</v>
      </c>
      <c r="AU830" s="20" t="str">
        <f aca="false">HYPERLINK("http://www.bing.com/maps/?lvl=14&amp;sty=h&amp;cp=33.4696~44.1666&amp;sp=point.33.4696_44.1666","Maplink3")</f>
        <v>Maplink3</v>
      </c>
    </row>
    <row r="831" customFormat="false" ht="15" hidden="false" customHeight="true" outlineLevel="0" collapsed="false">
      <c r="A831" s="15" t="n">
        <v>25326</v>
      </c>
      <c r="B831" s="16" t="s">
        <v>17</v>
      </c>
      <c r="C831" s="16" t="s">
        <v>1513</v>
      </c>
      <c r="D831" s="16" t="s">
        <v>1659</v>
      </c>
      <c r="E831" s="17" t="s">
        <v>1660</v>
      </c>
      <c r="F831" s="16" t="n">
        <v>33.46187878</v>
      </c>
      <c r="G831" s="16" t="n">
        <v>44.171884</v>
      </c>
      <c r="H831" s="18" t="n">
        <v>16</v>
      </c>
      <c r="I831" s="18" t="n">
        <v>96</v>
      </c>
      <c r="J831" s="19" t="n">
        <v>16</v>
      </c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 t="n">
        <v>12</v>
      </c>
      <c r="AD831" s="19"/>
      <c r="AE831" s="19"/>
      <c r="AF831" s="19"/>
      <c r="AG831" s="19"/>
      <c r="AH831" s="19" t="n">
        <v>4</v>
      </c>
      <c r="AI831" s="19"/>
      <c r="AJ831" s="19"/>
      <c r="AK831" s="19"/>
      <c r="AL831" s="19"/>
      <c r="AM831" s="19"/>
      <c r="AN831" s="19"/>
      <c r="AO831" s="19"/>
      <c r="AP831" s="19" t="n">
        <v>16</v>
      </c>
      <c r="AQ831" s="19"/>
      <c r="AR831" s="19"/>
      <c r="AS831" s="20" t="str">
        <f aca="false">HYPERLINK("http://www.openstreetmap.org/?mlat=33.4619&amp;mlon=44.1719&amp;zoom=12#map=12/33.4619/44.1719","Maplink1")</f>
        <v>Maplink1</v>
      </c>
      <c r="AT831" s="20" t="str">
        <f aca="false">HYPERLINK("https://www.google.iq/maps/search/+33.4619,44.1719/@33.4619,44.1719,14z?hl=en","Maplink2")</f>
        <v>Maplink2</v>
      </c>
      <c r="AU831" s="20" t="str">
        <f aca="false">HYPERLINK("http://www.bing.com/maps/?lvl=14&amp;sty=h&amp;cp=33.4619~44.1719&amp;sp=point.33.4619_44.1719","Maplink3")</f>
        <v>Maplink3</v>
      </c>
    </row>
    <row r="832" customFormat="false" ht="15" hidden="false" customHeight="true" outlineLevel="0" collapsed="false">
      <c r="A832" s="15" t="n">
        <v>25159</v>
      </c>
      <c r="B832" s="16" t="s">
        <v>17</v>
      </c>
      <c r="C832" s="16" t="s">
        <v>1513</v>
      </c>
      <c r="D832" s="16" t="s">
        <v>1661</v>
      </c>
      <c r="E832" s="17" t="s">
        <v>1662</v>
      </c>
      <c r="F832" s="16" t="n">
        <v>33.4705611534</v>
      </c>
      <c r="G832" s="16" t="n">
        <v>44.1477583289</v>
      </c>
      <c r="H832" s="18" t="n">
        <v>22</v>
      </c>
      <c r="I832" s="18" t="n">
        <v>132</v>
      </c>
      <c r="J832" s="19" t="n">
        <v>12</v>
      </c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 t="n">
        <v>10</v>
      </c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 t="n">
        <v>22</v>
      </c>
      <c r="AI832" s="19"/>
      <c r="AJ832" s="19"/>
      <c r="AK832" s="19"/>
      <c r="AL832" s="19"/>
      <c r="AM832" s="19" t="n">
        <v>22</v>
      </c>
      <c r="AN832" s="19"/>
      <c r="AO832" s="19"/>
      <c r="AP832" s="19"/>
      <c r="AQ832" s="19"/>
      <c r="AR832" s="19"/>
      <c r="AS832" s="20" t="str">
        <f aca="false">HYPERLINK("http://www.openstreetmap.org/?mlat=33.4706&amp;mlon=44.1478&amp;zoom=12#map=12/33.4706/44.1478","Maplink1")</f>
        <v>Maplink1</v>
      </c>
      <c r="AT832" s="20" t="str">
        <f aca="false">HYPERLINK("https://www.google.iq/maps/search/+33.4706,44.1478/@33.4706,44.1478,14z?hl=en","Maplink2")</f>
        <v>Maplink2</v>
      </c>
      <c r="AU832" s="20" t="str">
        <f aca="false">HYPERLINK("http://www.bing.com/maps/?lvl=14&amp;sty=h&amp;cp=33.4706~44.1478&amp;sp=point.33.4706_44.1478","Maplink3")</f>
        <v>Maplink3</v>
      </c>
    </row>
    <row r="833" customFormat="false" ht="15" hidden="false" customHeight="true" outlineLevel="0" collapsed="false">
      <c r="A833" s="15" t="n">
        <v>25160</v>
      </c>
      <c r="B833" s="16" t="s">
        <v>17</v>
      </c>
      <c r="C833" s="16" t="s">
        <v>1513</v>
      </c>
      <c r="D833" s="16" t="s">
        <v>1663</v>
      </c>
      <c r="E833" s="17" t="s">
        <v>1664</v>
      </c>
      <c r="F833" s="16" t="n">
        <v>33.4911</v>
      </c>
      <c r="G833" s="16" t="n">
        <v>44.2017</v>
      </c>
      <c r="H833" s="18" t="n">
        <v>22</v>
      </c>
      <c r="I833" s="18" t="n">
        <v>132</v>
      </c>
      <c r="J833" s="19" t="n">
        <v>22</v>
      </c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 t="n">
        <v>2</v>
      </c>
      <c r="AD833" s="19"/>
      <c r="AE833" s="19"/>
      <c r="AF833" s="19"/>
      <c r="AG833" s="19"/>
      <c r="AH833" s="19" t="n">
        <v>20</v>
      </c>
      <c r="AI833" s="19"/>
      <c r="AJ833" s="19"/>
      <c r="AK833" s="19"/>
      <c r="AL833" s="19"/>
      <c r="AM833" s="19"/>
      <c r="AN833" s="19" t="n">
        <v>10</v>
      </c>
      <c r="AO833" s="19" t="n">
        <v>12</v>
      </c>
      <c r="AP833" s="19"/>
      <c r="AQ833" s="19"/>
      <c r="AR833" s="19"/>
      <c r="AS833" s="20" t="str">
        <f aca="false">HYPERLINK("http://www.openstreetmap.org/?mlat=33.4911&amp;mlon=44.2017&amp;zoom=12#map=12/33.4911/44.2017","Maplink1")</f>
        <v>Maplink1</v>
      </c>
      <c r="AT833" s="20" t="str">
        <f aca="false">HYPERLINK("https://www.google.iq/maps/search/+33.4911,44.2017/@33.4911,44.2017,14z?hl=en","Maplink2")</f>
        <v>Maplink2</v>
      </c>
      <c r="AU833" s="20" t="str">
        <f aca="false">HYPERLINK("http://www.bing.com/maps/?lvl=14&amp;sty=h&amp;cp=33.4911~44.2017&amp;sp=point.33.4911_44.2017","Maplink3")</f>
        <v>Maplink3</v>
      </c>
    </row>
    <row r="834" customFormat="false" ht="15" hidden="false" customHeight="true" outlineLevel="0" collapsed="false">
      <c r="A834" s="15" t="n">
        <v>23329</v>
      </c>
      <c r="B834" s="16" t="s">
        <v>17</v>
      </c>
      <c r="C834" s="16" t="s">
        <v>1513</v>
      </c>
      <c r="D834" s="16" t="s">
        <v>1665</v>
      </c>
      <c r="E834" s="17" t="s">
        <v>1666</v>
      </c>
      <c r="F834" s="16" t="n">
        <v>33.4713016582</v>
      </c>
      <c r="G834" s="16" t="n">
        <v>44.1476237514</v>
      </c>
      <c r="H834" s="18" t="n">
        <v>38</v>
      </c>
      <c r="I834" s="18" t="n">
        <v>228</v>
      </c>
      <c r="J834" s="19" t="n">
        <v>31</v>
      </c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 t="n">
        <v>7</v>
      </c>
      <c r="Y834" s="19"/>
      <c r="Z834" s="19"/>
      <c r="AA834" s="19"/>
      <c r="AB834" s="19"/>
      <c r="AC834" s="19" t="n">
        <v>30</v>
      </c>
      <c r="AD834" s="19"/>
      <c r="AE834" s="19"/>
      <c r="AF834" s="19"/>
      <c r="AG834" s="19"/>
      <c r="AH834" s="19" t="n">
        <v>8</v>
      </c>
      <c r="AI834" s="19"/>
      <c r="AJ834" s="19"/>
      <c r="AK834" s="19"/>
      <c r="AL834" s="19"/>
      <c r="AM834" s="19"/>
      <c r="AN834" s="19"/>
      <c r="AO834" s="19" t="n">
        <v>7</v>
      </c>
      <c r="AP834" s="19" t="n">
        <v>23</v>
      </c>
      <c r="AQ834" s="19" t="n">
        <v>8</v>
      </c>
      <c r="AR834" s="19"/>
      <c r="AS834" s="20" t="str">
        <f aca="false">HYPERLINK("http://www.openstreetmap.org/?mlat=33.4713&amp;mlon=44.1476&amp;zoom=12#map=12/33.4713/44.1476","Maplink1")</f>
        <v>Maplink1</v>
      </c>
      <c r="AT834" s="20" t="str">
        <f aca="false">HYPERLINK("https://www.google.iq/maps/search/+33.4713,44.1476/@33.4713,44.1476,14z?hl=en","Maplink2")</f>
        <v>Maplink2</v>
      </c>
      <c r="AU834" s="20" t="str">
        <f aca="false">HYPERLINK("http://www.bing.com/maps/?lvl=14&amp;sty=h&amp;cp=33.4713~44.1476&amp;sp=point.33.4713_44.1476","Maplink3")</f>
        <v>Maplink3</v>
      </c>
    </row>
    <row r="835" customFormat="false" ht="15" hidden="false" customHeight="true" outlineLevel="0" collapsed="false">
      <c r="A835" s="15" t="n">
        <v>25162</v>
      </c>
      <c r="B835" s="16" t="s">
        <v>17</v>
      </c>
      <c r="C835" s="16" t="s">
        <v>1513</v>
      </c>
      <c r="D835" s="16" t="s">
        <v>1667</v>
      </c>
      <c r="E835" s="17" t="s">
        <v>1668</v>
      </c>
      <c r="F835" s="16" t="n">
        <v>33.45963732</v>
      </c>
      <c r="G835" s="16" t="n">
        <v>44.15286337</v>
      </c>
      <c r="H835" s="18" t="n">
        <v>22</v>
      </c>
      <c r="I835" s="18" t="n">
        <v>132</v>
      </c>
      <c r="J835" s="19" t="n">
        <v>16</v>
      </c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 t="n">
        <v>6</v>
      </c>
      <c r="Y835" s="19"/>
      <c r="Z835" s="19"/>
      <c r="AA835" s="19"/>
      <c r="AB835" s="19"/>
      <c r="AC835" s="19" t="n">
        <v>4</v>
      </c>
      <c r="AD835" s="19"/>
      <c r="AE835" s="19"/>
      <c r="AF835" s="19"/>
      <c r="AG835" s="19"/>
      <c r="AH835" s="19" t="n">
        <v>18</v>
      </c>
      <c r="AI835" s="19"/>
      <c r="AJ835" s="19"/>
      <c r="AK835" s="19"/>
      <c r="AL835" s="19"/>
      <c r="AM835" s="19"/>
      <c r="AN835" s="19"/>
      <c r="AO835" s="19" t="n">
        <v>15</v>
      </c>
      <c r="AP835" s="19" t="n">
        <v>7</v>
      </c>
      <c r="AQ835" s="19"/>
      <c r="AR835" s="19"/>
      <c r="AS835" s="20" t="str">
        <f aca="false">HYPERLINK("http://www.openstreetmap.org/?mlat=33.4596&amp;mlon=44.1529&amp;zoom=12#map=12/33.4596/44.1529","Maplink1")</f>
        <v>Maplink1</v>
      </c>
      <c r="AT835" s="20" t="str">
        <f aca="false">HYPERLINK("https://www.google.iq/maps/search/+33.4596,44.1529/@33.4596,44.1529,14z?hl=en","Maplink2")</f>
        <v>Maplink2</v>
      </c>
      <c r="AU835" s="20" t="str">
        <f aca="false">HYPERLINK("http://www.bing.com/maps/?lvl=14&amp;sty=h&amp;cp=33.4596~44.1529&amp;sp=point.33.4596_44.1529","Maplink3")</f>
        <v>Maplink3</v>
      </c>
    </row>
    <row r="836" customFormat="false" ht="15" hidden="false" customHeight="true" outlineLevel="0" collapsed="false">
      <c r="A836" s="15" t="n">
        <v>25163</v>
      </c>
      <c r="B836" s="16" t="s">
        <v>17</v>
      </c>
      <c r="C836" s="16" t="s">
        <v>1513</v>
      </c>
      <c r="D836" s="16" t="s">
        <v>1669</v>
      </c>
      <c r="E836" s="17" t="s">
        <v>1670</v>
      </c>
      <c r="F836" s="16" t="n">
        <v>33.45078626</v>
      </c>
      <c r="G836" s="16" t="n">
        <v>44.15044676</v>
      </c>
      <c r="H836" s="18" t="n">
        <v>23</v>
      </c>
      <c r="I836" s="18" t="n">
        <v>138</v>
      </c>
      <c r="J836" s="19" t="n">
        <v>23</v>
      </c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 t="n">
        <v>23</v>
      </c>
      <c r="AI836" s="19"/>
      <c r="AJ836" s="19"/>
      <c r="AK836" s="19"/>
      <c r="AL836" s="19" t="n">
        <v>18</v>
      </c>
      <c r="AM836" s="19"/>
      <c r="AN836" s="19"/>
      <c r="AO836" s="19"/>
      <c r="AP836" s="19" t="n">
        <v>5</v>
      </c>
      <c r="AQ836" s="19"/>
      <c r="AR836" s="19"/>
      <c r="AS836" s="20" t="str">
        <f aca="false">HYPERLINK("http://www.openstreetmap.org/?mlat=33.4508&amp;mlon=44.1504&amp;zoom=12#map=12/33.4508/44.1504","Maplink1")</f>
        <v>Maplink1</v>
      </c>
      <c r="AT836" s="20" t="str">
        <f aca="false">HYPERLINK("https://www.google.iq/maps/search/+33.4508,44.1504/@33.4508,44.1504,14z?hl=en","Maplink2")</f>
        <v>Maplink2</v>
      </c>
      <c r="AU836" s="20" t="str">
        <f aca="false">HYPERLINK("http://www.bing.com/maps/?lvl=14&amp;sty=h&amp;cp=33.4508~44.1504&amp;sp=point.33.4508_44.1504","Maplink3")</f>
        <v>Maplink3</v>
      </c>
    </row>
    <row r="837" customFormat="false" ht="15" hidden="false" customHeight="true" outlineLevel="0" collapsed="false">
      <c r="A837" s="15" t="n">
        <v>25164</v>
      </c>
      <c r="B837" s="16" t="s">
        <v>17</v>
      </c>
      <c r="C837" s="16" t="s">
        <v>1513</v>
      </c>
      <c r="D837" s="16" t="s">
        <v>1671</v>
      </c>
      <c r="E837" s="17" t="s">
        <v>1672</v>
      </c>
      <c r="F837" s="16" t="n">
        <v>33.46891</v>
      </c>
      <c r="G837" s="16" t="n">
        <v>44.22688</v>
      </c>
      <c r="H837" s="18" t="n">
        <v>24</v>
      </c>
      <c r="I837" s="18" t="n">
        <v>144</v>
      </c>
      <c r="J837" s="19" t="n">
        <v>14</v>
      </c>
      <c r="K837" s="19"/>
      <c r="L837" s="19"/>
      <c r="M837" s="19"/>
      <c r="N837" s="19"/>
      <c r="O837" s="19" t="n">
        <v>10</v>
      </c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 t="n">
        <v>24</v>
      </c>
      <c r="AI837" s="19"/>
      <c r="AJ837" s="19"/>
      <c r="AK837" s="19"/>
      <c r="AL837" s="19"/>
      <c r="AM837" s="19"/>
      <c r="AN837" s="19" t="n">
        <v>18</v>
      </c>
      <c r="AO837" s="19"/>
      <c r="AP837" s="19" t="n">
        <v>6</v>
      </c>
      <c r="AQ837" s="19"/>
      <c r="AR837" s="19"/>
      <c r="AS837" s="20" t="str">
        <f aca="false">HYPERLINK("http://www.openstreetmap.org/?mlat=33.4689&amp;mlon=44.2269&amp;zoom=12#map=12/33.4689/44.2269","Maplink1")</f>
        <v>Maplink1</v>
      </c>
      <c r="AT837" s="20" t="str">
        <f aca="false">HYPERLINK("https://www.google.iq/maps/search/+33.4689,44.2269/@33.4689,44.2269,14z?hl=en","Maplink2")</f>
        <v>Maplink2</v>
      </c>
      <c r="AU837" s="20" t="str">
        <f aca="false">HYPERLINK("http://www.bing.com/maps/?lvl=14&amp;sty=h&amp;cp=33.4689~44.2269&amp;sp=point.33.4689_44.2269","Maplink3")</f>
        <v>Maplink3</v>
      </c>
    </row>
    <row r="838" customFormat="false" ht="15" hidden="false" customHeight="true" outlineLevel="0" collapsed="false">
      <c r="A838" s="15" t="n">
        <v>25165</v>
      </c>
      <c r="B838" s="16" t="s">
        <v>17</v>
      </c>
      <c r="C838" s="16" t="s">
        <v>1513</v>
      </c>
      <c r="D838" s="16" t="s">
        <v>1673</v>
      </c>
      <c r="E838" s="17" t="s">
        <v>1674</v>
      </c>
      <c r="F838" s="16" t="n">
        <v>33.4807</v>
      </c>
      <c r="G838" s="16" t="n">
        <v>44.2622</v>
      </c>
      <c r="H838" s="18" t="n">
        <v>35</v>
      </c>
      <c r="I838" s="18" t="n">
        <v>210</v>
      </c>
      <c r="J838" s="19" t="n">
        <v>35</v>
      </c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 t="n">
        <v>11</v>
      </c>
      <c r="AD838" s="19"/>
      <c r="AE838" s="19"/>
      <c r="AF838" s="19"/>
      <c r="AG838" s="19"/>
      <c r="AH838" s="19" t="n">
        <v>24</v>
      </c>
      <c r="AI838" s="19"/>
      <c r="AJ838" s="19"/>
      <c r="AK838" s="19"/>
      <c r="AL838" s="19"/>
      <c r="AM838" s="19"/>
      <c r="AN838" s="19"/>
      <c r="AO838" s="19" t="n">
        <v>13</v>
      </c>
      <c r="AP838" s="19" t="n">
        <v>22</v>
      </c>
      <c r="AQ838" s="19"/>
      <c r="AR838" s="19"/>
      <c r="AS838" s="20" t="str">
        <f aca="false">HYPERLINK("http://www.openstreetmap.org/?mlat=33.4807&amp;mlon=44.2622&amp;zoom=12#map=12/33.4807/44.2622","Maplink1")</f>
        <v>Maplink1</v>
      </c>
      <c r="AT838" s="20" t="str">
        <f aca="false">HYPERLINK("https://www.google.iq/maps/search/+33.4807,44.2622/@33.4807,44.2622,14z?hl=en","Maplink2")</f>
        <v>Maplink2</v>
      </c>
      <c r="AU838" s="20" t="str">
        <f aca="false">HYPERLINK("http://www.bing.com/maps/?lvl=14&amp;sty=h&amp;cp=33.4807~44.2622&amp;sp=point.33.4807_44.2622","Maplink3")</f>
        <v>Maplink3</v>
      </c>
    </row>
    <row r="839" customFormat="false" ht="15" hidden="false" customHeight="true" outlineLevel="0" collapsed="false">
      <c r="A839" s="15" t="n">
        <v>29501</v>
      </c>
      <c r="B839" s="16" t="s">
        <v>17</v>
      </c>
      <c r="C839" s="16" t="s">
        <v>1513</v>
      </c>
      <c r="D839" s="16" t="s">
        <v>1675</v>
      </c>
      <c r="E839" s="17" t="s">
        <v>1676</v>
      </c>
      <c r="F839" s="16" t="n">
        <v>33.46731</v>
      </c>
      <c r="G839" s="16" t="n">
        <v>44.10257</v>
      </c>
      <c r="H839" s="18" t="n">
        <v>35</v>
      </c>
      <c r="I839" s="18" t="n">
        <v>210</v>
      </c>
      <c r="J839" s="19" t="n">
        <v>35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 t="n">
        <v>10</v>
      </c>
      <c r="AD839" s="19"/>
      <c r="AE839" s="19"/>
      <c r="AF839" s="19"/>
      <c r="AG839" s="19"/>
      <c r="AH839" s="19" t="n">
        <v>25</v>
      </c>
      <c r="AI839" s="19"/>
      <c r="AJ839" s="19"/>
      <c r="AK839" s="19"/>
      <c r="AL839" s="19"/>
      <c r="AM839" s="19"/>
      <c r="AN839" s="19"/>
      <c r="AO839" s="19"/>
      <c r="AP839" s="19" t="n">
        <v>35</v>
      </c>
      <c r="AQ839" s="19"/>
      <c r="AR839" s="19"/>
      <c r="AS839" s="20" t="str">
        <f aca="false">HYPERLINK("http://www.openstreetmap.org/?mlat=33.4673&amp;mlon=44.1026&amp;zoom=12#map=12/33.4673/44.1026","Maplink1")</f>
        <v>Maplink1</v>
      </c>
      <c r="AT839" s="20" t="str">
        <f aca="false">HYPERLINK("https://www.google.iq/maps/search/+33.4673,44.1026/@33.4673,44.1026,14z?hl=en","Maplink2")</f>
        <v>Maplink2</v>
      </c>
      <c r="AU839" s="20" t="str">
        <f aca="false">HYPERLINK("http://www.bing.com/maps/?lvl=14&amp;sty=h&amp;cp=33.4673~44.1026&amp;sp=point.33.4673_44.1026","Maplink3")</f>
        <v>Maplink3</v>
      </c>
    </row>
    <row r="840" customFormat="false" ht="15" hidden="false" customHeight="true" outlineLevel="0" collapsed="false">
      <c r="A840" s="15" t="n">
        <v>29500</v>
      </c>
      <c r="B840" s="16" t="s">
        <v>17</v>
      </c>
      <c r="C840" s="16" t="s">
        <v>1513</v>
      </c>
      <c r="D840" s="16" t="s">
        <v>1677</v>
      </c>
      <c r="E840" s="17" t="s">
        <v>1678</v>
      </c>
      <c r="F840" s="16" t="n">
        <v>33.46519</v>
      </c>
      <c r="G840" s="16" t="n">
        <v>44.12981</v>
      </c>
      <c r="H840" s="18" t="n">
        <v>25</v>
      </c>
      <c r="I840" s="18" t="n">
        <v>150</v>
      </c>
      <c r="J840" s="19" t="n">
        <v>25</v>
      </c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 t="n">
        <v>25</v>
      </c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 t="n">
        <v>25</v>
      </c>
      <c r="AQ840" s="19"/>
      <c r="AR840" s="19"/>
      <c r="AS840" s="20" t="str">
        <f aca="false">HYPERLINK("http://www.openstreetmap.org/?mlat=33.4652&amp;mlon=44.1298&amp;zoom=12#map=12/33.4652/44.1298","Maplink1")</f>
        <v>Maplink1</v>
      </c>
      <c r="AT840" s="20" t="str">
        <f aca="false">HYPERLINK("https://www.google.iq/maps/search/+33.4652,44.1298/@33.4652,44.1298,14z?hl=en","Maplink2")</f>
        <v>Maplink2</v>
      </c>
      <c r="AU840" s="20" t="str">
        <f aca="false">HYPERLINK("http://www.bing.com/maps/?lvl=14&amp;sty=h&amp;cp=33.4652~44.1298&amp;sp=point.33.4652_44.1298","Maplink3")</f>
        <v>Maplink3</v>
      </c>
    </row>
    <row r="841" customFormat="false" ht="15" hidden="false" customHeight="true" outlineLevel="0" collapsed="false">
      <c r="A841" s="15" t="n">
        <v>25171</v>
      </c>
      <c r="B841" s="16" t="s">
        <v>17</v>
      </c>
      <c r="C841" s="16" t="s">
        <v>1513</v>
      </c>
      <c r="D841" s="16" t="s">
        <v>1679</v>
      </c>
      <c r="E841" s="17" t="s">
        <v>1680</v>
      </c>
      <c r="F841" s="16" t="n">
        <v>33.45655195</v>
      </c>
      <c r="G841" s="16" t="n">
        <v>44.24520729</v>
      </c>
      <c r="H841" s="18" t="n">
        <v>16</v>
      </c>
      <c r="I841" s="18" t="n">
        <v>96</v>
      </c>
      <c r="J841" s="19" t="n">
        <v>13</v>
      </c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 t="n">
        <v>3</v>
      </c>
      <c r="Y841" s="19"/>
      <c r="Z841" s="19"/>
      <c r="AA841" s="19"/>
      <c r="AB841" s="19"/>
      <c r="AC841" s="19" t="n">
        <v>10</v>
      </c>
      <c r="AD841" s="19"/>
      <c r="AE841" s="19"/>
      <c r="AF841" s="19"/>
      <c r="AG841" s="19"/>
      <c r="AH841" s="19" t="n">
        <v>6</v>
      </c>
      <c r="AI841" s="19"/>
      <c r="AJ841" s="19"/>
      <c r="AK841" s="19"/>
      <c r="AL841" s="19" t="n">
        <v>4</v>
      </c>
      <c r="AM841" s="19" t="n">
        <v>2</v>
      </c>
      <c r="AN841" s="19"/>
      <c r="AO841" s="19" t="n">
        <v>6</v>
      </c>
      <c r="AP841" s="19" t="n">
        <v>4</v>
      </c>
      <c r="AQ841" s="19"/>
      <c r="AR841" s="19"/>
      <c r="AS841" s="20" t="str">
        <f aca="false">HYPERLINK("http://www.openstreetmap.org/?mlat=33.4566&amp;mlon=44.2452&amp;zoom=12#map=12/33.4566/44.2452","Maplink1")</f>
        <v>Maplink1</v>
      </c>
      <c r="AT841" s="20" t="str">
        <f aca="false">HYPERLINK("https://www.google.iq/maps/search/+33.4566,44.2452/@33.4566,44.2452,14z?hl=en","Maplink2")</f>
        <v>Maplink2</v>
      </c>
      <c r="AU841" s="20" t="str">
        <f aca="false">HYPERLINK("http://www.bing.com/maps/?lvl=14&amp;sty=h&amp;cp=33.4566~44.2452&amp;sp=point.33.4566_44.2452","Maplink3")</f>
        <v>Maplink3</v>
      </c>
    </row>
    <row r="842" customFormat="false" ht="15" hidden="false" customHeight="true" outlineLevel="0" collapsed="false">
      <c r="A842" s="15" t="n">
        <v>23579</v>
      </c>
      <c r="B842" s="16" t="s">
        <v>17</v>
      </c>
      <c r="C842" s="16" t="s">
        <v>1513</v>
      </c>
      <c r="D842" s="16" t="s">
        <v>1681</v>
      </c>
      <c r="E842" s="17" t="s">
        <v>1682</v>
      </c>
      <c r="F842" s="16" t="n">
        <v>33.34590132</v>
      </c>
      <c r="G842" s="16" t="n">
        <v>44.33577273</v>
      </c>
      <c r="H842" s="18" t="n">
        <v>154</v>
      </c>
      <c r="I842" s="18" t="n">
        <v>924</v>
      </c>
      <c r="J842" s="19" t="n">
        <v>97</v>
      </c>
      <c r="K842" s="19"/>
      <c r="L842" s="19"/>
      <c r="M842" s="19"/>
      <c r="N842" s="19"/>
      <c r="O842" s="19" t="n">
        <v>2</v>
      </c>
      <c r="P842" s="19"/>
      <c r="Q842" s="19"/>
      <c r="R842" s="19"/>
      <c r="S842" s="19"/>
      <c r="T842" s="19"/>
      <c r="U842" s="19"/>
      <c r="V842" s="19" t="n">
        <v>20</v>
      </c>
      <c r="W842" s="19"/>
      <c r="X842" s="19" t="n">
        <v>35</v>
      </c>
      <c r="Y842" s="19"/>
      <c r="Z842" s="19"/>
      <c r="AA842" s="19"/>
      <c r="AB842" s="19"/>
      <c r="AC842" s="19" t="n">
        <v>42</v>
      </c>
      <c r="AD842" s="19"/>
      <c r="AE842" s="19"/>
      <c r="AF842" s="19"/>
      <c r="AG842" s="19"/>
      <c r="AH842" s="19" t="n">
        <v>112</v>
      </c>
      <c r="AI842" s="19"/>
      <c r="AJ842" s="19"/>
      <c r="AK842" s="19"/>
      <c r="AL842" s="19" t="n">
        <v>20</v>
      </c>
      <c r="AM842" s="19" t="n">
        <v>20</v>
      </c>
      <c r="AN842" s="19" t="n">
        <v>3</v>
      </c>
      <c r="AO842" s="19" t="n">
        <v>21</v>
      </c>
      <c r="AP842" s="19" t="n">
        <v>83</v>
      </c>
      <c r="AQ842" s="19"/>
      <c r="AR842" s="19" t="n">
        <v>7</v>
      </c>
      <c r="AS842" s="20" t="str">
        <f aca="false">HYPERLINK("http://www.openstreetmap.org/?mlat=33.3459&amp;mlon=44.3358&amp;zoom=12#map=12/33.3459/44.3358","Maplink1")</f>
        <v>Maplink1</v>
      </c>
      <c r="AT842" s="20" t="str">
        <f aca="false">HYPERLINK("https://www.google.iq/maps/search/+33.3459,44.3358/@33.3459,44.3358,14z?hl=en","Maplink2")</f>
        <v>Maplink2</v>
      </c>
      <c r="AU842" s="20" t="str">
        <f aca="false">HYPERLINK("http://www.bing.com/maps/?lvl=14&amp;sty=h&amp;cp=33.3459~44.3358&amp;sp=point.33.3459_44.3358","Maplink3")</f>
        <v>Maplink3</v>
      </c>
    </row>
    <row r="843" customFormat="false" ht="15" hidden="false" customHeight="true" outlineLevel="0" collapsed="false">
      <c r="A843" s="15" t="n">
        <v>27378</v>
      </c>
      <c r="B843" s="16" t="s">
        <v>17</v>
      </c>
      <c r="C843" s="16" t="s">
        <v>1513</v>
      </c>
      <c r="D843" s="16" t="s">
        <v>1683</v>
      </c>
      <c r="E843" s="17" t="s">
        <v>1684</v>
      </c>
      <c r="F843" s="16" t="n">
        <v>33.56765</v>
      </c>
      <c r="G843" s="16" t="n">
        <v>44.17369</v>
      </c>
      <c r="H843" s="18" t="n">
        <v>36</v>
      </c>
      <c r="I843" s="18" t="n">
        <v>216</v>
      </c>
      <c r="J843" s="19" t="n">
        <v>27</v>
      </c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 t="n">
        <v>9</v>
      </c>
      <c r="Y843" s="19"/>
      <c r="Z843" s="19"/>
      <c r="AA843" s="19"/>
      <c r="AB843" s="19"/>
      <c r="AC843" s="19" t="n">
        <v>22</v>
      </c>
      <c r="AD843" s="19"/>
      <c r="AE843" s="19"/>
      <c r="AF843" s="19"/>
      <c r="AG843" s="19"/>
      <c r="AH843" s="19" t="n">
        <v>14</v>
      </c>
      <c r="AI843" s="19"/>
      <c r="AJ843" s="19"/>
      <c r="AK843" s="19"/>
      <c r="AL843" s="19"/>
      <c r="AM843" s="19"/>
      <c r="AN843" s="19"/>
      <c r="AO843" s="19" t="n">
        <v>27</v>
      </c>
      <c r="AP843" s="19" t="n">
        <v>9</v>
      </c>
      <c r="AQ843" s="19"/>
      <c r="AR843" s="19"/>
      <c r="AS843" s="20" t="str">
        <f aca="false">HYPERLINK("http://www.openstreetmap.org/?mlat=33.5677&amp;mlon=44.1737&amp;zoom=12#map=12/33.5677/44.1737","Maplink1")</f>
        <v>Maplink1</v>
      </c>
      <c r="AT843" s="20" t="str">
        <f aca="false">HYPERLINK("https://www.google.iq/maps/search/+33.5677,44.1737/@33.5677,44.1737,14z?hl=en","Maplink2")</f>
        <v>Maplink2</v>
      </c>
      <c r="AU843" s="20" t="str">
        <f aca="false">HYPERLINK("http://www.bing.com/maps/?lvl=14&amp;sty=h&amp;cp=33.5677~44.1737&amp;sp=point.33.5677_44.1737","Maplink3")</f>
        <v>Maplink3</v>
      </c>
    </row>
    <row r="844" customFormat="false" ht="15" hidden="false" customHeight="true" outlineLevel="0" collapsed="false">
      <c r="A844" s="15" t="n">
        <v>25186</v>
      </c>
      <c r="B844" s="16" t="s">
        <v>17</v>
      </c>
      <c r="C844" s="16" t="s">
        <v>1513</v>
      </c>
      <c r="D844" s="16" t="s">
        <v>1685</v>
      </c>
      <c r="E844" s="17" t="s">
        <v>1686</v>
      </c>
      <c r="F844" s="16" t="n">
        <v>33.49618</v>
      </c>
      <c r="G844" s="16" t="n">
        <v>44.276</v>
      </c>
      <c r="H844" s="18" t="n">
        <v>50</v>
      </c>
      <c r="I844" s="18" t="n">
        <v>300</v>
      </c>
      <c r="J844" s="19" t="n">
        <v>33</v>
      </c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 t="n">
        <v>17</v>
      </c>
      <c r="Y844" s="19"/>
      <c r="Z844" s="19"/>
      <c r="AA844" s="19"/>
      <c r="AB844" s="19"/>
      <c r="AC844" s="19" t="n">
        <v>33</v>
      </c>
      <c r="AD844" s="19"/>
      <c r="AE844" s="19"/>
      <c r="AF844" s="19"/>
      <c r="AG844" s="19"/>
      <c r="AH844" s="19" t="n">
        <v>17</v>
      </c>
      <c r="AI844" s="19"/>
      <c r="AJ844" s="19"/>
      <c r="AK844" s="19"/>
      <c r="AL844" s="19" t="n">
        <v>21</v>
      </c>
      <c r="AM844" s="19"/>
      <c r="AN844" s="19"/>
      <c r="AO844" s="19" t="n">
        <v>12</v>
      </c>
      <c r="AP844" s="19" t="n">
        <v>17</v>
      </c>
      <c r="AQ844" s="19"/>
      <c r="AR844" s="19"/>
      <c r="AS844" s="20" t="str">
        <f aca="false">HYPERLINK("http://www.openstreetmap.org/?mlat=33.4962&amp;mlon=44.276&amp;zoom=12#map=12/33.4962/44.276","Maplink1")</f>
        <v>Maplink1</v>
      </c>
      <c r="AT844" s="20" t="str">
        <f aca="false">HYPERLINK("https://www.google.iq/maps/search/+33.4962,44.276/@33.4962,44.276,14z?hl=en","Maplink2")</f>
        <v>Maplink2</v>
      </c>
      <c r="AU844" s="20" t="str">
        <f aca="false">HYPERLINK("http://www.bing.com/maps/?lvl=14&amp;sty=h&amp;cp=33.4962~44.276&amp;sp=point.33.4962_44.276","Maplink3")</f>
        <v>Maplink3</v>
      </c>
    </row>
    <row r="845" customFormat="false" ht="15" hidden="false" customHeight="true" outlineLevel="0" collapsed="false">
      <c r="A845" s="15" t="n">
        <v>27311</v>
      </c>
      <c r="B845" s="16" t="s">
        <v>17</v>
      </c>
      <c r="C845" s="16" t="s">
        <v>1513</v>
      </c>
      <c r="D845" s="16" t="s">
        <v>1687</v>
      </c>
      <c r="E845" s="17" t="s">
        <v>1688</v>
      </c>
      <c r="F845" s="16" t="n">
        <v>33.36564506</v>
      </c>
      <c r="G845" s="16" t="n">
        <v>44.28201556</v>
      </c>
      <c r="H845" s="18" t="n">
        <v>8</v>
      </c>
      <c r="I845" s="18" t="n">
        <v>48</v>
      </c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 t="n">
        <v>8</v>
      </c>
      <c r="W845" s="19"/>
      <c r="X845" s="19"/>
      <c r="Y845" s="19"/>
      <c r="Z845" s="19"/>
      <c r="AA845" s="19"/>
      <c r="AB845" s="19"/>
      <c r="AC845" s="19" t="n">
        <v>8</v>
      </c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 t="n">
        <v>8</v>
      </c>
      <c r="AO845" s="19"/>
      <c r="AP845" s="19"/>
      <c r="AQ845" s="19"/>
      <c r="AR845" s="19"/>
      <c r="AS845" s="20" t="str">
        <f aca="false">HYPERLINK("http://www.openstreetmap.org/?mlat=33.3656&amp;mlon=44.282&amp;zoom=12#map=12/33.3656/44.282","Maplink1")</f>
        <v>Maplink1</v>
      </c>
      <c r="AT845" s="20" t="str">
        <f aca="false">HYPERLINK("https://www.google.iq/maps/search/+33.3656,44.282/@33.3656,44.282,14z?hl=en","Maplink2")</f>
        <v>Maplink2</v>
      </c>
      <c r="AU845" s="20" t="str">
        <f aca="false">HYPERLINK("http://www.bing.com/maps/?lvl=14&amp;sty=h&amp;cp=33.3656~44.282&amp;sp=point.33.3656_44.282","Maplink3")</f>
        <v>Maplink3</v>
      </c>
    </row>
    <row r="846" customFormat="false" ht="15" hidden="false" customHeight="true" outlineLevel="0" collapsed="false">
      <c r="A846" s="15" t="n">
        <v>27312</v>
      </c>
      <c r="B846" s="16" t="s">
        <v>17</v>
      </c>
      <c r="C846" s="16" t="s">
        <v>1513</v>
      </c>
      <c r="D846" s="16" t="s">
        <v>1689</v>
      </c>
      <c r="E846" s="17" t="s">
        <v>1690</v>
      </c>
      <c r="F846" s="16" t="n">
        <v>33.36427542</v>
      </c>
      <c r="G846" s="16" t="n">
        <v>44.27848603</v>
      </c>
      <c r="H846" s="18" t="n">
        <v>38</v>
      </c>
      <c r="I846" s="18" t="n">
        <v>228</v>
      </c>
      <c r="J846" s="19" t="n">
        <v>12</v>
      </c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 t="n">
        <v>26</v>
      </c>
      <c r="W846" s="19"/>
      <c r="X846" s="19"/>
      <c r="Y846" s="19"/>
      <c r="Z846" s="19"/>
      <c r="AA846" s="19"/>
      <c r="AB846" s="19"/>
      <c r="AC846" s="19" t="n">
        <v>20</v>
      </c>
      <c r="AD846" s="19"/>
      <c r="AE846" s="19"/>
      <c r="AF846" s="19"/>
      <c r="AG846" s="19"/>
      <c r="AH846" s="19" t="n">
        <v>12</v>
      </c>
      <c r="AI846" s="19"/>
      <c r="AJ846" s="19" t="n">
        <v>6</v>
      </c>
      <c r="AK846" s="19"/>
      <c r="AL846" s="19" t="n">
        <v>5</v>
      </c>
      <c r="AM846" s="19"/>
      <c r="AN846" s="19" t="n">
        <v>23</v>
      </c>
      <c r="AO846" s="19" t="n">
        <v>10</v>
      </c>
      <c r="AP846" s="19"/>
      <c r="AQ846" s="19"/>
      <c r="AR846" s="19"/>
      <c r="AS846" s="20" t="str">
        <f aca="false">HYPERLINK("http://www.openstreetmap.org/?mlat=33.3643&amp;mlon=44.2785&amp;zoom=12#map=12/33.3643/44.2785","Maplink1")</f>
        <v>Maplink1</v>
      </c>
      <c r="AT846" s="20" t="str">
        <f aca="false">HYPERLINK("https://www.google.iq/maps/search/+33.3643,44.2785/@33.3643,44.2785,14z?hl=en","Maplink2")</f>
        <v>Maplink2</v>
      </c>
      <c r="AU846" s="20" t="str">
        <f aca="false">HYPERLINK("http://www.bing.com/maps/?lvl=14&amp;sty=h&amp;cp=33.3643~44.2785&amp;sp=point.33.3643_44.2785","Maplink3")</f>
        <v>Maplink3</v>
      </c>
    </row>
    <row r="847" customFormat="false" ht="15" hidden="false" customHeight="true" outlineLevel="0" collapsed="false">
      <c r="A847" s="15" t="n">
        <v>27314</v>
      </c>
      <c r="B847" s="16" t="s">
        <v>17</v>
      </c>
      <c r="C847" s="16" t="s">
        <v>1513</v>
      </c>
      <c r="D847" s="16" t="s">
        <v>1691</v>
      </c>
      <c r="E847" s="17" t="s">
        <v>1692</v>
      </c>
      <c r="F847" s="16" t="n">
        <v>33.37221597</v>
      </c>
      <c r="G847" s="16" t="n">
        <v>44.29293794</v>
      </c>
      <c r="H847" s="18" t="n">
        <v>72</v>
      </c>
      <c r="I847" s="18" t="n">
        <v>432</v>
      </c>
      <c r="J847" s="19" t="n">
        <v>25</v>
      </c>
      <c r="K847" s="19"/>
      <c r="L847" s="19"/>
      <c r="M847" s="19"/>
      <c r="N847" s="19"/>
      <c r="O847" s="19" t="n">
        <v>1</v>
      </c>
      <c r="P847" s="19"/>
      <c r="Q847" s="19"/>
      <c r="R847" s="19" t="n">
        <v>9</v>
      </c>
      <c r="S847" s="19"/>
      <c r="T847" s="19"/>
      <c r="U847" s="19"/>
      <c r="V847" s="19" t="n">
        <v>27</v>
      </c>
      <c r="W847" s="19"/>
      <c r="X847" s="19" t="n">
        <v>10</v>
      </c>
      <c r="Y847" s="19"/>
      <c r="Z847" s="19"/>
      <c r="AA847" s="19"/>
      <c r="AB847" s="19"/>
      <c r="AC847" s="19" t="n">
        <v>22</v>
      </c>
      <c r="AD847" s="19"/>
      <c r="AE847" s="19"/>
      <c r="AF847" s="19"/>
      <c r="AG847" s="19"/>
      <c r="AH847" s="19" t="n">
        <v>50</v>
      </c>
      <c r="AI847" s="19"/>
      <c r="AJ847" s="19"/>
      <c r="AK847" s="19"/>
      <c r="AL847" s="19" t="n">
        <v>13</v>
      </c>
      <c r="AM847" s="19"/>
      <c r="AN847" s="19" t="n">
        <v>33</v>
      </c>
      <c r="AO847" s="19" t="n">
        <v>17</v>
      </c>
      <c r="AP847" s="19" t="n">
        <v>9</v>
      </c>
      <c r="AQ847" s="19"/>
      <c r="AR847" s="19"/>
      <c r="AS847" s="20" t="str">
        <f aca="false">HYPERLINK("http://www.openstreetmap.org/?mlat=33.3722&amp;mlon=44.2929&amp;zoom=12#map=12/33.3722/44.2929","Maplink1")</f>
        <v>Maplink1</v>
      </c>
      <c r="AT847" s="20" t="str">
        <f aca="false">HYPERLINK("https://www.google.iq/maps/search/+33.3722,44.2929/@33.3722,44.2929,14z?hl=en","Maplink2")</f>
        <v>Maplink2</v>
      </c>
      <c r="AU847" s="20" t="str">
        <f aca="false">HYPERLINK("http://www.bing.com/maps/?lvl=14&amp;sty=h&amp;cp=33.3722~44.2929&amp;sp=point.33.3722_44.2929","Maplink3")</f>
        <v>Maplink3</v>
      </c>
    </row>
    <row r="848" customFormat="false" ht="15" hidden="false" customHeight="true" outlineLevel="0" collapsed="false">
      <c r="A848" s="15" t="n">
        <v>27315</v>
      </c>
      <c r="B848" s="16" t="s">
        <v>17</v>
      </c>
      <c r="C848" s="16" t="s">
        <v>1513</v>
      </c>
      <c r="D848" s="16" t="s">
        <v>1693</v>
      </c>
      <c r="E848" s="17" t="s">
        <v>1694</v>
      </c>
      <c r="F848" s="16" t="n">
        <v>33.36335538</v>
      </c>
      <c r="G848" s="16" t="n">
        <v>44.27930435</v>
      </c>
      <c r="H848" s="18" t="n">
        <v>57</v>
      </c>
      <c r="I848" s="18" t="n">
        <v>342</v>
      </c>
      <c r="J848" s="19" t="n">
        <v>13</v>
      </c>
      <c r="K848" s="19"/>
      <c r="L848" s="19"/>
      <c r="M848" s="19"/>
      <c r="N848" s="19"/>
      <c r="O848" s="19" t="n">
        <v>3</v>
      </c>
      <c r="P848" s="19"/>
      <c r="Q848" s="19"/>
      <c r="R848" s="19"/>
      <c r="S848" s="19"/>
      <c r="T848" s="19"/>
      <c r="U848" s="19"/>
      <c r="V848" s="19" t="n">
        <v>21</v>
      </c>
      <c r="W848" s="19"/>
      <c r="X848" s="19" t="n">
        <v>20</v>
      </c>
      <c r="Y848" s="19"/>
      <c r="Z848" s="19"/>
      <c r="AA848" s="19"/>
      <c r="AB848" s="19"/>
      <c r="AC848" s="19" t="n">
        <v>10</v>
      </c>
      <c r="AD848" s="19"/>
      <c r="AE848" s="19"/>
      <c r="AF848" s="19"/>
      <c r="AG848" s="19"/>
      <c r="AH848" s="19" t="n">
        <v>47</v>
      </c>
      <c r="AI848" s="19"/>
      <c r="AJ848" s="19"/>
      <c r="AK848" s="19"/>
      <c r="AL848" s="19" t="n">
        <v>18</v>
      </c>
      <c r="AM848" s="19"/>
      <c r="AN848" s="19" t="n">
        <v>23</v>
      </c>
      <c r="AO848" s="19" t="n">
        <v>11</v>
      </c>
      <c r="AP848" s="19" t="n">
        <v>3</v>
      </c>
      <c r="AQ848" s="19" t="n">
        <v>2</v>
      </c>
      <c r="AR848" s="19"/>
      <c r="AS848" s="20" t="str">
        <f aca="false">HYPERLINK("http://www.openstreetmap.org/?mlat=33.3634&amp;mlon=44.2793&amp;zoom=12#map=12/33.3634/44.2793","Maplink1")</f>
        <v>Maplink1</v>
      </c>
      <c r="AT848" s="20" t="str">
        <f aca="false">HYPERLINK("https://www.google.iq/maps/search/+33.3634,44.2793/@33.3634,44.2793,14z?hl=en","Maplink2")</f>
        <v>Maplink2</v>
      </c>
      <c r="AU848" s="20" t="str">
        <f aca="false">HYPERLINK("http://www.bing.com/maps/?lvl=14&amp;sty=h&amp;cp=33.3634~44.2793&amp;sp=point.33.3634_44.2793","Maplink3")</f>
        <v>Maplink3</v>
      </c>
    </row>
    <row r="849" customFormat="false" ht="15" hidden="false" customHeight="true" outlineLevel="0" collapsed="false">
      <c r="A849" s="15" t="n">
        <v>27316</v>
      </c>
      <c r="B849" s="16" t="s">
        <v>17</v>
      </c>
      <c r="C849" s="16" t="s">
        <v>1513</v>
      </c>
      <c r="D849" s="16" t="s">
        <v>1695</v>
      </c>
      <c r="E849" s="17" t="s">
        <v>1696</v>
      </c>
      <c r="F849" s="16" t="n">
        <v>33.3701861277</v>
      </c>
      <c r="G849" s="16" t="n">
        <v>44.287966378</v>
      </c>
      <c r="H849" s="18" t="n">
        <v>88</v>
      </c>
      <c r="I849" s="18" t="n">
        <v>528</v>
      </c>
      <c r="J849" s="19" t="n">
        <v>29</v>
      </c>
      <c r="K849" s="19"/>
      <c r="L849" s="19"/>
      <c r="M849" s="19"/>
      <c r="N849" s="19"/>
      <c r="O849" s="19" t="n">
        <v>3</v>
      </c>
      <c r="P849" s="19"/>
      <c r="Q849" s="19"/>
      <c r="R849" s="19"/>
      <c r="S849" s="19"/>
      <c r="T849" s="19"/>
      <c r="U849" s="19"/>
      <c r="V849" s="19" t="n">
        <v>24</v>
      </c>
      <c r="W849" s="19"/>
      <c r="X849" s="19" t="n">
        <v>32</v>
      </c>
      <c r="Y849" s="19"/>
      <c r="Z849" s="19"/>
      <c r="AA849" s="19"/>
      <c r="AB849" s="19"/>
      <c r="AC849" s="19" t="n">
        <v>41</v>
      </c>
      <c r="AD849" s="19"/>
      <c r="AE849" s="19"/>
      <c r="AF849" s="19"/>
      <c r="AG849" s="19"/>
      <c r="AH849" s="19" t="n">
        <v>47</v>
      </c>
      <c r="AI849" s="19"/>
      <c r="AJ849" s="19"/>
      <c r="AK849" s="19"/>
      <c r="AL849" s="19" t="n">
        <v>14</v>
      </c>
      <c r="AM849" s="19"/>
      <c r="AN849" s="19" t="n">
        <v>22</v>
      </c>
      <c r="AO849" s="19" t="n">
        <v>51</v>
      </c>
      <c r="AP849" s="19" t="n">
        <v>1</v>
      </c>
      <c r="AQ849" s="19"/>
      <c r="AR849" s="19"/>
      <c r="AS849" s="20" t="str">
        <f aca="false">HYPERLINK("http://www.openstreetmap.org/?mlat=33.3702&amp;mlon=44.288&amp;zoom=12#map=12/33.3702/44.288","Maplink1")</f>
        <v>Maplink1</v>
      </c>
      <c r="AT849" s="20" t="str">
        <f aca="false">HYPERLINK("https://www.google.iq/maps/search/+33.3702,44.288/@33.3702,44.288,14z?hl=en","Maplink2")</f>
        <v>Maplink2</v>
      </c>
      <c r="AU849" s="20" t="str">
        <f aca="false">HYPERLINK("http://www.bing.com/maps/?lvl=14&amp;sty=h&amp;cp=33.3702~44.288&amp;sp=point.33.3702_44.288","Maplink3")</f>
        <v>Maplink3</v>
      </c>
    </row>
    <row r="850" customFormat="false" ht="15" hidden="false" customHeight="true" outlineLevel="0" collapsed="false">
      <c r="A850" s="15" t="n">
        <v>27317</v>
      </c>
      <c r="B850" s="16" t="s">
        <v>17</v>
      </c>
      <c r="C850" s="16" t="s">
        <v>1513</v>
      </c>
      <c r="D850" s="16" t="s">
        <v>1697</v>
      </c>
      <c r="E850" s="17" t="s">
        <v>1698</v>
      </c>
      <c r="F850" s="16" t="n">
        <v>33.36260641</v>
      </c>
      <c r="G850" s="16" t="n">
        <v>44.2748694</v>
      </c>
      <c r="H850" s="18" t="n">
        <v>60</v>
      </c>
      <c r="I850" s="18" t="n">
        <v>360</v>
      </c>
      <c r="J850" s="19" t="n">
        <v>14</v>
      </c>
      <c r="K850" s="19"/>
      <c r="L850" s="19"/>
      <c r="M850" s="19"/>
      <c r="N850" s="19"/>
      <c r="O850" s="19" t="n">
        <v>2</v>
      </c>
      <c r="P850" s="19"/>
      <c r="Q850" s="19"/>
      <c r="R850" s="19" t="n">
        <v>9</v>
      </c>
      <c r="S850" s="19"/>
      <c r="T850" s="19"/>
      <c r="U850" s="19"/>
      <c r="V850" s="19" t="n">
        <v>23</v>
      </c>
      <c r="W850" s="19"/>
      <c r="X850" s="19" t="n">
        <v>12</v>
      </c>
      <c r="Y850" s="19"/>
      <c r="Z850" s="19"/>
      <c r="AA850" s="19"/>
      <c r="AB850" s="19"/>
      <c r="AC850" s="19" t="n">
        <v>19</v>
      </c>
      <c r="AD850" s="19"/>
      <c r="AE850" s="19"/>
      <c r="AF850" s="19"/>
      <c r="AG850" s="19"/>
      <c r="AH850" s="19" t="n">
        <v>41</v>
      </c>
      <c r="AI850" s="19"/>
      <c r="AJ850" s="19"/>
      <c r="AK850" s="19"/>
      <c r="AL850" s="19" t="n">
        <v>9</v>
      </c>
      <c r="AM850" s="19"/>
      <c r="AN850" s="19" t="n">
        <v>24</v>
      </c>
      <c r="AO850" s="19" t="n">
        <v>17</v>
      </c>
      <c r="AP850" s="19" t="n">
        <v>10</v>
      </c>
      <c r="AQ850" s="19"/>
      <c r="AR850" s="19"/>
      <c r="AS850" s="20" t="str">
        <f aca="false">HYPERLINK("http://www.openstreetmap.org/?mlat=33.3626&amp;mlon=44.2749&amp;zoom=12#map=12/33.3626/44.2749","Maplink1")</f>
        <v>Maplink1</v>
      </c>
      <c r="AT850" s="20" t="str">
        <f aca="false">HYPERLINK("https://www.google.iq/maps/search/+33.3626,44.2749/@33.3626,44.2749,14z?hl=en","Maplink2")</f>
        <v>Maplink2</v>
      </c>
      <c r="AU850" s="20" t="str">
        <f aca="false">HYPERLINK("http://www.bing.com/maps/?lvl=14&amp;sty=h&amp;cp=33.3626~44.2749&amp;sp=point.33.3626_44.2749","Maplink3")</f>
        <v>Maplink3</v>
      </c>
    </row>
    <row r="851" customFormat="false" ht="15" hidden="false" customHeight="true" outlineLevel="0" collapsed="false">
      <c r="A851" s="15" t="n">
        <v>27318</v>
      </c>
      <c r="B851" s="16" t="s">
        <v>17</v>
      </c>
      <c r="C851" s="16" t="s">
        <v>1513</v>
      </c>
      <c r="D851" s="16" t="s">
        <v>1699</v>
      </c>
      <c r="E851" s="17" t="s">
        <v>1700</v>
      </c>
      <c r="F851" s="16" t="n">
        <v>33.36233488</v>
      </c>
      <c r="G851" s="16" t="n">
        <v>44.27419784</v>
      </c>
      <c r="H851" s="18" t="n">
        <v>34</v>
      </c>
      <c r="I851" s="18" t="n">
        <v>204</v>
      </c>
      <c r="J851" s="19" t="n">
        <v>1</v>
      </c>
      <c r="K851" s="19"/>
      <c r="L851" s="19"/>
      <c r="M851" s="19"/>
      <c r="N851" s="19"/>
      <c r="O851" s="19" t="n">
        <v>8</v>
      </c>
      <c r="P851" s="19"/>
      <c r="Q851" s="19"/>
      <c r="R851" s="19" t="n">
        <v>2</v>
      </c>
      <c r="S851" s="19"/>
      <c r="T851" s="19"/>
      <c r="U851" s="19"/>
      <c r="V851" s="19" t="n">
        <v>15</v>
      </c>
      <c r="W851" s="19"/>
      <c r="X851" s="19" t="n">
        <v>8</v>
      </c>
      <c r="Y851" s="19"/>
      <c r="Z851" s="19"/>
      <c r="AA851" s="19"/>
      <c r="AB851" s="19"/>
      <c r="AC851" s="19" t="n">
        <v>6</v>
      </c>
      <c r="AD851" s="19"/>
      <c r="AE851" s="19"/>
      <c r="AF851" s="19"/>
      <c r="AG851" s="19"/>
      <c r="AH851" s="19" t="n">
        <v>28</v>
      </c>
      <c r="AI851" s="19"/>
      <c r="AJ851" s="19"/>
      <c r="AK851" s="19"/>
      <c r="AL851" s="19" t="n">
        <v>4</v>
      </c>
      <c r="AM851" s="19"/>
      <c r="AN851" s="19" t="n">
        <v>13</v>
      </c>
      <c r="AO851" s="19" t="n">
        <v>15</v>
      </c>
      <c r="AP851" s="19" t="n">
        <v>2</v>
      </c>
      <c r="AQ851" s="19"/>
      <c r="AR851" s="19"/>
      <c r="AS851" s="20" t="str">
        <f aca="false">HYPERLINK("http://www.openstreetmap.org/?mlat=33.3623&amp;mlon=44.2742&amp;zoom=12#map=12/33.3623/44.2742","Maplink1")</f>
        <v>Maplink1</v>
      </c>
      <c r="AT851" s="20" t="str">
        <f aca="false">HYPERLINK("https://www.google.iq/maps/search/+33.3623,44.2742/@33.3623,44.2742,14z?hl=en","Maplink2")</f>
        <v>Maplink2</v>
      </c>
      <c r="AU851" s="20" t="str">
        <f aca="false">HYPERLINK("http://www.bing.com/maps/?lvl=14&amp;sty=h&amp;cp=33.3623~44.2742&amp;sp=point.33.3623_44.2742","Maplink3")</f>
        <v>Maplink3</v>
      </c>
    </row>
    <row r="852" customFormat="false" ht="15" hidden="false" customHeight="true" outlineLevel="0" collapsed="false">
      <c r="A852" s="15" t="n">
        <v>27319</v>
      </c>
      <c r="B852" s="16" t="s">
        <v>17</v>
      </c>
      <c r="C852" s="16" t="s">
        <v>1513</v>
      </c>
      <c r="D852" s="16" t="s">
        <v>1701</v>
      </c>
      <c r="E852" s="17" t="s">
        <v>1702</v>
      </c>
      <c r="F852" s="16" t="n">
        <v>33.3693952113</v>
      </c>
      <c r="G852" s="16" t="n">
        <v>44.2863817792</v>
      </c>
      <c r="H852" s="18" t="n">
        <v>145</v>
      </c>
      <c r="I852" s="18" t="n">
        <v>870</v>
      </c>
      <c r="J852" s="19" t="n">
        <v>63</v>
      </c>
      <c r="K852" s="19"/>
      <c r="L852" s="19"/>
      <c r="M852" s="19"/>
      <c r="N852" s="19"/>
      <c r="O852" s="19" t="n">
        <v>5</v>
      </c>
      <c r="P852" s="19"/>
      <c r="Q852" s="19"/>
      <c r="R852" s="19" t="n">
        <v>3</v>
      </c>
      <c r="S852" s="19"/>
      <c r="T852" s="19"/>
      <c r="U852" s="19"/>
      <c r="V852" s="19" t="n">
        <v>51</v>
      </c>
      <c r="W852" s="19"/>
      <c r="X852" s="19" t="n">
        <v>23</v>
      </c>
      <c r="Y852" s="19"/>
      <c r="Z852" s="19"/>
      <c r="AA852" s="19"/>
      <c r="AB852" s="19"/>
      <c r="AC852" s="19" t="n">
        <v>44</v>
      </c>
      <c r="AD852" s="19"/>
      <c r="AE852" s="19"/>
      <c r="AF852" s="19"/>
      <c r="AG852" s="19"/>
      <c r="AH852" s="19" t="n">
        <v>101</v>
      </c>
      <c r="AI852" s="19"/>
      <c r="AJ852" s="19"/>
      <c r="AK852" s="19"/>
      <c r="AL852" s="19" t="n">
        <v>28</v>
      </c>
      <c r="AM852" s="19"/>
      <c r="AN852" s="19" t="n">
        <v>42</v>
      </c>
      <c r="AO852" s="19" t="n">
        <v>48</v>
      </c>
      <c r="AP852" s="19" t="n">
        <v>27</v>
      </c>
      <c r="AQ852" s="19"/>
      <c r="AR852" s="19"/>
      <c r="AS852" s="20" t="str">
        <f aca="false">HYPERLINK("http://www.openstreetmap.org/?mlat=33.3694&amp;mlon=44.2864&amp;zoom=12#map=12/33.3694/44.2864","Maplink1")</f>
        <v>Maplink1</v>
      </c>
      <c r="AT852" s="20" t="str">
        <f aca="false">HYPERLINK("https://www.google.iq/maps/search/+33.3694,44.2864/@33.3694,44.2864,14z?hl=en","Maplink2")</f>
        <v>Maplink2</v>
      </c>
      <c r="AU852" s="20" t="str">
        <f aca="false">HYPERLINK("http://www.bing.com/maps/?lvl=14&amp;sty=h&amp;cp=33.3694~44.2864&amp;sp=point.33.3694_44.2864","Maplink3")</f>
        <v>Maplink3</v>
      </c>
    </row>
    <row r="853" customFormat="false" ht="15" hidden="false" customHeight="true" outlineLevel="0" collapsed="false">
      <c r="A853" s="15" t="n">
        <v>27320</v>
      </c>
      <c r="B853" s="16" t="s">
        <v>17</v>
      </c>
      <c r="C853" s="16" t="s">
        <v>1513</v>
      </c>
      <c r="D853" s="16" t="s">
        <v>1703</v>
      </c>
      <c r="E853" s="17" t="s">
        <v>1704</v>
      </c>
      <c r="F853" s="16" t="n">
        <v>33.3668679</v>
      </c>
      <c r="G853" s="16" t="n">
        <v>44.29875858</v>
      </c>
      <c r="H853" s="18" t="n">
        <v>26</v>
      </c>
      <c r="I853" s="18" t="n">
        <v>156</v>
      </c>
      <c r="J853" s="19" t="n">
        <v>11</v>
      </c>
      <c r="K853" s="19"/>
      <c r="L853" s="19"/>
      <c r="M853" s="19"/>
      <c r="N853" s="19"/>
      <c r="O853" s="19" t="n">
        <v>1</v>
      </c>
      <c r="P853" s="19"/>
      <c r="Q853" s="19"/>
      <c r="R853" s="19" t="n">
        <v>2</v>
      </c>
      <c r="S853" s="19"/>
      <c r="T853" s="19"/>
      <c r="U853" s="19"/>
      <c r="V853" s="19" t="n">
        <v>6</v>
      </c>
      <c r="W853" s="19"/>
      <c r="X853" s="19" t="n">
        <v>6</v>
      </c>
      <c r="Y853" s="19"/>
      <c r="Z853" s="19"/>
      <c r="AA853" s="19"/>
      <c r="AB853" s="19"/>
      <c r="AC853" s="19" t="n">
        <v>26</v>
      </c>
      <c r="AD853" s="19"/>
      <c r="AE853" s="19"/>
      <c r="AF853" s="19"/>
      <c r="AG853" s="19"/>
      <c r="AH853" s="19"/>
      <c r="AI853" s="19"/>
      <c r="AJ853" s="19"/>
      <c r="AK853" s="19"/>
      <c r="AL853" s="19" t="n">
        <v>12</v>
      </c>
      <c r="AM853" s="19"/>
      <c r="AN853" s="19" t="n">
        <v>10</v>
      </c>
      <c r="AO853" s="19" t="n">
        <v>3</v>
      </c>
      <c r="AP853" s="19" t="n">
        <v>1</v>
      </c>
      <c r="AQ853" s="19"/>
      <c r="AR853" s="19"/>
      <c r="AS853" s="20" t="str">
        <f aca="false">HYPERLINK("http://www.openstreetmap.org/?mlat=33.3669&amp;mlon=44.2988&amp;zoom=12#map=12/33.3669/44.2988","Maplink1")</f>
        <v>Maplink1</v>
      </c>
      <c r="AT853" s="20" t="str">
        <f aca="false">HYPERLINK("https://www.google.iq/maps/search/+33.3669,44.2988/@33.3669,44.2988,14z?hl=en","Maplink2")</f>
        <v>Maplink2</v>
      </c>
      <c r="AU853" s="20" t="str">
        <f aca="false">HYPERLINK("http://www.bing.com/maps/?lvl=14&amp;sty=h&amp;cp=33.3669~44.2988&amp;sp=point.33.3669_44.2988","Maplink3")</f>
        <v>Maplink3</v>
      </c>
    </row>
    <row r="854" customFormat="false" ht="15" hidden="false" customHeight="true" outlineLevel="0" collapsed="false">
      <c r="A854" s="15" t="n">
        <v>25190</v>
      </c>
      <c r="B854" s="16" t="s">
        <v>17</v>
      </c>
      <c r="C854" s="16" t="s">
        <v>1513</v>
      </c>
      <c r="D854" s="16" t="s">
        <v>1705</v>
      </c>
      <c r="E854" s="17" t="s">
        <v>1706</v>
      </c>
      <c r="F854" s="16" t="n">
        <v>33.4976</v>
      </c>
      <c r="G854" s="16" t="n">
        <v>44.2772</v>
      </c>
      <c r="H854" s="18" t="n">
        <v>39</v>
      </c>
      <c r="I854" s="18" t="n">
        <v>234</v>
      </c>
      <c r="J854" s="19" t="n">
        <v>32</v>
      </c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 t="n">
        <v>7</v>
      </c>
      <c r="Y854" s="19"/>
      <c r="Z854" s="19"/>
      <c r="AA854" s="19"/>
      <c r="AB854" s="19"/>
      <c r="AC854" s="19" t="n">
        <v>32</v>
      </c>
      <c r="AD854" s="19"/>
      <c r="AE854" s="19"/>
      <c r="AF854" s="19"/>
      <c r="AG854" s="19"/>
      <c r="AH854" s="19" t="n">
        <v>7</v>
      </c>
      <c r="AI854" s="19"/>
      <c r="AJ854" s="19"/>
      <c r="AK854" s="19"/>
      <c r="AL854" s="19" t="n">
        <v>20</v>
      </c>
      <c r="AM854" s="19"/>
      <c r="AN854" s="19"/>
      <c r="AO854" s="19" t="n">
        <v>7</v>
      </c>
      <c r="AP854" s="19" t="n">
        <v>12</v>
      </c>
      <c r="AQ854" s="19"/>
      <c r="AR854" s="19"/>
      <c r="AS854" s="20" t="str">
        <f aca="false">HYPERLINK("http://www.openstreetmap.org/?mlat=33.4976&amp;mlon=44.2772&amp;zoom=12#map=12/33.4976/44.2772","Maplink1")</f>
        <v>Maplink1</v>
      </c>
      <c r="AT854" s="20" t="str">
        <f aca="false">HYPERLINK("https://www.google.iq/maps/search/+33.4976,44.2772/@33.4976,44.2772,14z?hl=en","Maplink2")</f>
        <v>Maplink2</v>
      </c>
      <c r="AU854" s="20" t="str">
        <f aca="false">HYPERLINK("http://www.bing.com/maps/?lvl=14&amp;sty=h&amp;cp=33.4976~44.2772&amp;sp=point.33.4976_44.2772","Maplink3")</f>
        <v>Maplink3</v>
      </c>
    </row>
    <row r="855" customFormat="false" ht="15" hidden="false" customHeight="true" outlineLevel="0" collapsed="false">
      <c r="A855" s="15" t="n">
        <v>25175</v>
      </c>
      <c r="B855" s="16" t="s">
        <v>17</v>
      </c>
      <c r="C855" s="16" t="s">
        <v>1513</v>
      </c>
      <c r="D855" s="16" t="s">
        <v>1707</v>
      </c>
      <c r="E855" s="17" t="s">
        <v>1708</v>
      </c>
      <c r="F855" s="16" t="n">
        <v>33.46940973</v>
      </c>
      <c r="G855" s="16" t="n">
        <v>44.22228406</v>
      </c>
      <c r="H855" s="18" t="n">
        <v>32</v>
      </c>
      <c r="I855" s="18" t="n">
        <v>192</v>
      </c>
      <c r="J855" s="19" t="n">
        <v>32</v>
      </c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 t="n">
        <v>10</v>
      </c>
      <c r="AD855" s="19"/>
      <c r="AE855" s="19"/>
      <c r="AF855" s="19"/>
      <c r="AG855" s="19"/>
      <c r="AH855" s="19" t="n">
        <v>22</v>
      </c>
      <c r="AI855" s="19"/>
      <c r="AJ855" s="19"/>
      <c r="AK855" s="19"/>
      <c r="AL855" s="19" t="n">
        <v>20</v>
      </c>
      <c r="AM855" s="19"/>
      <c r="AN855" s="19"/>
      <c r="AO855" s="19" t="n">
        <v>7</v>
      </c>
      <c r="AP855" s="19" t="n">
        <v>5</v>
      </c>
      <c r="AQ855" s="19"/>
      <c r="AR855" s="19"/>
      <c r="AS855" s="20" t="str">
        <f aca="false">HYPERLINK("http://www.openstreetmap.org/?mlat=33.4694&amp;mlon=44.2223&amp;zoom=12#map=12/33.4694/44.2223","Maplink1")</f>
        <v>Maplink1</v>
      </c>
      <c r="AT855" s="20" t="str">
        <f aca="false">HYPERLINK("https://www.google.iq/maps/search/+33.4694,44.2223/@33.4694,44.2223,14z?hl=en","Maplink2")</f>
        <v>Maplink2</v>
      </c>
      <c r="AU855" s="20" t="str">
        <f aca="false">HYPERLINK("http://www.bing.com/maps/?lvl=14&amp;sty=h&amp;cp=33.4694~44.2223&amp;sp=point.33.4694_44.2223","Maplink3")</f>
        <v>Maplink3</v>
      </c>
    </row>
    <row r="856" customFormat="false" ht="15" hidden="false" customHeight="true" outlineLevel="0" collapsed="false">
      <c r="A856" s="15" t="n">
        <v>25772</v>
      </c>
      <c r="B856" s="16" t="s">
        <v>17</v>
      </c>
      <c r="C856" s="16" t="s">
        <v>1709</v>
      </c>
      <c r="D856" s="16" t="s">
        <v>1710</v>
      </c>
      <c r="E856" s="17" t="s">
        <v>1711</v>
      </c>
      <c r="F856" s="16" t="n">
        <v>33.24107963</v>
      </c>
      <c r="G856" s="16" t="n">
        <v>44.40777517</v>
      </c>
      <c r="H856" s="18" t="n">
        <v>94</v>
      </c>
      <c r="I856" s="18" t="n">
        <v>564</v>
      </c>
      <c r="J856" s="19" t="n">
        <v>92</v>
      </c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 t="n">
        <v>2</v>
      </c>
      <c r="W856" s="19"/>
      <c r="X856" s="19"/>
      <c r="Y856" s="19"/>
      <c r="Z856" s="19"/>
      <c r="AA856" s="19"/>
      <c r="AB856" s="19" t="n">
        <v>94</v>
      </c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 t="n">
        <v>85</v>
      </c>
      <c r="AQ856" s="19" t="n">
        <v>1</v>
      </c>
      <c r="AR856" s="19" t="n">
        <v>8</v>
      </c>
      <c r="AS856" s="20" t="str">
        <f aca="false">HYPERLINK("http://www.openstreetmap.org/?mlat=33.2411&amp;mlon=44.4078&amp;zoom=12#map=12/33.2411/44.4078","Maplink1")</f>
        <v>Maplink1</v>
      </c>
      <c r="AT856" s="20" t="str">
        <f aca="false">HYPERLINK("https://www.google.iq/maps/search/+33.2411,44.4078/@33.2411,44.4078,14z?hl=en","Maplink2")</f>
        <v>Maplink2</v>
      </c>
      <c r="AU856" s="20" t="str">
        <f aca="false">HYPERLINK("http://www.bing.com/maps/?lvl=14&amp;sty=h&amp;cp=33.2411~44.4078&amp;sp=point.33.2411_44.4078","Maplink3")</f>
        <v>Maplink3</v>
      </c>
    </row>
    <row r="857" customFormat="false" ht="15" hidden="false" customHeight="true" outlineLevel="0" collapsed="false">
      <c r="A857" s="15" t="n">
        <v>25402</v>
      </c>
      <c r="B857" s="16" t="s">
        <v>17</v>
      </c>
      <c r="C857" s="16" t="s">
        <v>1709</v>
      </c>
      <c r="D857" s="16" t="s">
        <v>1712</v>
      </c>
      <c r="E857" s="17" t="s">
        <v>1713</v>
      </c>
      <c r="F857" s="16" t="n">
        <v>33.20794672</v>
      </c>
      <c r="G857" s="16" t="n">
        <v>44.37872462</v>
      </c>
      <c r="H857" s="18" t="n">
        <v>43</v>
      </c>
      <c r="I857" s="18" t="n">
        <v>258</v>
      </c>
      <c r="J857" s="19" t="n">
        <v>15</v>
      </c>
      <c r="K857" s="19"/>
      <c r="L857" s="19"/>
      <c r="M857" s="19"/>
      <c r="N857" s="19"/>
      <c r="O857" s="19" t="n">
        <v>2</v>
      </c>
      <c r="P857" s="19"/>
      <c r="Q857" s="19"/>
      <c r="R857" s="19"/>
      <c r="S857" s="19"/>
      <c r="T857" s="19"/>
      <c r="U857" s="19"/>
      <c r="V857" s="19" t="n">
        <v>23</v>
      </c>
      <c r="W857" s="19"/>
      <c r="X857" s="19" t="n">
        <v>3</v>
      </c>
      <c r="Y857" s="19"/>
      <c r="Z857" s="19"/>
      <c r="AA857" s="19"/>
      <c r="AB857" s="19"/>
      <c r="AC857" s="19" t="n">
        <v>25</v>
      </c>
      <c r="AD857" s="19"/>
      <c r="AE857" s="19"/>
      <c r="AF857" s="19"/>
      <c r="AG857" s="19"/>
      <c r="AH857" s="19" t="n">
        <v>18</v>
      </c>
      <c r="AI857" s="19"/>
      <c r="AJ857" s="19"/>
      <c r="AK857" s="19"/>
      <c r="AL857" s="19" t="n">
        <v>10</v>
      </c>
      <c r="AM857" s="19" t="n">
        <v>21</v>
      </c>
      <c r="AN857" s="19" t="n">
        <v>7</v>
      </c>
      <c r="AO857" s="19" t="n">
        <v>5</v>
      </c>
      <c r="AP857" s="19"/>
      <c r="AQ857" s="19"/>
      <c r="AR857" s="19"/>
      <c r="AS857" s="20" t="str">
        <f aca="false">HYPERLINK("http://www.openstreetmap.org/?mlat=33.2079&amp;mlon=44.3787&amp;zoom=12#map=12/33.2079/44.3787","Maplink1")</f>
        <v>Maplink1</v>
      </c>
      <c r="AT857" s="20" t="str">
        <f aca="false">HYPERLINK("https://www.google.iq/maps/search/+33.2079,44.3787/@33.2079,44.3787,14z?hl=en","Maplink2")</f>
        <v>Maplink2</v>
      </c>
      <c r="AU857" s="20" t="str">
        <f aca="false">HYPERLINK("http://www.bing.com/maps/?lvl=14&amp;sty=h&amp;cp=33.2079~44.3787&amp;sp=point.33.2079_44.3787","Maplink3")</f>
        <v>Maplink3</v>
      </c>
    </row>
    <row r="858" customFormat="false" ht="15" hidden="false" customHeight="true" outlineLevel="0" collapsed="false">
      <c r="A858" s="15" t="n">
        <v>25403</v>
      </c>
      <c r="B858" s="16" t="s">
        <v>17</v>
      </c>
      <c r="C858" s="16" t="s">
        <v>1709</v>
      </c>
      <c r="D858" s="16" t="s">
        <v>1714</v>
      </c>
      <c r="E858" s="17" t="s">
        <v>1715</v>
      </c>
      <c r="F858" s="16" t="n">
        <v>33.20822363</v>
      </c>
      <c r="G858" s="16" t="n">
        <v>44.38066524</v>
      </c>
      <c r="H858" s="18" t="n">
        <v>78</v>
      </c>
      <c r="I858" s="18" t="n">
        <v>468</v>
      </c>
      <c r="J858" s="19" t="n">
        <v>26</v>
      </c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 t="n">
        <v>42</v>
      </c>
      <c r="W858" s="19"/>
      <c r="X858" s="19" t="n">
        <v>10</v>
      </c>
      <c r="Y858" s="19"/>
      <c r="Z858" s="19"/>
      <c r="AA858" s="19"/>
      <c r="AB858" s="19"/>
      <c r="AC858" s="19" t="n">
        <v>24</v>
      </c>
      <c r="AD858" s="19"/>
      <c r="AE858" s="19"/>
      <c r="AF858" s="19"/>
      <c r="AG858" s="19"/>
      <c r="AH858" s="19" t="n">
        <v>54</v>
      </c>
      <c r="AI858" s="19"/>
      <c r="AJ858" s="19"/>
      <c r="AK858" s="19"/>
      <c r="AL858" s="19" t="n">
        <v>22</v>
      </c>
      <c r="AM858" s="19" t="n">
        <v>40</v>
      </c>
      <c r="AN858" s="19"/>
      <c r="AO858" s="19" t="n">
        <v>8</v>
      </c>
      <c r="AP858" s="19" t="n">
        <v>4</v>
      </c>
      <c r="AQ858" s="19"/>
      <c r="AR858" s="19" t="n">
        <v>4</v>
      </c>
      <c r="AS858" s="20" t="str">
        <f aca="false">HYPERLINK("http://www.openstreetmap.org/?mlat=33.2082&amp;mlon=44.3807&amp;zoom=12#map=12/33.2082/44.3807","Maplink1")</f>
        <v>Maplink1</v>
      </c>
      <c r="AT858" s="20" t="str">
        <f aca="false">HYPERLINK("https://www.google.iq/maps/search/+33.2082,44.3807/@33.2082,44.3807,14z?hl=en","Maplink2")</f>
        <v>Maplink2</v>
      </c>
      <c r="AU858" s="20" t="str">
        <f aca="false">HYPERLINK("http://www.bing.com/maps/?lvl=14&amp;sty=h&amp;cp=33.2082~44.3807&amp;sp=point.33.2082_44.3807","Maplink3")</f>
        <v>Maplink3</v>
      </c>
    </row>
    <row r="859" customFormat="false" ht="15" hidden="false" customHeight="true" outlineLevel="0" collapsed="false">
      <c r="A859" s="15" t="n">
        <v>25404</v>
      </c>
      <c r="B859" s="16" t="s">
        <v>17</v>
      </c>
      <c r="C859" s="16" t="s">
        <v>1709</v>
      </c>
      <c r="D859" s="16" t="s">
        <v>1716</v>
      </c>
      <c r="E859" s="17" t="s">
        <v>1717</v>
      </c>
      <c r="F859" s="16" t="n">
        <v>33.22071728</v>
      </c>
      <c r="G859" s="16" t="n">
        <v>44.38441677</v>
      </c>
      <c r="H859" s="18" t="n">
        <v>33</v>
      </c>
      <c r="I859" s="18" t="n">
        <v>198</v>
      </c>
      <c r="J859" s="19" t="n">
        <v>7</v>
      </c>
      <c r="K859" s="19"/>
      <c r="L859" s="19"/>
      <c r="M859" s="19"/>
      <c r="N859" s="19"/>
      <c r="O859" s="19"/>
      <c r="P859" s="19"/>
      <c r="Q859" s="19"/>
      <c r="R859" s="19" t="n">
        <v>2</v>
      </c>
      <c r="S859" s="19"/>
      <c r="T859" s="19"/>
      <c r="U859" s="19"/>
      <c r="V859" s="19" t="n">
        <v>17</v>
      </c>
      <c r="W859" s="19"/>
      <c r="X859" s="19" t="n">
        <v>7</v>
      </c>
      <c r="Y859" s="19"/>
      <c r="Z859" s="19"/>
      <c r="AA859" s="19"/>
      <c r="AB859" s="19"/>
      <c r="AC859" s="19" t="n">
        <v>15</v>
      </c>
      <c r="AD859" s="19"/>
      <c r="AE859" s="19"/>
      <c r="AF859" s="19"/>
      <c r="AG859" s="19"/>
      <c r="AH859" s="19" t="n">
        <v>18</v>
      </c>
      <c r="AI859" s="19"/>
      <c r="AJ859" s="19"/>
      <c r="AK859" s="19"/>
      <c r="AL859" s="19" t="n">
        <v>8</v>
      </c>
      <c r="AM859" s="19" t="n">
        <v>16</v>
      </c>
      <c r="AN859" s="19"/>
      <c r="AO859" s="19" t="n">
        <v>2</v>
      </c>
      <c r="AP859" s="19" t="n">
        <v>1</v>
      </c>
      <c r="AQ859" s="19"/>
      <c r="AR859" s="19" t="n">
        <v>6</v>
      </c>
      <c r="AS859" s="20" t="str">
        <f aca="false">HYPERLINK("http://www.openstreetmap.org/?mlat=33.2207&amp;mlon=44.3844&amp;zoom=12#map=12/33.2207/44.3844","Maplink1")</f>
        <v>Maplink1</v>
      </c>
      <c r="AT859" s="20" t="str">
        <f aca="false">HYPERLINK("https://www.google.iq/maps/search/+33.2207,44.3844/@33.2207,44.3844,14z?hl=en","Maplink2")</f>
        <v>Maplink2</v>
      </c>
      <c r="AU859" s="20" t="str">
        <f aca="false">HYPERLINK("http://www.bing.com/maps/?lvl=14&amp;sty=h&amp;cp=33.2207~44.3844&amp;sp=point.33.2207_44.3844","Maplink3")</f>
        <v>Maplink3</v>
      </c>
    </row>
    <row r="860" customFormat="false" ht="15" hidden="false" customHeight="true" outlineLevel="0" collapsed="false">
      <c r="A860" s="15" t="n">
        <v>24080</v>
      </c>
      <c r="B860" s="16" t="s">
        <v>17</v>
      </c>
      <c r="C860" s="16" t="s">
        <v>1709</v>
      </c>
      <c r="D860" s="16" t="s">
        <v>1718</v>
      </c>
      <c r="E860" s="17" t="s">
        <v>1719</v>
      </c>
      <c r="F860" s="16" t="n">
        <v>33.20955451</v>
      </c>
      <c r="G860" s="16" t="n">
        <v>44.38731104</v>
      </c>
      <c r="H860" s="18" t="n">
        <v>70</v>
      </c>
      <c r="I860" s="18" t="n">
        <v>420</v>
      </c>
      <c r="J860" s="19" t="n">
        <v>51</v>
      </c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 t="n">
        <v>16</v>
      </c>
      <c r="W860" s="19"/>
      <c r="X860" s="19" t="n">
        <v>3</v>
      </c>
      <c r="Y860" s="19"/>
      <c r="Z860" s="19"/>
      <c r="AA860" s="19"/>
      <c r="AB860" s="19"/>
      <c r="AC860" s="19" t="n">
        <v>22</v>
      </c>
      <c r="AD860" s="19"/>
      <c r="AE860" s="19"/>
      <c r="AF860" s="19"/>
      <c r="AG860" s="19"/>
      <c r="AH860" s="19" t="n">
        <v>22</v>
      </c>
      <c r="AI860" s="19"/>
      <c r="AJ860" s="19" t="n">
        <v>26</v>
      </c>
      <c r="AK860" s="19"/>
      <c r="AL860" s="19" t="n">
        <v>31</v>
      </c>
      <c r="AM860" s="19" t="n">
        <v>10</v>
      </c>
      <c r="AN860" s="19" t="n">
        <v>11</v>
      </c>
      <c r="AO860" s="19" t="n">
        <v>17</v>
      </c>
      <c r="AP860" s="19" t="n">
        <v>1</v>
      </c>
      <c r="AQ860" s="19"/>
      <c r="AR860" s="19"/>
      <c r="AS860" s="20" t="str">
        <f aca="false">HYPERLINK("http://www.openstreetmap.org/?mlat=33.2096&amp;mlon=44.3873&amp;zoom=12#map=12/33.2096/44.3873","Maplink1")</f>
        <v>Maplink1</v>
      </c>
      <c r="AT860" s="20" t="str">
        <f aca="false">HYPERLINK("https://www.google.iq/maps/search/+33.2096,44.3873/@33.2096,44.3873,14z?hl=en","Maplink2")</f>
        <v>Maplink2</v>
      </c>
      <c r="AU860" s="20" t="str">
        <f aca="false">HYPERLINK("http://www.bing.com/maps/?lvl=14&amp;sty=h&amp;cp=33.2096~44.3873&amp;sp=point.33.2096_44.3873","Maplink3")</f>
        <v>Maplink3</v>
      </c>
    </row>
    <row r="861" customFormat="false" ht="15" hidden="false" customHeight="true" outlineLevel="0" collapsed="false">
      <c r="A861" s="15" t="n">
        <v>25405</v>
      </c>
      <c r="B861" s="16" t="s">
        <v>17</v>
      </c>
      <c r="C861" s="16" t="s">
        <v>1709</v>
      </c>
      <c r="D861" s="16" t="s">
        <v>1720</v>
      </c>
      <c r="E861" s="17" t="s">
        <v>1721</v>
      </c>
      <c r="F861" s="16" t="n">
        <v>33.21416</v>
      </c>
      <c r="G861" s="16" t="n">
        <v>44.3833</v>
      </c>
      <c r="H861" s="18" t="n">
        <v>10</v>
      </c>
      <c r="I861" s="18" t="n">
        <v>60</v>
      </c>
      <c r="J861" s="19" t="n">
        <v>10</v>
      </c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 t="n">
        <v>10</v>
      </c>
      <c r="AD861" s="19"/>
      <c r="AE861" s="19"/>
      <c r="AF861" s="19"/>
      <c r="AG861" s="19"/>
      <c r="AH861" s="19"/>
      <c r="AI861" s="19"/>
      <c r="AJ861" s="19"/>
      <c r="AK861" s="19"/>
      <c r="AL861" s="19" t="n">
        <v>5</v>
      </c>
      <c r="AM861" s="19"/>
      <c r="AN861" s="19"/>
      <c r="AO861" s="19"/>
      <c r="AP861" s="19" t="n">
        <v>5</v>
      </c>
      <c r="AQ861" s="19"/>
      <c r="AR861" s="19"/>
      <c r="AS861" s="20" t="str">
        <f aca="false">HYPERLINK("http://www.openstreetmap.org/?mlat=33.2142&amp;mlon=44.3833&amp;zoom=12#map=12/33.2142/44.3833","Maplink1")</f>
        <v>Maplink1</v>
      </c>
      <c r="AT861" s="20" t="str">
        <f aca="false">HYPERLINK("https://www.google.iq/maps/search/+33.2142,44.3833/@33.2142,44.3833,14z?hl=en","Maplink2")</f>
        <v>Maplink2</v>
      </c>
      <c r="AU861" s="20" t="str">
        <f aca="false">HYPERLINK("http://www.bing.com/maps/?lvl=14&amp;sty=h&amp;cp=33.2142~44.3833&amp;sp=point.33.2142_44.3833","Maplink3")</f>
        <v>Maplink3</v>
      </c>
    </row>
    <row r="862" customFormat="false" ht="15" hidden="false" customHeight="true" outlineLevel="0" collapsed="false">
      <c r="A862" s="15" t="n">
        <v>21451</v>
      </c>
      <c r="B862" s="16" t="s">
        <v>17</v>
      </c>
      <c r="C862" s="16" t="s">
        <v>1709</v>
      </c>
      <c r="D862" s="16" t="s">
        <v>1722</v>
      </c>
      <c r="E862" s="17" t="s">
        <v>1723</v>
      </c>
      <c r="F862" s="16" t="n">
        <v>33.29342965</v>
      </c>
      <c r="G862" s="16" t="n">
        <v>44.2961746</v>
      </c>
      <c r="H862" s="18" t="n">
        <v>611</v>
      </c>
      <c r="I862" s="18" t="n">
        <v>3666</v>
      </c>
      <c r="J862" s="19" t="n">
        <v>588</v>
      </c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 t="n">
        <v>23</v>
      </c>
      <c r="W862" s="19"/>
      <c r="X862" s="19"/>
      <c r="Y862" s="19"/>
      <c r="Z862" s="19"/>
      <c r="AA862" s="19"/>
      <c r="AB862" s="19"/>
      <c r="AC862" s="19" t="n">
        <v>212</v>
      </c>
      <c r="AD862" s="19"/>
      <c r="AE862" s="19"/>
      <c r="AF862" s="19"/>
      <c r="AG862" s="19" t="n">
        <v>7</v>
      </c>
      <c r="AH862" s="19" t="n">
        <v>392</v>
      </c>
      <c r="AI862" s="19"/>
      <c r="AJ862" s="19"/>
      <c r="AK862" s="19"/>
      <c r="AL862" s="19"/>
      <c r="AM862" s="19" t="n">
        <v>23</v>
      </c>
      <c r="AN862" s="19"/>
      <c r="AO862" s="19"/>
      <c r="AP862" s="19" t="n">
        <v>581</v>
      </c>
      <c r="AQ862" s="19" t="n">
        <v>7</v>
      </c>
      <c r="AR862" s="19"/>
      <c r="AS862" s="20" t="str">
        <f aca="false">HYPERLINK("http://www.openstreetmap.org/?mlat=33.2934&amp;mlon=44.2962&amp;zoom=12#map=12/33.2934/44.2962","Maplink1")</f>
        <v>Maplink1</v>
      </c>
      <c r="AT862" s="20" t="str">
        <f aca="false">HYPERLINK("https://www.google.iq/maps/search/+33.2934,44.2962/@33.2934,44.2962,14z?hl=en","Maplink2")</f>
        <v>Maplink2</v>
      </c>
      <c r="AU862" s="20" t="str">
        <f aca="false">HYPERLINK("http://www.bing.com/maps/?lvl=14&amp;sty=h&amp;cp=33.2934~44.2962&amp;sp=point.33.2934_44.2962","Maplink3")</f>
        <v>Maplink3</v>
      </c>
    </row>
    <row r="863" customFormat="false" ht="15" hidden="false" customHeight="true" outlineLevel="0" collapsed="false">
      <c r="A863" s="15" t="n">
        <v>21450</v>
      </c>
      <c r="B863" s="16" t="s">
        <v>17</v>
      </c>
      <c r="C863" s="16" t="s">
        <v>1709</v>
      </c>
      <c r="D863" s="16" t="s">
        <v>1724</v>
      </c>
      <c r="E863" s="17" t="s">
        <v>1725</v>
      </c>
      <c r="F863" s="16" t="n">
        <v>33.29110983</v>
      </c>
      <c r="G863" s="16" t="n">
        <v>44.29287716</v>
      </c>
      <c r="H863" s="18" t="n">
        <v>591</v>
      </c>
      <c r="I863" s="18" t="n">
        <v>3546</v>
      </c>
      <c r="J863" s="19" t="n">
        <v>544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 t="n">
        <v>47</v>
      </c>
      <c r="W863" s="19"/>
      <c r="X863" s="19"/>
      <c r="Y863" s="19"/>
      <c r="Z863" s="19"/>
      <c r="AA863" s="19"/>
      <c r="AB863" s="19"/>
      <c r="AC863" s="19" t="n">
        <v>199</v>
      </c>
      <c r="AD863" s="19"/>
      <c r="AE863" s="19"/>
      <c r="AF863" s="19"/>
      <c r="AG863" s="19"/>
      <c r="AH863" s="19" t="n">
        <v>392</v>
      </c>
      <c r="AI863" s="19"/>
      <c r="AJ863" s="19"/>
      <c r="AK863" s="19"/>
      <c r="AL863" s="19"/>
      <c r="AM863" s="19" t="n">
        <v>32</v>
      </c>
      <c r="AN863" s="19"/>
      <c r="AO863" s="19" t="n">
        <v>12</v>
      </c>
      <c r="AP863" s="19" t="n">
        <v>524</v>
      </c>
      <c r="AQ863" s="19" t="n">
        <v>8</v>
      </c>
      <c r="AR863" s="19" t="n">
        <v>15</v>
      </c>
      <c r="AS863" s="20" t="str">
        <f aca="false">HYPERLINK("http://www.openstreetmap.org/?mlat=33.2911&amp;mlon=44.2929&amp;zoom=12#map=12/33.2911/44.2929","Maplink1")</f>
        <v>Maplink1</v>
      </c>
      <c r="AT863" s="20" t="str">
        <f aca="false">HYPERLINK("https://www.google.iq/maps/search/+33.2911,44.2929/@33.2911,44.2929,14z?hl=en","Maplink2")</f>
        <v>Maplink2</v>
      </c>
      <c r="AU863" s="20" t="str">
        <f aca="false">HYPERLINK("http://www.bing.com/maps/?lvl=14&amp;sty=h&amp;cp=33.2911~44.2929&amp;sp=point.33.2911_44.2929","Maplink3")</f>
        <v>Maplink3</v>
      </c>
    </row>
    <row r="864" customFormat="false" ht="15" hidden="false" customHeight="true" outlineLevel="0" collapsed="false">
      <c r="A864" s="15" t="n">
        <v>21452</v>
      </c>
      <c r="B864" s="16" t="s">
        <v>17</v>
      </c>
      <c r="C864" s="16" t="s">
        <v>1709</v>
      </c>
      <c r="D864" s="16" t="s">
        <v>1726</v>
      </c>
      <c r="E864" s="17" t="s">
        <v>1727</v>
      </c>
      <c r="F864" s="16" t="n">
        <v>33.29813333</v>
      </c>
      <c r="G864" s="16" t="n">
        <v>44.28445005</v>
      </c>
      <c r="H864" s="18" t="n">
        <v>919</v>
      </c>
      <c r="I864" s="18" t="n">
        <v>5514</v>
      </c>
      <c r="J864" s="19" t="n">
        <v>851</v>
      </c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 t="n">
        <v>13</v>
      </c>
      <c r="W864" s="19"/>
      <c r="X864" s="19" t="n">
        <v>55</v>
      </c>
      <c r="Y864" s="19"/>
      <c r="Z864" s="19"/>
      <c r="AA864" s="19"/>
      <c r="AB864" s="19"/>
      <c r="AC864" s="19" t="n">
        <v>306</v>
      </c>
      <c r="AD864" s="19"/>
      <c r="AE864" s="19"/>
      <c r="AF864" s="19"/>
      <c r="AG864" s="19"/>
      <c r="AH864" s="19" t="n">
        <v>613</v>
      </c>
      <c r="AI864" s="19"/>
      <c r="AJ864" s="19"/>
      <c r="AK864" s="19"/>
      <c r="AL864" s="19" t="n">
        <v>220</v>
      </c>
      <c r="AM864" s="19" t="n">
        <v>138</v>
      </c>
      <c r="AN864" s="19"/>
      <c r="AO864" s="19"/>
      <c r="AP864" s="19" t="n">
        <v>546</v>
      </c>
      <c r="AQ864" s="19" t="n">
        <v>2</v>
      </c>
      <c r="AR864" s="19" t="n">
        <v>13</v>
      </c>
      <c r="AS864" s="20" t="str">
        <f aca="false">HYPERLINK("http://www.openstreetmap.org/?mlat=33.2981&amp;mlon=44.2845&amp;zoom=12#map=12/33.2981/44.2845","Maplink1")</f>
        <v>Maplink1</v>
      </c>
      <c r="AT864" s="20" t="str">
        <f aca="false">HYPERLINK("https://www.google.iq/maps/search/+33.2981,44.2845/@33.2981,44.2845,14z?hl=en","Maplink2")</f>
        <v>Maplink2</v>
      </c>
      <c r="AU864" s="20" t="str">
        <f aca="false">HYPERLINK("http://www.bing.com/maps/?lvl=14&amp;sty=h&amp;cp=33.2981~44.2845&amp;sp=point.33.2981_44.2845","Maplink3")</f>
        <v>Maplink3</v>
      </c>
    </row>
    <row r="865" customFormat="false" ht="15" hidden="false" customHeight="true" outlineLevel="0" collapsed="false">
      <c r="A865" s="15" t="n">
        <v>21449</v>
      </c>
      <c r="B865" s="16" t="s">
        <v>17</v>
      </c>
      <c r="C865" s="16" t="s">
        <v>1709</v>
      </c>
      <c r="D865" s="16" t="s">
        <v>1728</v>
      </c>
      <c r="E865" s="17" t="s">
        <v>1729</v>
      </c>
      <c r="F865" s="16" t="n">
        <v>33.29565533</v>
      </c>
      <c r="G865" s="16" t="n">
        <v>44.29117653</v>
      </c>
      <c r="H865" s="18" t="n">
        <v>817</v>
      </c>
      <c r="I865" s="18" t="n">
        <v>4902</v>
      </c>
      <c r="J865" s="19" t="n">
        <v>787</v>
      </c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 t="n">
        <v>30</v>
      </c>
      <c r="W865" s="19"/>
      <c r="X865" s="19"/>
      <c r="Y865" s="19"/>
      <c r="Z865" s="19"/>
      <c r="AA865" s="19"/>
      <c r="AB865" s="19"/>
      <c r="AC865" s="19" t="n">
        <v>256</v>
      </c>
      <c r="AD865" s="19"/>
      <c r="AE865" s="19"/>
      <c r="AF865" s="19"/>
      <c r="AG865" s="19"/>
      <c r="AH865" s="19" t="n">
        <v>561</v>
      </c>
      <c r="AI865" s="19"/>
      <c r="AJ865" s="19"/>
      <c r="AK865" s="19"/>
      <c r="AL865" s="19" t="n">
        <v>182</v>
      </c>
      <c r="AM865" s="19" t="n">
        <v>37</v>
      </c>
      <c r="AN865" s="19"/>
      <c r="AO865" s="19" t="n">
        <v>25</v>
      </c>
      <c r="AP865" s="19" t="n">
        <v>544</v>
      </c>
      <c r="AQ865" s="19" t="n">
        <v>23</v>
      </c>
      <c r="AR865" s="19" t="n">
        <v>6</v>
      </c>
      <c r="AS865" s="20" t="str">
        <f aca="false">HYPERLINK("http://www.openstreetmap.org/?mlat=33.2957&amp;mlon=44.2912&amp;zoom=12#map=12/33.2957/44.2912","Maplink1")</f>
        <v>Maplink1</v>
      </c>
      <c r="AT865" s="20" t="str">
        <f aca="false">HYPERLINK("https://www.google.iq/maps/search/+33.2957,44.2912/@33.2957,44.2912,14z?hl=en","Maplink2")</f>
        <v>Maplink2</v>
      </c>
      <c r="AU865" s="20" t="str">
        <f aca="false">HYPERLINK("http://www.bing.com/maps/?lvl=14&amp;sty=h&amp;cp=33.2957~44.2912&amp;sp=point.33.2957_44.2912","Maplink3")</f>
        <v>Maplink3</v>
      </c>
    </row>
    <row r="866" customFormat="false" ht="15" hidden="false" customHeight="true" outlineLevel="0" collapsed="false">
      <c r="A866" s="15" t="n">
        <v>21446</v>
      </c>
      <c r="B866" s="16" t="s">
        <v>17</v>
      </c>
      <c r="C866" s="16" t="s">
        <v>1709</v>
      </c>
      <c r="D866" s="16" t="s">
        <v>1730</v>
      </c>
      <c r="E866" s="17" t="s">
        <v>1731</v>
      </c>
      <c r="F866" s="16" t="n">
        <v>33.29665</v>
      </c>
      <c r="G866" s="16" t="n">
        <v>44.29134</v>
      </c>
      <c r="H866" s="18" t="n">
        <v>504</v>
      </c>
      <c r="I866" s="18" t="n">
        <v>3024</v>
      </c>
      <c r="J866" s="19" t="n">
        <v>433</v>
      </c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 t="n">
        <v>21</v>
      </c>
      <c r="W866" s="19"/>
      <c r="X866" s="19" t="n">
        <v>50</v>
      </c>
      <c r="Y866" s="19"/>
      <c r="Z866" s="19"/>
      <c r="AA866" s="19"/>
      <c r="AB866" s="19"/>
      <c r="AC866" s="19" t="n">
        <v>197</v>
      </c>
      <c r="AD866" s="19"/>
      <c r="AE866" s="19"/>
      <c r="AF866" s="19"/>
      <c r="AG866" s="19"/>
      <c r="AH866" s="19" t="n">
        <v>307</v>
      </c>
      <c r="AI866" s="19"/>
      <c r="AJ866" s="19"/>
      <c r="AK866" s="19"/>
      <c r="AL866" s="19" t="n">
        <v>124</v>
      </c>
      <c r="AM866" s="19" t="n">
        <v>181</v>
      </c>
      <c r="AN866" s="19"/>
      <c r="AO866" s="19" t="n">
        <v>13</v>
      </c>
      <c r="AP866" s="19" t="n">
        <v>158</v>
      </c>
      <c r="AQ866" s="19" t="n">
        <v>28</v>
      </c>
      <c r="AR866" s="19"/>
      <c r="AS866" s="20" t="str">
        <f aca="false">HYPERLINK("http://www.openstreetmap.org/?mlat=33.2967&amp;mlon=44.2913&amp;zoom=12#map=12/33.2967/44.2913","Maplink1")</f>
        <v>Maplink1</v>
      </c>
      <c r="AT866" s="20" t="str">
        <f aca="false">HYPERLINK("https://www.google.iq/maps/search/+33.2967,44.2913/@33.2967,44.2913,14z?hl=en","Maplink2")</f>
        <v>Maplink2</v>
      </c>
      <c r="AU866" s="20" t="str">
        <f aca="false">HYPERLINK("http://www.bing.com/maps/?lvl=14&amp;sty=h&amp;cp=33.2967~44.2913&amp;sp=point.33.2967_44.2913","Maplink3")</f>
        <v>Maplink3</v>
      </c>
    </row>
    <row r="867" customFormat="false" ht="15" hidden="false" customHeight="true" outlineLevel="0" collapsed="false">
      <c r="A867" s="15" t="n">
        <v>21448</v>
      </c>
      <c r="B867" s="16" t="s">
        <v>17</v>
      </c>
      <c r="C867" s="16" t="s">
        <v>1709</v>
      </c>
      <c r="D867" s="16" t="s">
        <v>1732</v>
      </c>
      <c r="E867" s="17" t="s">
        <v>1733</v>
      </c>
      <c r="F867" s="16" t="n">
        <v>33.30620539</v>
      </c>
      <c r="G867" s="16" t="n">
        <v>44.29539868</v>
      </c>
      <c r="H867" s="18" t="n">
        <v>644</v>
      </c>
      <c r="I867" s="18" t="n">
        <v>3864</v>
      </c>
      <c r="J867" s="19" t="n">
        <v>597</v>
      </c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 t="n">
        <v>7</v>
      </c>
      <c r="W867" s="19"/>
      <c r="X867" s="19" t="n">
        <v>40</v>
      </c>
      <c r="Y867" s="19"/>
      <c r="Z867" s="19"/>
      <c r="AA867" s="19"/>
      <c r="AB867" s="19"/>
      <c r="AC867" s="19" t="n">
        <v>208</v>
      </c>
      <c r="AD867" s="19"/>
      <c r="AE867" s="19"/>
      <c r="AF867" s="19"/>
      <c r="AG867" s="19"/>
      <c r="AH867" s="19" t="n">
        <v>436</v>
      </c>
      <c r="AI867" s="19"/>
      <c r="AJ867" s="19"/>
      <c r="AK867" s="19"/>
      <c r="AL867" s="19" t="n">
        <v>199</v>
      </c>
      <c r="AM867" s="19"/>
      <c r="AN867" s="19"/>
      <c r="AO867" s="19" t="n">
        <v>64</v>
      </c>
      <c r="AP867" s="19" t="n">
        <v>361</v>
      </c>
      <c r="AQ867" s="19" t="n">
        <v>13</v>
      </c>
      <c r="AR867" s="19" t="n">
        <v>7</v>
      </c>
      <c r="AS867" s="20" t="str">
        <f aca="false">HYPERLINK("http://www.openstreetmap.org/?mlat=33.3062&amp;mlon=44.2954&amp;zoom=12#map=12/33.3062/44.2954","Maplink1")</f>
        <v>Maplink1</v>
      </c>
      <c r="AT867" s="20" t="str">
        <f aca="false">HYPERLINK("https://www.google.iq/maps/search/+33.3062,44.2954/@33.3062,44.2954,14z?hl=en","Maplink2")</f>
        <v>Maplink2</v>
      </c>
      <c r="AU867" s="20" t="str">
        <f aca="false">HYPERLINK("http://www.bing.com/maps/?lvl=14&amp;sty=h&amp;cp=33.3062~44.2954&amp;sp=point.33.3062_44.2954","Maplink3")</f>
        <v>Maplink3</v>
      </c>
    </row>
    <row r="868" customFormat="false" ht="15" hidden="false" customHeight="true" outlineLevel="0" collapsed="false">
      <c r="A868" s="15" t="n">
        <v>23737</v>
      </c>
      <c r="B868" s="16" t="s">
        <v>17</v>
      </c>
      <c r="C868" s="16" t="s">
        <v>1709</v>
      </c>
      <c r="D868" s="16" t="s">
        <v>1734</v>
      </c>
      <c r="E868" s="17" t="s">
        <v>1735</v>
      </c>
      <c r="F868" s="16" t="n">
        <v>33.32011431</v>
      </c>
      <c r="G868" s="16" t="n">
        <v>44.3458941</v>
      </c>
      <c r="H868" s="18" t="n">
        <v>17</v>
      </c>
      <c r="I868" s="18" t="n">
        <v>102</v>
      </c>
      <c r="J868" s="19" t="n">
        <v>12</v>
      </c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 t="n">
        <v>5</v>
      </c>
      <c r="W868" s="19"/>
      <c r="X868" s="19"/>
      <c r="Y868" s="19"/>
      <c r="Z868" s="19"/>
      <c r="AA868" s="19"/>
      <c r="AB868" s="19"/>
      <c r="AC868" s="19" t="n">
        <v>17</v>
      </c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 t="n">
        <v>12</v>
      </c>
      <c r="AR868" s="19" t="n">
        <v>5</v>
      </c>
      <c r="AS868" s="20" t="str">
        <f aca="false">HYPERLINK("http://www.openstreetmap.org/?mlat=33.3201&amp;mlon=44.3459&amp;zoom=12#map=12/33.3201/44.3459","Maplink1")</f>
        <v>Maplink1</v>
      </c>
      <c r="AT868" s="20" t="str">
        <f aca="false">HYPERLINK("https://www.google.iq/maps/search/+33.3201,44.3459/@33.3201,44.3459,14z?hl=en","Maplink2")</f>
        <v>Maplink2</v>
      </c>
      <c r="AU868" s="20" t="str">
        <f aca="false">HYPERLINK("http://www.bing.com/maps/?lvl=14&amp;sty=h&amp;cp=33.3201~44.3459&amp;sp=point.33.3201_44.3459","Maplink3")</f>
        <v>Maplink3</v>
      </c>
    </row>
    <row r="869" customFormat="false" ht="15" hidden="false" customHeight="true" outlineLevel="0" collapsed="false">
      <c r="A869" s="15" t="n">
        <v>26042</v>
      </c>
      <c r="B869" s="16" t="s">
        <v>17</v>
      </c>
      <c r="C869" s="16" t="s">
        <v>1709</v>
      </c>
      <c r="D869" s="16" t="s">
        <v>1736</v>
      </c>
      <c r="E869" s="17" t="s">
        <v>1737</v>
      </c>
      <c r="F869" s="16" t="n">
        <v>33.31423068</v>
      </c>
      <c r="G869" s="16" t="n">
        <v>44.33564181</v>
      </c>
      <c r="H869" s="18" t="n">
        <v>111</v>
      </c>
      <c r="I869" s="18" t="n">
        <v>666</v>
      </c>
      <c r="J869" s="19" t="n">
        <v>107</v>
      </c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 t="n">
        <v>4</v>
      </c>
      <c r="W869" s="19"/>
      <c r="X869" s="19"/>
      <c r="Y869" s="19"/>
      <c r="Z869" s="19"/>
      <c r="AA869" s="19"/>
      <c r="AB869" s="19"/>
      <c r="AC869" s="19" t="n">
        <v>81</v>
      </c>
      <c r="AD869" s="19"/>
      <c r="AE869" s="19"/>
      <c r="AF869" s="19"/>
      <c r="AG869" s="19"/>
      <c r="AH869" s="19" t="n">
        <v>30</v>
      </c>
      <c r="AI869" s="19"/>
      <c r="AJ869" s="19"/>
      <c r="AK869" s="19"/>
      <c r="AL869" s="19"/>
      <c r="AM869" s="19"/>
      <c r="AN869" s="19" t="n">
        <v>23</v>
      </c>
      <c r="AO869" s="19" t="n">
        <v>40</v>
      </c>
      <c r="AP869" s="19" t="n">
        <v>11</v>
      </c>
      <c r="AQ869" s="19" t="n">
        <v>37</v>
      </c>
      <c r="AR869" s="19"/>
      <c r="AS869" s="20" t="str">
        <f aca="false">HYPERLINK("http://www.openstreetmap.org/?mlat=33.3142&amp;mlon=44.3356&amp;zoom=12#map=12/33.3142/44.3356","Maplink1")</f>
        <v>Maplink1</v>
      </c>
      <c r="AT869" s="20" t="str">
        <f aca="false">HYPERLINK("https://www.google.iq/maps/search/+33.3142,44.3356/@33.3142,44.3356,14z?hl=en","Maplink2")</f>
        <v>Maplink2</v>
      </c>
      <c r="AU869" s="20" t="str">
        <f aca="false">HYPERLINK("http://www.bing.com/maps/?lvl=14&amp;sty=h&amp;cp=33.3142~44.3356&amp;sp=point.33.3142_44.3356","Maplink3")</f>
        <v>Maplink3</v>
      </c>
    </row>
    <row r="870" customFormat="false" ht="15" hidden="false" customHeight="true" outlineLevel="0" collapsed="false">
      <c r="A870" s="15" t="n">
        <v>24060</v>
      </c>
      <c r="B870" s="16" t="s">
        <v>17</v>
      </c>
      <c r="C870" s="16" t="s">
        <v>1709</v>
      </c>
      <c r="D870" s="16" t="s">
        <v>1738</v>
      </c>
      <c r="E870" s="17" t="s">
        <v>1739</v>
      </c>
      <c r="F870" s="16" t="n">
        <v>33.31362278</v>
      </c>
      <c r="G870" s="16" t="n">
        <v>44.33842267</v>
      </c>
      <c r="H870" s="18" t="n">
        <v>91</v>
      </c>
      <c r="I870" s="18" t="n">
        <v>546</v>
      </c>
      <c r="J870" s="19" t="n">
        <v>82</v>
      </c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 t="n">
        <v>9</v>
      </c>
      <c r="W870" s="19"/>
      <c r="X870" s="19"/>
      <c r="Y870" s="19"/>
      <c r="Z870" s="19"/>
      <c r="AA870" s="19"/>
      <c r="AB870" s="19"/>
      <c r="AC870" s="19" t="n">
        <v>33</v>
      </c>
      <c r="AD870" s="19"/>
      <c r="AE870" s="19"/>
      <c r="AF870" s="19"/>
      <c r="AG870" s="19"/>
      <c r="AH870" s="19" t="n">
        <v>58</v>
      </c>
      <c r="AI870" s="19"/>
      <c r="AJ870" s="19"/>
      <c r="AK870" s="19"/>
      <c r="AL870" s="19" t="n">
        <v>15</v>
      </c>
      <c r="AM870" s="19" t="n">
        <v>55</v>
      </c>
      <c r="AN870" s="19"/>
      <c r="AO870" s="19"/>
      <c r="AP870" s="19" t="n">
        <v>4</v>
      </c>
      <c r="AQ870" s="19" t="n">
        <v>8</v>
      </c>
      <c r="AR870" s="19" t="n">
        <v>9</v>
      </c>
      <c r="AS870" s="20" t="str">
        <f aca="false">HYPERLINK("http://www.openstreetmap.org/?mlat=33.3136&amp;mlon=44.3384&amp;zoom=12#map=12/33.3136/44.3384","Maplink1")</f>
        <v>Maplink1</v>
      </c>
      <c r="AT870" s="20" t="str">
        <f aca="false">HYPERLINK("https://www.google.iq/maps/search/+33.3136,44.3384/@33.3136,44.3384,14z?hl=en","Maplink2")</f>
        <v>Maplink2</v>
      </c>
      <c r="AU870" s="20" t="str">
        <f aca="false">HYPERLINK("http://www.bing.com/maps/?lvl=14&amp;sty=h&amp;cp=33.3136~44.3384&amp;sp=point.33.3136_44.3384","Maplink3")</f>
        <v>Maplink3</v>
      </c>
    </row>
    <row r="871" customFormat="false" ht="15" hidden="false" customHeight="true" outlineLevel="0" collapsed="false">
      <c r="A871" s="15" t="n">
        <v>7515</v>
      </c>
      <c r="B871" s="16" t="s">
        <v>17</v>
      </c>
      <c r="C871" s="16" t="s">
        <v>1709</v>
      </c>
      <c r="D871" s="16" t="s">
        <v>1740</v>
      </c>
      <c r="E871" s="17" t="s">
        <v>1741</v>
      </c>
      <c r="F871" s="16" t="n">
        <v>33.26393038</v>
      </c>
      <c r="G871" s="16" t="n">
        <v>44.34037294</v>
      </c>
      <c r="H871" s="18" t="n">
        <v>208</v>
      </c>
      <c r="I871" s="18" t="n">
        <v>1248</v>
      </c>
      <c r="J871" s="19" t="n">
        <v>71</v>
      </c>
      <c r="K871" s="19"/>
      <c r="L871" s="19"/>
      <c r="M871" s="19"/>
      <c r="N871" s="19"/>
      <c r="O871" s="19" t="n">
        <v>12</v>
      </c>
      <c r="P871" s="19"/>
      <c r="Q871" s="19"/>
      <c r="R871" s="19" t="n">
        <v>4</v>
      </c>
      <c r="S871" s="19"/>
      <c r="T871" s="19"/>
      <c r="U871" s="19"/>
      <c r="V871" s="19" t="n">
        <v>101</v>
      </c>
      <c r="W871" s="19"/>
      <c r="X871" s="19" t="n">
        <v>20</v>
      </c>
      <c r="Y871" s="19"/>
      <c r="Z871" s="19"/>
      <c r="AA871" s="19"/>
      <c r="AB871" s="19"/>
      <c r="AC871" s="19" t="n">
        <v>82</v>
      </c>
      <c r="AD871" s="19"/>
      <c r="AE871" s="19"/>
      <c r="AF871" s="19"/>
      <c r="AG871" s="19"/>
      <c r="AH871" s="19" t="n">
        <v>126</v>
      </c>
      <c r="AI871" s="19"/>
      <c r="AJ871" s="19"/>
      <c r="AK871" s="19"/>
      <c r="AL871" s="19" t="n">
        <v>29</v>
      </c>
      <c r="AM871" s="19" t="n">
        <v>71</v>
      </c>
      <c r="AN871" s="19" t="n">
        <v>60</v>
      </c>
      <c r="AO871" s="19" t="n">
        <v>25</v>
      </c>
      <c r="AP871" s="19" t="n">
        <v>18</v>
      </c>
      <c r="AQ871" s="19" t="n">
        <v>5</v>
      </c>
      <c r="AR871" s="19"/>
      <c r="AS871" s="20" t="str">
        <f aca="false">HYPERLINK("http://www.openstreetmap.org/?mlat=33.2639&amp;mlon=44.3404&amp;zoom=12#map=12/33.2639/44.3404","Maplink1")</f>
        <v>Maplink1</v>
      </c>
      <c r="AT871" s="20" t="str">
        <f aca="false">HYPERLINK("https://www.google.iq/maps/search/+33.2639,44.3404/@33.2639,44.3404,14z?hl=en","Maplink2")</f>
        <v>Maplink2</v>
      </c>
      <c r="AU871" s="20" t="str">
        <f aca="false">HYPERLINK("http://www.bing.com/maps/?lvl=14&amp;sty=h&amp;cp=33.2639~44.3404&amp;sp=point.33.2639_44.3404","Maplink3")</f>
        <v>Maplink3</v>
      </c>
    </row>
    <row r="872" customFormat="false" ht="15" hidden="false" customHeight="true" outlineLevel="0" collapsed="false">
      <c r="A872" s="15" t="n">
        <v>25221</v>
      </c>
      <c r="B872" s="16" t="s">
        <v>17</v>
      </c>
      <c r="C872" s="16" t="s">
        <v>1709</v>
      </c>
      <c r="D872" s="16" t="s">
        <v>1742</v>
      </c>
      <c r="E872" s="17" t="s">
        <v>1743</v>
      </c>
      <c r="F872" s="16" t="n">
        <v>33.2779155</v>
      </c>
      <c r="G872" s="16" t="n">
        <v>44.27682716</v>
      </c>
      <c r="H872" s="18" t="n">
        <v>299</v>
      </c>
      <c r="I872" s="18" t="n">
        <v>1794</v>
      </c>
      <c r="J872" s="19" t="n">
        <v>202</v>
      </c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 t="n">
        <v>58</v>
      </c>
      <c r="W872" s="19"/>
      <c r="X872" s="19" t="n">
        <v>39</v>
      </c>
      <c r="Y872" s="19"/>
      <c r="Z872" s="19"/>
      <c r="AA872" s="19"/>
      <c r="AB872" s="19"/>
      <c r="AC872" s="19" t="n">
        <v>104</v>
      </c>
      <c r="AD872" s="19"/>
      <c r="AE872" s="19" t="n">
        <v>45</v>
      </c>
      <c r="AF872" s="19"/>
      <c r="AG872" s="19"/>
      <c r="AH872" s="19" t="n">
        <v>130</v>
      </c>
      <c r="AI872" s="19"/>
      <c r="AJ872" s="19" t="n">
        <v>20</v>
      </c>
      <c r="AK872" s="19"/>
      <c r="AL872" s="19" t="n">
        <v>63</v>
      </c>
      <c r="AM872" s="19" t="n">
        <v>55</v>
      </c>
      <c r="AN872" s="19" t="n">
        <v>56</v>
      </c>
      <c r="AO872" s="19" t="n">
        <v>93</v>
      </c>
      <c r="AP872" s="19" t="n">
        <v>27</v>
      </c>
      <c r="AQ872" s="19"/>
      <c r="AR872" s="19" t="n">
        <v>5</v>
      </c>
      <c r="AS872" s="20" t="str">
        <f aca="false">HYPERLINK("http://www.openstreetmap.org/?mlat=33.2779&amp;mlon=44.2768&amp;zoom=12#map=12/33.2779/44.2768","Maplink1")</f>
        <v>Maplink1</v>
      </c>
      <c r="AT872" s="20" t="str">
        <f aca="false">HYPERLINK("https://www.google.iq/maps/search/+33.2779,44.2768/@33.2779,44.2768,14z?hl=en","Maplink2")</f>
        <v>Maplink2</v>
      </c>
      <c r="AU872" s="20" t="str">
        <f aca="false">HYPERLINK("http://www.bing.com/maps/?lvl=14&amp;sty=h&amp;cp=33.2779~44.2768&amp;sp=point.33.2779_44.2768","Maplink3")</f>
        <v>Maplink3</v>
      </c>
    </row>
    <row r="873" customFormat="false" ht="15" hidden="false" customHeight="true" outlineLevel="0" collapsed="false">
      <c r="A873" s="15" t="n">
        <v>27119</v>
      </c>
      <c r="B873" s="16" t="s">
        <v>17</v>
      </c>
      <c r="C873" s="16" t="s">
        <v>1709</v>
      </c>
      <c r="D873" s="16" t="s">
        <v>1744</v>
      </c>
      <c r="E873" s="17" t="s">
        <v>1745</v>
      </c>
      <c r="F873" s="16" t="n">
        <v>33.23446052</v>
      </c>
      <c r="G873" s="16" t="n">
        <v>44.30371501</v>
      </c>
      <c r="H873" s="18" t="n">
        <v>35</v>
      </c>
      <c r="I873" s="18" t="n">
        <v>210</v>
      </c>
      <c r="J873" s="19" t="n">
        <v>3</v>
      </c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 t="n">
        <v>32</v>
      </c>
      <c r="W873" s="19"/>
      <c r="X873" s="19"/>
      <c r="Y873" s="19"/>
      <c r="Z873" s="19"/>
      <c r="AA873" s="19"/>
      <c r="AB873" s="19"/>
      <c r="AC873" s="19" t="n">
        <v>16</v>
      </c>
      <c r="AD873" s="19"/>
      <c r="AE873" s="19"/>
      <c r="AF873" s="19"/>
      <c r="AG873" s="19"/>
      <c r="AH873" s="19" t="n">
        <v>14</v>
      </c>
      <c r="AI873" s="19"/>
      <c r="AJ873" s="19" t="n">
        <v>5</v>
      </c>
      <c r="AK873" s="19"/>
      <c r="AL873" s="19"/>
      <c r="AM873" s="19"/>
      <c r="AN873" s="19" t="n">
        <v>32</v>
      </c>
      <c r="AO873" s="19"/>
      <c r="AP873" s="19" t="n">
        <v>3</v>
      </c>
      <c r="AQ873" s="19"/>
      <c r="AR873" s="19"/>
      <c r="AS873" s="20" t="str">
        <f aca="false">HYPERLINK("http://www.openstreetmap.org/?mlat=33.2345&amp;mlon=44.3037&amp;zoom=12#map=12/33.2345/44.3037","Maplink1")</f>
        <v>Maplink1</v>
      </c>
      <c r="AT873" s="20" t="str">
        <f aca="false">HYPERLINK("https://www.google.iq/maps/search/+33.2345,44.3037/@33.2345,44.3037,14z?hl=en","Maplink2")</f>
        <v>Maplink2</v>
      </c>
      <c r="AU873" s="20" t="str">
        <f aca="false">HYPERLINK("http://www.bing.com/maps/?lvl=14&amp;sty=h&amp;cp=33.2345~44.3037&amp;sp=point.33.2345_44.3037","Maplink3")</f>
        <v>Maplink3</v>
      </c>
    </row>
    <row r="874" customFormat="false" ht="15" hidden="false" customHeight="true" outlineLevel="0" collapsed="false">
      <c r="A874" s="15" t="n">
        <v>25412</v>
      </c>
      <c r="B874" s="16" t="s">
        <v>17</v>
      </c>
      <c r="C874" s="16" t="s">
        <v>1709</v>
      </c>
      <c r="D874" s="16" t="s">
        <v>1746</v>
      </c>
      <c r="E874" s="17" t="s">
        <v>1747</v>
      </c>
      <c r="F874" s="16" t="n">
        <v>33.3413</v>
      </c>
      <c r="G874" s="16" t="n">
        <v>44.2788</v>
      </c>
      <c r="H874" s="18" t="n">
        <v>169</v>
      </c>
      <c r="I874" s="18" t="n">
        <v>1014</v>
      </c>
      <c r="J874" s="19" t="n">
        <v>149</v>
      </c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 t="n">
        <v>20</v>
      </c>
      <c r="Y874" s="19"/>
      <c r="Z874" s="19"/>
      <c r="AA874" s="19"/>
      <c r="AB874" s="19"/>
      <c r="AC874" s="19" t="n">
        <v>30</v>
      </c>
      <c r="AD874" s="19"/>
      <c r="AE874" s="19"/>
      <c r="AF874" s="19"/>
      <c r="AG874" s="19" t="n">
        <v>48</v>
      </c>
      <c r="AH874" s="19" t="n">
        <v>91</v>
      </c>
      <c r="AI874" s="19"/>
      <c r="AJ874" s="19"/>
      <c r="AK874" s="19"/>
      <c r="AL874" s="19" t="n">
        <v>75</v>
      </c>
      <c r="AM874" s="19"/>
      <c r="AN874" s="19" t="n">
        <v>20</v>
      </c>
      <c r="AO874" s="19"/>
      <c r="AP874" s="19" t="n">
        <v>74</v>
      </c>
      <c r="AQ874" s="19"/>
      <c r="AR874" s="19"/>
      <c r="AS874" s="20" t="str">
        <f aca="false">HYPERLINK("http://www.openstreetmap.org/?mlat=33.3413&amp;mlon=44.2788&amp;zoom=12#map=12/33.3413/44.2788","Maplink1")</f>
        <v>Maplink1</v>
      </c>
      <c r="AT874" s="20" t="str">
        <f aca="false">HYPERLINK("https://www.google.iq/maps/search/+33.3413,44.2788/@33.3413,44.2788,14z?hl=en","Maplink2")</f>
        <v>Maplink2</v>
      </c>
      <c r="AU874" s="20" t="str">
        <f aca="false">HYPERLINK("http://www.bing.com/maps/?lvl=14&amp;sty=h&amp;cp=33.3413~44.2788&amp;sp=point.33.3413_44.2788","Maplink3")</f>
        <v>Maplink3</v>
      </c>
    </row>
    <row r="875" customFormat="false" ht="15" hidden="false" customHeight="true" outlineLevel="0" collapsed="false">
      <c r="A875" s="15" t="n">
        <v>25413</v>
      </c>
      <c r="B875" s="16" t="s">
        <v>17</v>
      </c>
      <c r="C875" s="16" t="s">
        <v>1709</v>
      </c>
      <c r="D875" s="16" t="s">
        <v>1748</v>
      </c>
      <c r="E875" s="17" t="s">
        <v>1749</v>
      </c>
      <c r="F875" s="16" t="n">
        <v>33.33014892</v>
      </c>
      <c r="G875" s="16" t="n">
        <v>44.28640156</v>
      </c>
      <c r="H875" s="18" t="n">
        <v>157</v>
      </c>
      <c r="I875" s="18" t="n">
        <v>942</v>
      </c>
      <c r="J875" s="19" t="n">
        <v>140</v>
      </c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 t="n">
        <v>17</v>
      </c>
      <c r="Y875" s="19"/>
      <c r="Z875" s="19"/>
      <c r="AA875" s="19"/>
      <c r="AB875" s="19"/>
      <c r="AC875" s="19"/>
      <c r="AD875" s="19"/>
      <c r="AE875" s="19"/>
      <c r="AF875" s="19"/>
      <c r="AG875" s="19"/>
      <c r="AH875" s="19" t="n">
        <v>157</v>
      </c>
      <c r="AI875" s="19"/>
      <c r="AJ875" s="19"/>
      <c r="AK875" s="19"/>
      <c r="AL875" s="19" t="n">
        <v>45</v>
      </c>
      <c r="AM875" s="19" t="n">
        <v>89</v>
      </c>
      <c r="AN875" s="19"/>
      <c r="AO875" s="19" t="n">
        <v>23</v>
      </c>
      <c r="AP875" s="19"/>
      <c r="AQ875" s="19"/>
      <c r="AR875" s="19"/>
      <c r="AS875" s="20" t="str">
        <f aca="false">HYPERLINK("http://www.openstreetmap.org/?mlat=33.3301&amp;mlon=44.2864&amp;zoom=12#map=12/33.3301/44.2864","Maplink1")</f>
        <v>Maplink1</v>
      </c>
      <c r="AT875" s="20" t="str">
        <f aca="false">HYPERLINK("https://www.google.iq/maps/search/+33.3301,44.2864/@33.3301,44.2864,14z?hl=en","Maplink2")</f>
        <v>Maplink2</v>
      </c>
      <c r="AU875" s="20" t="str">
        <f aca="false">HYPERLINK("http://www.bing.com/maps/?lvl=14&amp;sty=h&amp;cp=33.3301~44.2864&amp;sp=point.33.3301_44.2864","Maplink3")</f>
        <v>Maplink3</v>
      </c>
    </row>
    <row r="876" customFormat="false" ht="15" hidden="false" customHeight="true" outlineLevel="0" collapsed="false">
      <c r="A876" s="15" t="n">
        <v>25414</v>
      </c>
      <c r="B876" s="16" t="s">
        <v>17</v>
      </c>
      <c r="C876" s="16" t="s">
        <v>1709</v>
      </c>
      <c r="D876" s="16" t="s">
        <v>1750</v>
      </c>
      <c r="E876" s="17" t="s">
        <v>1751</v>
      </c>
      <c r="F876" s="16" t="n">
        <v>33.353</v>
      </c>
      <c r="G876" s="16" t="n">
        <v>44.271</v>
      </c>
      <c r="H876" s="18" t="n">
        <v>139</v>
      </c>
      <c r="I876" s="18" t="n">
        <v>834</v>
      </c>
      <c r="J876" s="19" t="n">
        <v>94</v>
      </c>
      <c r="K876" s="19"/>
      <c r="L876" s="19"/>
      <c r="M876" s="19"/>
      <c r="N876" s="19"/>
      <c r="O876" s="19" t="n">
        <v>22</v>
      </c>
      <c r="P876" s="19"/>
      <c r="Q876" s="19"/>
      <c r="R876" s="19"/>
      <c r="S876" s="19"/>
      <c r="T876" s="19"/>
      <c r="U876" s="19"/>
      <c r="V876" s="19"/>
      <c r="W876" s="19"/>
      <c r="X876" s="19" t="n">
        <v>23</v>
      </c>
      <c r="Y876" s="19"/>
      <c r="Z876" s="19"/>
      <c r="AA876" s="19"/>
      <c r="AB876" s="19"/>
      <c r="AC876" s="19" t="n">
        <v>14</v>
      </c>
      <c r="AD876" s="19"/>
      <c r="AE876" s="19"/>
      <c r="AF876" s="19"/>
      <c r="AG876" s="19"/>
      <c r="AH876" s="19" t="n">
        <v>125</v>
      </c>
      <c r="AI876" s="19"/>
      <c r="AJ876" s="19"/>
      <c r="AK876" s="19"/>
      <c r="AL876" s="19" t="n">
        <v>64</v>
      </c>
      <c r="AM876" s="19" t="n">
        <v>42</v>
      </c>
      <c r="AN876" s="19" t="n">
        <v>10</v>
      </c>
      <c r="AO876" s="19" t="n">
        <v>18</v>
      </c>
      <c r="AP876" s="19" t="n">
        <v>5</v>
      </c>
      <c r="AQ876" s="19"/>
      <c r="AR876" s="19"/>
      <c r="AS876" s="20" t="str">
        <f aca="false">HYPERLINK("http://www.openstreetmap.org/?mlat=33.353&amp;mlon=44.271&amp;zoom=12#map=12/33.353/44.271","Maplink1")</f>
        <v>Maplink1</v>
      </c>
      <c r="AT876" s="20" t="str">
        <f aca="false">HYPERLINK("https://www.google.iq/maps/search/+33.353,44.271/@33.353,44.271,14z?hl=en","Maplink2")</f>
        <v>Maplink2</v>
      </c>
      <c r="AU876" s="20" t="str">
        <f aca="false">HYPERLINK("http://www.bing.com/maps/?lvl=14&amp;sty=h&amp;cp=33.353~44.271&amp;sp=point.33.353_44.271","Maplink3")</f>
        <v>Maplink3</v>
      </c>
    </row>
    <row r="877" customFormat="false" ht="15" hidden="false" customHeight="true" outlineLevel="0" collapsed="false">
      <c r="A877" s="15" t="n">
        <v>25415</v>
      </c>
      <c r="B877" s="16" t="s">
        <v>17</v>
      </c>
      <c r="C877" s="16" t="s">
        <v>1709</v>
      </c>
      <c r="D877" s="16" t="s">
        <v>1752</v>
      </c>
      <c r="E877" s="17" t="s">
        <v>1753</v>
      </c>
      <c r="F877" s="16" t="n">
        <v>33.352</v>
      </c>
      <c r="G877" s="16" t="n">
        <v>44.265</v>
      </c>
      <c r="H877" s="18" t="n">
        <v>451</v>
      </c>
      <c r="I877" s="18" t="n">
        <v>2706</v>
      </c>
      <c r="J877" s="19" t="n">
        <v>262</v>
      </c>
      <c r="K877" s="19"/>
      <c r="L877" s="19"/>
      <c r="M877" s="19"/>
      <c r="N877" s="19"/>
      <c r="O877" s="19" t="n">
        <v>29</v>
      </c>
      <c r="P877" s="19"/>
      <c r="Q877" s="19"/>
      <c r="R877" s="19"/>
      <c r="S877" s="19"/>
      <c r="T877" s="19"/>
      <c r="U877" s="19"/>
      <c r="V877" s="19" t="n">
        <v>68</v>
      </c>
      <c r="W877" s="19"/>
      <c r="X877" s="19" t="n">
        <v>92</v>
      </c>
      <c r="Y877" s="19"/>
      <c r="Z877" s="19"/>
      <c r="AA877" s="19"/>
      <c r="AB877" s="19"/>
      <c r="AC877" s="19" t="n">
        <v>60</v>
      </c>
      <c r="AD877" s="19"/>
      <c r="AE877" s="19"/>
      <c r="AF877" s="19"/>
      <c r="AG877" s="19"/>
      <c r="AH877" s="19" t="n">
        <v>336</v>
      </c>
      <c r="AI877" s="19"/>
      <c r="AJ877" s="19" t="n">
        <v>55</v>
      </c>
      <c r="AK877" s="19"/>
      <c r="AL877" s="19" t="n">
        <v>92</v>
      </c>
      <c r="AM877" s="19" t="n">
        <v>180</v>
      </c>
      <c r="AN877" s="19" t="n">
        <v>60</v>
      </c>
      <c r="AO877" s="19" t="n">
        <v>70</v>
      </c>
      <c r="AP877" s="19" t="n">
        <v>44</v>
      </c>
      <c r="AQ877" s="19"/>
      <c r="AR877" s="19" t="n">
        <v>5</v>
      </c>
      <c r="AS877" s="20" t="str">
        <f aca="false">HYPERLINK("http://www.openstreetmap.org/?mlat=33.352&amp;mlon=44.265&amp;zoom=12#map=12/33.352/44.265","Maplink1")</f>
        <v>Maplink1</v>
      </c>
      <c r="AT877" s="20" t="str">
        <f aca="false">HYPERLINK("https://www.google.iq/maps/search/+33.352,44.265/@33.352,44.265,14z?hl=en","Maplink2")</f>
        <v>Maplink2</v>
      </c>
      <c r="AU877" s="20" t="str">
        <f aca="false">HYPERLINK("http://www.bing.com/maps/?lvl=14&amp;sty=h&amp;cp=33.352~44.265&amp;sp=point.33.352_44.265","Maplink3")</f>
        <v>Maplink3</v>
      </c>
    </row>
    <row r="878" customFormat="false" ht="15" hidden="false" customHeight="true" outlineLevel="0" collapsed="false">
      <c r="A878" s="15" t="n">
        <v>25411</v>
      </c>
      <c r="B878" s="16" t="s">
        <v>17</v>
      </c>
      <c r="C878" s="16" t="s">
        <v>1709</v>
      </c>
      <c r="D878" s="16" t="s">
        <v>1754</v>
      </c>
      <c r="E878" s="17" t="s">
        <v>1755</v>
      </c>
      <c r="F878" s="16" t="n">
        <v>33.3376</v>
      </c>
      <c r="G878" s="16" t="n">
        <v>44.2751</v>
      </c>
      <c r="H878" s="18" t="n">
        <v>62</v>
      </c>
      <c r="I878" s="18" t="n">
        <v>372</v>
      </c>
      <c r="J878" s="19" t="n">
        <v>39</v>
      </c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 t="n">
        <v>23</v>
      </c>
      <c r="Y878" s="19"/>
      <c r="Z878" s="19"/>
      <c r="AA878" s="19"/>
      <c r="AB878" s="19"/>
      <c r="AC878" s="19"/>
      <c r="AD878" s="19"/>
      <c r="AE878" s="19"/>
      <c r="AF878" s="19"/>
      <c r="AG878" s="19"/>
      <c r="AH878" s="19" t="n">
        <v>62</v>
      </c>
      <c r="AI878" s="19"/>
      <c r="AJ878" s="19"/>
      <c r="AK878" s="19"/>
      <c r="AL878" s="19"/>
      <c r="AM878" s="19"/>
      <c r="AN878" s="19"/>
      <c r="AO878" s="19" t="n">
        <v>23</v>
      </c>
      <c r="AP878" s="19" t="n">
        <v>39</v>
      </c>
      <c r="AQ878" s="19"/>
      <c r="AR878" s="19"/>
      <c r="AS878" s="20" t="str">
        <f aca="false">HYPERLINK("http://www.openstreetmap.org/?mlat=33.3376&amp;mlon=44.2751&amp;zoom=12#map=12/33.3376/44.2751","Maplink1")</f>
        <v>Maplink1</v>
      </c>
      <c r="AT878" s="20" t="str">
        <f aca="false">HYPERLINK("https://www.google.iq/maps/search/+33.3376,44.2751/@33.3376,44.2751,14z?hl=en","Maplink2")</f>
        <v>Maplink2</v>
      </c>
      <c r="AU878" s="20" t="str">
        <f aca="false">HYPERLINK("http://www.bing.com/maps/?lvl=14&amp;sty=h&amp;cp=33.3376~44.2751&amp;sp=point.33.3376_44.2751","Maplink3")</f>
        <v>Maplink3</v>
      </c>
    </row>
    <row r="879" customFormat="false" ht="15" hidden="false" customHeight="true" outlineLevel="0" collapsed="false">
      <c r="A879" s="15" t="n">
        <v>25410</v>
      </c>
      <c r="B879" s="16" t="s">
        <v>17</v>
      </c>
      <c r="C879" s="16" t="s">
        <v>1709</v>
      </c>
      <c r="D879" s="16" t="s">
        <v>1756</v>
      </c>
      <c r="E879" s="17" t="s">
        <v>1757</v>
      </c>
      <c r="F879" s="16" t="n">
        <v>33.3426</v>
      </c>
      <c r="G879" s="16" t="n">
        <v>44.2842</v>
      </c>
      <c r="H879" s="18" t="n">
        <v>73</v>
      </c>
      <c r="I879" s="18" t="n">
        <v>438</v>
      </c>
      <c r="J879" s="19" t="n">
        <v>65</v>
      </c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 t="n">
        <v>8</v>
      </c>
      <c r="Y879" s="19"/>
      <c r="Z879" s="19"/>
      <c r="AA879" s="19"/>
      <c r="AB879" s="19"/>
      <c r="AC879" s="19"/>
      <c r="AD879" s="19"/>
      <c r="AE879" s="19"/>
      <c r="AF879" s="19"/>
      <c r="AG879" s="19"/>
      <c r="AH879" s="19" t="n">
        <v>60</v>
      </c>
      <c r="AI879" s="19"/>
      <c r="AJ879" s="19" t="n">
        <v>13</v>
      </c>
      <c r="AK879" s="19"/>
      <c r="AL879" s="19" t="n">
        <v>29</v>
      </c>
      <c r="AM879" s="19" t="n">
        <v>11</v>
      </c>
      <c r="AN879" s="19"/>
      <c r="AO879" s="19" t="n">
        <v>14</v>
      </c>
      <c r="AP879" s="19" t="n">
        <v>19</v>
      </c>
      <c r="AQ879" s="19"/>
      <c r="AR879" s="19"/>
      <c r="AS879" s="20" t="str">
        <f aca="false">HYPERLINK("http://www.openstreetmap.org/?mlat=33.3426&amp;mlon=44.2842&amp;zoom=12#map=12/33.3426/44.2842","Maplink1")</f>
        <v>Maplink1</v>
      </c>
      <c r="AT879" s="20" t="str">
        <f aca="false">HYPERLINK("https://www.google.iq/maps/search/+33.3426,44.2842/@33.3426,44.2842,14z?hl=en","Maplink2")</f>
        <v>Maplink2</v>
      </c>
      <c r="AU879" s="20" t="str">
        <f aca="false">HYPERLINK("http://www.bing.com/maps/?lvl=14&amp;sty=h&amp;cp=33.3426~44.2842&amp;sp=point.33.3426_44.2842","Maplink3")</f>
        <v>Maplink3</v>
      </c>
    </row>
    <row r="880" customFormat="false" ht="15" hidden="false" customHeight="true" outlineLevel="0" collapsed="false">
      <c r="A880" s="15" t="n">
        <v>25409</v>
      </c>
      <c r="B880" s="16" t="s">
        <v>17</v>
      </c>
      <c r="C880" s="16" t="s">
        <v>1709</v>
      </c>
      <c r="D880" s="16" t="s">
        <v>1758</v>
      </c>
      <c r="E880" s="17" t="s">
        <v>1759</v>
      </c>
      <c r="F880" s="16" t="n">
        <v>33.348</v>
      </c>
      <c r="G880" s="16" t="n">
        <v>44.2948</v>
      </c>
      <c r="H880" s="18" t="n">
        <v>41</v>
      </c>
      <c r="I880" s="18" t="n">
        <v>246</v>
      </c>
      <c r="J880" s="19" t="n">
        <v>41</v>
      </c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 t="n">
        <v>41</v>
      </c>
      <c r="AI880" s="19"/>
      <c r="AJ880" s="19"/>
      <c r="AK880" s="19"/>
      <c r="AL880" s="19" t="n">
        <v>18</v>
      </c>
      <c r="AM880" s="19"/>
      <c r="AN880" s="19"/>
      <c r="AO880" s="19"/>
      <c r="AP880" s="19" t="n">
        <v>23</v>
      </c>
      <c r="AQ880" s="19"/>
      <c r="AR880" s="19"/>
      <c r="AS880" s="20" t="str">
        <f aca="false">HYPERLINK("http://www.openstreetmap.org/?mlat=33.348&amp;mlon=44.2948&amp;zoom=12#map=12/33.348/44.2948","Maplink1")</f>
        <v>Maplink1</v>
      </c>
      <c r="AT880" s="20" t="str">
        <f aca="false">HYPERLINK("https://www.google.iq/maps/search/+33.348,44.2948/@33.348,44.2948,14z?hl=en","Maplink2")</f>
        <v>Maplink2</v>
      </c>
      <c r="AU880" s="20" t="str">
        <f aca="false">HYPERLINK("http://www.bing.com/maps/?lvl=14&amp;sty=h&amp;cp=33.348~44.2948&amp;sp=point.33.348_44.2948","Maplink3")</f>
        <v>Maplink3</v>
      </c>
    </row>
    <row r="881" customFormat="false" ht="15" hidden="false" customHeight="true" outlineLevel="0" collapsed="false">
      <c r="A881" s="15" t="n">
        <v>23734</v>
      </c>
      <c r="B881" s="16" t="s">
        <v>17</v>
      </c>
      <c r="C881" s="16" t="s">
        <v>1709</v>
      </c>
      <c r="D881" s="16" t="s">
        <v>1760</v>
      </c>
      <c r="E881" s="17" t="s">
        <v>1761</v>
      </c>
      <c r="F881" s="16" t="n">
        <v>33.3628</v>
      </c>
      <c r="G881" s="16" t="n">
        <v>44.2598</v>
      </c>
      <c r="H881" s="18" t="n">
        <v>188</v>
      </c>
      <c r="I881" s="18" t="n">
        <v>1128</v>
      </c>
      <c r="J881" s="19" t="n">
        <v>84</v>
      </c>
      <c r="K881" s="19"/>
      <c r="L881" s="19" t="n">
        <v>86</v>
      </c>
      <c r="M881" s="19"/>
      <c r="N881" s="19"/>
      <c r="O881" s="19" t="n">
        <v>18</v>
      </c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 t="n">
        <v>77</v>
      </c>
      <c r="AD881" s="19"/>
      <c r="AE881" s="19"/>
      <c r="AF881" s="19"/>
      <c r="AG881" s="19"/>
      <c r="AH881" s="19" t="n">
        <v>96</v>
      </c>
      <c r="AI881" s="19"/>
      <c r="AJ881" s="19" t="n">
        <v>15</v>
      </c>
      <c r="AK881" s="19"/>
      <c r="AL881" s="19" t="n">
        <v>89</v>
      </c>
      <c r="AM881" s="19" t="n">
        <v>86</v>
      </c>
      <c r="AN881" s="19" t="n">
        <v>13</v>
      </c>
      <c r="AO881" s="19"/>
      <c r="AP881" s="19"/>
      <c r="AQ881" s="19"/>
      <c r="AR881" s="19"/>
      <c r="AS881" s="20" t="str">
        <f aca="false">HYPERLINK("http://www.openstreetmap.org/?mlat=33.3628&amp;mlon=44.2598&amp;zoom=12#map=12/33.3628/44.2598","Maplink1")</f>
        <v>Maplink1</v>
      </c>
      <c r="AT881" s="20" t="str">
        <f aca="false">HYPERLINK("https://www.google.iq/maps/search/+33.3628,44.2598/@33.3628,44.2598,14z?hl=en","Maplink2")</f>
        <v>Maplink2</v>
      </c>
      <c r="AU881" s="20" t="str">
        <f aca="false">HYPERLINK("http://www.bing.com/maps/?lvl=14&amp;sty=h&amp;cp=33.3628~44.2598&amp;sp=point.33.3628_44.2598","Maplink3")</f>
        <v>Maplink3</v>
      </c>
    </row>
    <row r="882" customFormat="false" ht="15" hidden="false" customHeight="true" outlineLevel="0" collapsed="false">
      <c r="A882" s="15" t="n">
        <v>25929</v>
      </c>
      <c r="B882" s="16" t="s">
        <v>17</v>
      </c>
      <c r="C882" s="16" t="s">
        <v>1709</v>
      </c>
      <c r="D882" s="16" t="s">
        <v>1762</v>
      </c>
      <c r="E882" s="17" t="s">
        <v>1763</v>
      </c>
      <c r="F882" s="16" t="n">
        <v>33.34244173</v>
      </c>
      <c r="G882" s="16" t="n">
        <v>44.28201891</v>
      </c>
      <c r="H882" s="18" t="n">
        <v>122</v>
      </c>
      <c r="I882" s="18" t="n">
        <v>732</v>
      </c>
      <c r="J882" s="19" t="n">
        <v>122</v>
      </c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 t="n">
        <v>122</v>
      </c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 t="n">
        <v>122</v>
      </c>
      <c r="AQ882" s="19"/>
      <c r="AR882" s="19"/>
      <c r="AS882" s="20" t="str">
        <f aca="false">HYPERLINK("http://www.openstreetmap.org/?mlat=33.3424&amp;mlon=44.282&amp;zoom=12#map=12/33.3424/44.282","Maplink1")</f>
        <v>Maplink1</v>
      </c>
      <c r="AT882" s="20" t="str">
        <f aca="false">HYPERLINK("https://www.google.iq/maps/search/+33.3424,44.282/@33.3424,44.282,14z?hl=en","Maplink2")</f>
        <v>Maplink2</v>
      </c>
      <c r="AU882" s="20" t="str">
        <f aca="false">HYPERLINK("http://www.bing.com/maps/?lvl=14&amp;sty=h&amp;cp=33.3424~44.282&amp;sp=point.33.3424_44.282","Maplink3")</f>
        <v>Maplink3</v>
      </c>
    </row>
    <row r="883" customFormat="false" ht="15" hidden="false" customHeight="true" outlineLevel="0" collapsed="false">
      <c r="A883" s="15" t="n">
        <v>24065</v>
      </c>
      <c r="B883" s="16" t="s">
        <v>17</v>
      </c>
      <c r="C883" s="16" t="s">
        <v>1709</v>
      </c>
      <c r="D883" s="16" t="s">
        <v>1764</v>
      </c>
      <c r="E883" s="17" t="s">
        <v>1765</v>
      </c>
      <c r="F883" s="16" t="n">
        <v>33.3235</v>
      </c>
      <c r="G883" s="16" t="n">
        <v>44.2721</v>
      </c>
      <c r="H883" s="18" t="n">
        <v>193</v>
      </c>
      <c r="I883" s="18" t="n">
        <v>1158</v>
      </c>
      <c r="J883" s="19" t="n">
        <v>88</v>
      </c>
      <c r="K883" s="19"/>
      <c r="L883" s="19"/>
      <c r="M883" s="19"/>
      <c r="N883" s="19"/>
      <c r="O883" s="19" t="n">
        <v>17</v>
      </c>
      <c r="P883" s="19"/>
      <c r="Q883" s="19"/>
      <c r="R883" s="19"/>
      <c r="S883" s="19"/>
      <c r="T883" s="19"/>
      <c r="U883" s="19"/>
      <c r="V883" s="19" t="n">
        <v>88</v>
      </c>
      <c r="W883" s="19"/>
      <c r="X883" s="19"/>
      <c r="Y883" s="19"/>
      <c r="Z883" s="19"/>
      <c r="AA883" s="19"/>
      <c r="AB883" s="19"/>
      <c r="AC883" s="19" t="n">
        <v>80</v>
      </c>
      <c r="AD883" s="19"/>
      <c r="AE883" s="19"/>
      <c r="AF883" s="19"/>
      <c r="AG883" s="19"/>
      <c r="AH883" s="19" t="n">
        <v>88</v>
      </c>
      <c r="AI883" s="19"/>
      <c r="AJ883" s="19" t="n">
        <v>25</v>
      </c>
      <c r="AK883" s="19"/>
      <c r="AL883" s="19" t="n">
        <v>95</v>
      </c>
      <c r="AM883" s="19" t="n">
        <v>88</v>
      </c>
      <c r="AN883" s="19"/>
      <c r="AO883" s="19"/>
      <c r="AP883" s="19" t="n">
        <v>10</v>
      </c>
      <c r="AQ883" s="19"/>
      <c r="AR883" s="19"/>
      <c r="AS883" s="20" t="str">
        <f aca="false">HYPERLINK("http://www.openstreetmap.org/?mlat=33.3235&amp;mlon=44.2721&amp;zoom=12#map=12/33.3235/44.2721","Maplink1")</f>
        <v>Maplink1</v>
      </c>
      <c r="AT883" s="20" t="str">
        <f aca="false">HYPERLINK("https://www.google.iq/maps/search/+33.3235,44.2721/@33.3235,44.2721,14z?hl=en","Maplink2")</f>
        <v>Maplink2</v>
      </c>
      <c r="AU883" s="20" t="str">
        <f aca="false">HYPERLINK("http://www.bing.com/maps/?lvl=14&amp;sty=h&amp;cp=33.3235~44.2721&amp;sp=point.33.3235_44.2721","Maplink3")</f>
        <v>Maplink3</v>
      </c>
    </row>
    <row r="884" customFormat="false" ht="15" hidden="false" customHeight="true" outlineLevel="0" collapsed="false">
      <c r="A884" s="15" t="n">
        <v>27187</v>
      </c>
      <c r="B884" s="16" t="s">
        <v>17</v>
      </c>
      <c r="C884" s="16" t="s">
        <v>1709</v>
      </c>
      <c r="D884" s="16" t="s">
        <v>1766</v>
      </c>
      <c r="E884" s="17" t="s">
        <v>1767</v>
      </c>
      <c r="F884" s="16" t="n">
        <v>33.24799677</v>
      </c>
      <c r="G884" s="16" t="n">
        <v>44.33507227</v>
      </c>
      <c r="H884" s="18" t="n">
        <v>53</v>
      </c>
      <c r="I884" s="18" t="n">
        <v>318</v>
      </c>
      <c r="J884" s="19" t="n">
        <v>11</v>
      </c>
      <c r="K884" s="19"/>
      <c r="L884" s="19"/>
      <c r="M884" s="19"/>
      <c r="N884" s="19"/>
      <c r="O884" s="19" t="n">
        <v>5</v>
      </c>
      <c r="P884" s="19"/>
      <c r="Q884" s="19"/>
      <c r="R884" s="19" t="n">
        <v>2</v>
      </c>
      <c r="S884" s="19"/>
      <c r="T884" s="19"/>
      <c r="U884" s="19"/>
      <c r="V884" s="19" t="n">
        <v>35</v>
      </c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 t="n">
        <v>53</v>
      </c>
      <c r="AI884" s="19"/>
      <c r="AJ884" s="19"/>
      <c r="AK884" s="19"/>
      <c r="AL884" s="19"/>
      <c r="AM884" s="19" t="n">
        <v>31</v>
      </c>
      <c r="AN884" s="19"/>
      <c r="AO884" s="19" t="n">
        <v>7</v>
      </c>
      <c r="AP884" s="19" t="n">
        <v>4</v>
      </c>
      <c r="AQ884" s="19"/>
      <c r="AR884" s="19" t="n">
        <v>11</v>
      </c>
      <c r="AS884" s="20" t="str">
        <f aca="false">HYPERLINK("http://www.openstreetmap.org/?mlat=33.248&amp;mlon=44.3351&amp;zoom=12#map=12/33.248/44.3351","Maplink1")</f>
        <v>Maplink1</v>
      </c>
      <c r="AT884" s="20" t="str">
        <f aca="false">HYPERLINK("https://www.google.iq/maps/search/+33.248,44.3351/@33.248,44.3351,14z?hl=en","Maplink2")</f>
        <v>Maplink2</v>
      </c>
      <c r="AU884" s="20" t="str">
        <f aca="false">HYPERLINK("http://www.bing.com/maps/?lvl=14&amp;sty=h&amp;cp=33.248~44.3351&amp;sp=point.33.248_44.3351","Maplink3")</f>
        <v>Maplink3</v>
      </c>
    </row>
    <row r="885" customFormat="false" ht="15" hidden="false" customHeight="true" outlineLevel="0" collapsed="false">
      <c r="A885" s="15" t="n">
        <v>27188</v>
      </c>
      <c r="B885" s="16" t="s">
        <v>17</v>
      </c>
      <c r="C885" s="16" t="s">
        <v>1709</v>
      </c>
      <c r="D885" s="16" t="s">
        <v>1768</v>
      </c>
      <c r="E885" s="17" t="s">
        <v>1769</v>
      </c>
      <c r="F885" s="16" t="n">
        <v>33.23974977</v>
      </c>
      <c r="G885" s="16" t="n">
        <v>44.34322046</v>
      </c>
      <c r="H885" s="18" t="n">
        <v>27</v>
      </c>
      <c r="I885" s="18" t="n">
        <v>162</v>
      </c>
      <c r="J885" s="19" t="n">
        <v>10</v>
      </c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 t="n">
        <v>13</v>
      </c>
      <c r="W885" s="19"/>
      <c r="X885" s="19" t="n">
        <v>4</v>
      </c>
      <c r="Y885" s="19"/>
      <c r="Z885" s="19"/>
      <c r="AA885" s="19"/>
      <c r="AB885" s="19"/>
      <c r="AC885" s="19" t="n">
        <v>11</v>
      </c>
      <c r="AD885" s="19"/>
      <c r="AE885" s="19"/>
      <c r="AF885" s="19"/>
      <c r="AG885" s="19"/>
      <c r="AH885" s="19" t="n">
        <v>16</v>
      </c>
      <c r="AI885" s="19"/>
      <c r="AJ885" s="19"/>
      <c r="AK885" s="19"/>
      <c r="AL885" s="19"/>
      <c r="AM885" s="19" t="n">
        <v>8</v>
      </c>
      <c r="AN885" s="19"/>
      <c r="AO885" s="19"/>
      <c r="AP885" s="19" t="n">
        <v>19</v>
      </c>
      <c r="AQ885" s="19"/>
      <c r="AR885" s="19"/>
      <c r="AS885" s="20" t="str">
        <f aca="false">HYPERLINK("http://www.openstreetmap.org/?mlat=33.2397&amp;mlon=44.3432&amp;zoom=12#map=12/33.2397/44.3432","Maplink1")</f>
        <v>Maplink1</v>
      </c>
      <c r="AT885" s="20" t="str">
        <f aca="false">HYPERLINK("https://www.google.iq/maps/search/+33.2397,44.3432/@33.2397,44.3432,14z?hl=en","Maplink2")</f>
        <v>Maplink2</v>
      </c>
      <c r="AU885" s="20" t="str">
        <f aca="false">HYPERLINK("http://www.bing.com/maps/?lvl=14&amp;sty=h&amp;cp=33.2397~44.3432&amp;sp=point.33.2397_44.3432","Maplink3")</f>
        <v>Maplink3</v>
      </c>
    </row>
    <row r="886" customFormat="false" ht="15" hidden="false" customHeight="true" outlineLevel="0" collapsed="false">
      <c r="A886" s="15" t="n">
        <v>23982</v>
      </c>
      <c r="B886" s="16" t="s">
        <v>17</v>
      </c>
      <c r="C886" s="16" t="s">
        <v>1709</v>
      </c>
      <c r="D886" s="16" t="s">
        <v>1770</v>
      </c>
      <c r="E886" s="17" t="s">
        <v>1771</v>
      </c>
      <c r="F886" s="16" t="n">
        <v>33.24849455</v>
      </c>
      <c r="G886" s="16" t="n">
        <v>44.38401791</v>
      </c>
      <c r="H886" s="18" t="n">
        <v>855</v>
      </c>
      <c r="I886" s="18" t="n">
        <v>5130</v>
      </c>
      <c r="J886" s="19" t="n">
        <v>676</v>
      </c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 t="n">
        <v>10</v>
      </c>
      <c r="W886" s="19"/>
      <c r="X886" s="19" t="n">
        <v>169</v>
      </c>
      <c r="Y886" s="19"/>
      <c r="Z886" s="19"/>
      <c r="AA886" s="19"/>
      <c r="AB886" s="19"/>
      <c r="AC886" s="19" t="n">
        <v>657</v>
      </c>
      <c r="AD886" s="19"/>
      <c r="AE886" s="19"/>
      <c r="AF886" s="19"/>
      <c r="AG886" s="19"/>
      <c r="AH886" s="19" t="n">
        <v>198</v>
      </c>
      <c r="AI886" s="19"/>
      <c r="AJ886" s="19"/>
      <c r="AK886" s="19"/>
      <c r="AL886" s="19" t="n">
        <v>114</v>
      </c>
      <c r="AM886" s="19" t="n">
        <v>253</v>
      </c>
      <c r="AN886" s="19"/>
      <c r="AO886" s="19" t="n">
        <v>147</v>
      </c>
      <c r="AP886" s="19" t="n">
        <v>282</v>
      </c>
      <c r="AQ886" s="19" t="n">
        <v>49</v>
      </c>
      <c r="AR886" s="19" t="n">
        <v>10</v>
      </c>
      <c r="AS886" s="20" t="str">
        <f aca="false">HYPERLINK("http://www.openstreetmap.org/?mlat=33.2485&amp;mlon=44.384&amp;zoom=12#map=12/33.2485/44.384","Maplink1")</f>
        <v>Maplink1</v>
      </c>
      <c r="AT886" s="20" t="str">
        <f aca="false">HYPERLINK("https://www.google.iq/maps/search/+33.2485,44.384/@33.2485,44.384,14z?hl=en","Maplink2")</f>
        <v>Maplink2</v>
      </c>
      <c r="AU886" s="20" t="str">
        <f aca="false">HYPERLINK("http://www.bing.com/maps/?lvl=14&amp;sty=h&amp;cp=33.2485~44.384&amp;sp=point.33.2485_44.384","Maplink3")</f>
        <v>Maplink3</v>
      </c>
    </row>
    <row r="887" customFormat="false" ht="15" hidden="false" customHeight="true" outlineLevel="0" collapsed="false">
      <c r="A887" s="15" t="n">
        <v>23727</v>
      </c>
      <c r="B887" s="16" t="s">
        <v>17</v>
      </c>
      <c r="C887" s="16" t="s">
        <v>1709</v>
      </c>
      <c r="D887" s="16" t="s">
        <v>1772</v>
      </c>
      <c r="E887" s="17" t="s">
        <v>1773</v>
      </c>
      <c r="F887" s="16" t="n">
        <v>33.31093978</v>
      </c>
      <c r="G887" s="16" t="n">
        <v>44.32637419</v>
      </c>
      <c r="H887" s="18" t="n">
        <v>230</v>
      </c>
      <c r="I887" s="18" t="n">
        <v>1380</v>
      </c>
      <c r="J887" s="19" t="n">
        <v>205</v>
      </c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 t="n">
        <v>12</v>
      </c>
      <c r="W887" s="19"/>
      <c r="X887" s="19" t="n">
        <v>13</v>
      </c>
      <c r="Y887" s="19"/>
      <c r="Z887" s="19"/>
      <c r="AA887" s="19"/>
      <c r="AB887" s="19"/>
      <c r="AC887" s="19" t="n">
        <v>81</v>
      </c>
      <c r="AD887" s="19"/>
      <c r="AE887" s="19"/>
      <c r="AF887" s="19"/>
      <c r="AG887" s="19"/>
      <c r="AH887" s="19" t="n">
        <v>149</v>
      </c>
      <c r="AI887" s="19"/>
      <c r="AJ887" s="19"/>
      <c r="AK887" s="19"/>
      <c r="AL887" s="19" t="n">
        <v>53</v>
      </c>
      <c r="AM887" s="19" t="n">
        <v>8</v>
      </c>
      <c r="AN887" s="19"/>
      <c r="AO887" s="19" t="n">
        <v>28</v>
      </c>
      <c r="AP887" s="19" t="n">
        <v>137</v>
      </c>
      <c r="AQ887" s="19"/>
      <c r="AR887" s="19" t="n">
        <v>4</v>
      </c>
      <c r="AS887" s="20" t="str">
        <f aca="false">HYPERLINK("http://www.openstreetmap.org/?mlat=33.3109&amp;mlon=44.3264&amp;zoom=12#map=12/33.3109/44.3264","Maplink1")</f>
        <v>Maplink1</v>
      </c>
      <c r="AT887" s="20" t="str">
        <f aca="false">HYPERLINK("https://www.google.iq/maps/search/+33.3109,44.3264/@33.3109,44.3264,14z?hl=en","Maplink2")</f>
        <v>Maplink2</v>
      </c>
      <c r="AU887" s="20" t="str">
        <f aca="false">HYPERLINK("http://www.bing.com/maps/?lvl=14&amp;sty=h&amp;cp=33.3109~44.3264&amp;sp=point.33.3109_44.3264","Maplink3")</f>
        <v>Maplink3</v>
      </c>
    </row>
    <row r="888" customFormat="false" ht="15" hidden="false" customHeight="true" outlineLevel="0" collapsed="false">
      <c r="A888" s="15" t="n">
        <v>23676</v>
      </c>
      <c r="B888" s="16" t="s">
        <v>17</v>
      </c>
      <c r="C888" s="16" t="s">
        <v>1709</v>
      </c>
      <c r="D888" s="16" t="s">
        <v>1774</v>
      </c>
      <c r="E888" s="17" t="s">
        <v>1775</v>
      </c>
      <c r="F888" s="16" t="n">
        <v>33.31779814</v>
      </c>
      <c r="G888" s="16" t="n">
        <v>44.32599935</v>
      </c>
      <c r="H888" s="18" t="n">
        <v>64</v>
      </c>
      <c r="I888" s="18" t="n">
        <v>384</v>
      </c>
      <c r="J888" s="19" t="n">
        <v>40</v>
      </c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 t="n">
        <v>4</v>
      </c>
      <c r="W888" s="19"/>
      <c r="X888" s="19" t="n">
        <v>20</v>
      </c>
      <c r="Y888" s="19"/>
      <c r="Z888" s="19"/>
      <c r="AA888" s="19"/>
      <c r="AB888" s="19"/>
      <c r="AC888" s="19" t="n">
        <v>33</v>
      </c>
      <c r="AD888" s="19"/>
      <c r="AE888" s="19"/>
      <c r="AF888" s="19"/>
      <c r="AG888" s="19"/>
      <c r="AH888" s="19" t="n">
        <v>31</v>
      </c>
      <c r="AI888" s="19"/>
      <c r="AJ888" s="19"/>
      <c r="AK888" s="19"/>
      <c r="AL888" s="19"/>
      <c r="AM888" s="19"/>
      <c r="AN888" s="19"/>
      <c r="AO888" s="19" t="n">
        <v>29</v>
      </c>
      <c r="AP888" s="19" t="n">
        <v>26</v>
      </c>
      <c r="AQ888" s="19" t="n">
        <v>5</v>
      </c>
      <c r="AR888" s="19" t="n">
        <v>4</v>
      </c>
      <c r="AS888" s="20" t="str">
        <f aca="false">HYPERLINK("http://www.openstreetmap.org/?mlat=33.3178&amp;mlon=44.326&amp;zoom=12#map=12/33.3178/44.326","Maplink1")</f>
        <v>Maplink1</v>
      </c>
      <c r="AT888" s="20" t="str">
        <f aca="false">HYPERLINK("https://www.google.iq/maps/search/+33.3178,44.326/@33.3178,44.326,14z?hl=en","Maplink2")</f>
        <v>Maplink2</v>
      </c>
      <c r="AU888" s="20" t="str">
        <f aca="false">HYPERLINK("http://www.bing.com/maps/?lvl=14&amp;sty=h&amp;cp=33.3178~44.326&amp;sp=point.33.3178_44.326","Maplink3")</f>
        <v>Maplink3</v>
      </c>
    </row>
    <row r="889" customFormat="false" ht="15" hidden="false" customHeight="true" outlineLevel="0" collapsed="false">
      <c r="A889" s="15" t="n">
        <v>26040</v>
      </c>
      <c r="B889" s="16" t="s">
        <v>17</v>
      </c>
      <c r="C889" s="16" t="s">
        <v>1709</v>
      </c>
      <c r="D889" s="16" t="s">
        <v>1776</v>
      </c>
      <c r="E889" s="17" t="s">
        <v>1777</v>
      </c>
      <c r="F889" s="16" t="n">
        <v>33.31485157</v>
      </c>
      <c r="G889" s="16" t="n">
        <v>44.32140154</v>
      </c>
      <c r="H889" s="18" t="n">
        <v>552</v>
      </c>
      <c r="I889" s="18" t="n">
        <v>3312</v>
      </c>
      <c r="J889" s="19" t="n">
        <v>505</v>
      </c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 t="n">
        <v>33</v>
      </c>
      <c r="W889" s="19"/>
      <c r="X889" s="19" t="n">
        <v>14</v>
      </c>
      <c r="Y889" s="19"/>
      <c r="Z889" s="19"/>
      <c r="AA889" s="19"/>
      <c r="AB889" s="19"/>
      <c r="AC889" s="19" t="n">
        <v>316</v>
      </c>
      <c r="AD889" s="19"/>
      <c r="AE889" s="19"/>
      <c r="AF889" s="19"/>
      <c r="AG889" s="19"/>
      <c r="AH889" s="19" t="n">
        <v>236</v>
      </c>
      <c r="AI889" s="19"/>
      <c r="AJ889" s="19"/>
      <c r="AK889" s="19"/>
      <c r="AL889" s="19"/>
      <c r="AM889" s="19" t="n">
        <v>12</v>
      </c>
      <c r="AN889" s="19"/>
      <c r="AO889" s="19" t="n">
        <v>72</v>
      </c>
      <c r="AP889" s="19" t="n">
        <v>457</v>
      </c>
      <c r="AQ889" s="19" t="n">
        <v>3</v>
      </c>
      <c r="AR889" s="19" t="n">
        <v>8</v>
      </c>
      <c r="AS889" s="20" t="str">
        <f aca="false">HYPERLINK("http://www.openstreetmap.org/?mlat=33.3149&amp;mlon=44.3214&amp;zoom=12#map=12/33.3149/44.3214","Maplink1")</f>
        <v>Maplink1</v>
      </c>
      <c r="AT889" s="20" t="str">
        <f aca="false">HYPERLINK("https://www.google.iq/maps/search/+33.3149,44.3214/@33.3149,44.3214,14z?hl=en","Maplink2")</f>
        <v>Maplink2</v>
      </c>
      <c r="AU889" s="20" t="str">
        <f aca="false">HYPERLINK("http://www.bing.com/maps/?lvl=14&amp;sty=h&amp;cp=33.3149~44.3214&amp;sp=point.33.3149_44.3214","Maplink3")</f>
        <v>Maplink3</v>
      </c>
    </row>
    <row r="890" customFormat="false" ht="15" hidden="false" customHeight="true" outlineLevel="0" collapsed="false">
      <c r="A890" s="15" t="n">
        <v>23730</v>
      </c>
      <c r="B890" s="16" t="s">
        <v>17</v>
      </c>
      <c r="C890" s="16" t="s">
        <v>1709</v>
      </c>
      <c r="D890" s="16" t="s">
        <v>1778</v>
      </c>
      <c r="E890" s="17" t="s">
        <v>1779</v>
      </c>
      <c r="F890" s="16" t="n">
        <v>33.31933597</v>
      </c>
      <c r="G890" s="16" t="n">
        <v>44.30500612</v>
      </c>
      <c r="H890" s="18" t="n">
        <v>532</v>
      </c>
      <c r="I890" s="18" t="n">
        <v>3192</v>
      </c>
      <c r="J890" s="19" t="n">
        <v>482</v>
      </c>
      <c r="K890" s="19"/>
      <c r="L890" s="19" t="n">
        <v>12</v>
      </c>
      <c r="M890" s="19"/>
      <c r="N890" s="19"/>
      <c r="O890" s="19" t="n">
        <v>21</v>
      </c>
      <c r="P890" s="19"/>
      <c r="Q890" s="19"/>
      <c r="R890" s="19"/>
      <c r="S890" s="19"/>
      <c r="T890" s="19"/>
      <c r="U890" s="19"/>
      <c r="V890" s="19" t="n">
        <v>17</v>
      </c>
      <c r="W890" s="19"/>
      <c r="X890" s="19"/>
      <c r="Y890" s="19"/>
      <c r="Z890" s="19"/>
      <c r="AA890" s="19"/>
      <c r="AB890" s="19"/>
      <c r="AC890" s="19" t="n">
        <v>238</v>
      </c>
      <c r="AD890" s="19"/>
      <c r="AE890" s="19"/>
      <c r="AF890" s="19"/>
      <c r="AG890" s="19" t="n">
        <v>13</v>
      </c>
      <c r="AH890" s="19" t="n">
        <v>281</v>
      </c>
      <c r="AI890" s="19"/>
      <c r="AJ890" s="19"/>
      <c r="AK890" s="19"/>
      <c r="AL890" s="19" t="n">
        <v>98</v>
      </c>
      <c r="AM890" s="19" t="n">
        <v>94</v>
      </c>
      <c r="AN890" s="19"/>
      <c r="AO890" s="19" t="n">
        <v>169</v>
      </c>
      <c r="AP890" s="19" t="n">
        <v>150</v>
      </c>
      <c r="AQ890" s="19" t="n">
        <v>12</v>
      </c>
      <c r="AR890" s="19" t="n">
        <v>9</v>
      </c>
      <c r="AS890" s="20" t="str">
        <f aca="false">HYPERLINK("http://www.openstreetmap.org/?mlat=33.3193&amp;mlon=44.305&amp;zoom=12#map=12/33.3193/44.305","Maplink1")</f>
        <v>Maplink1</v>
      </c>
      <c r="AT890" s="20" t="str">
        <f aca="false">HYPERLINK("https://www.google.iq/maps/search/+33.3193,44.305/@33.3193,44.305,14z?hl=en","Maplink2")</f>
        <v>Maplink2</v>
      </c>
      <c r="AU890" s="20" t="str">
        <f aca="false">HYPERLINK("http://www.bing.com/maps/?lvl=14&amp;sty=h&amp;cp=33.3193~44.305&amp;sp=point.33.3193_44.305","Maplink3")</f>
        <v>Maplink3</v>
      </c>
    </row>
    <row r="891" customFormat="false" ht="15" hidden="false" customHeight="true" outlineLevel="0" collapsed="false">
      <c r="A891" s="15" t="n">
        <v>26041</v>
      </c>
      <c r="B891" s="16" t="s">
        <v>17</v>
      </c>
      <c r="C891" s="16" t="s">
        <v>1709</v>
      </c>
      <c r="D891" s="16" t="s">
        <v>1780</v>
      </c>
      <c r="E891" s="17" t="s">
        <v>1781</v>
      </c>
      <c r="F891" s="16" t="n">
        <v>33.32501945</v>
      </c>
      <c r="G891" s="16" t="n">
        <v>44.31936038</v>
      </c>
      <c r="H891" s="18" t="n">
        <v>321</v>
      </c>
      <c r="I891" s="18" t="n">
        <v>1926</v>
      </c>
      <c r="J891" s="19" t="n">
        <v>266</v>
      </c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 t="n">
        <v>34</v>
      </c>
      <c r="W891" s="19"/>
      <c r="X891" s="19" t="n">
        <v>21</v>
      </c>
      <c r="Y891" s="19"/>
      <c r="Z891" s="19"/>
      <c r="AA891" s="19"/>
      <c r="AB891" s="19"/>
      <c r="AC891" s="19" t="n">
        <v>117</v>
      </c>
      <c r="AD891" s="19"/>
      <c r="AE891" s="19"/>
      <c r="AF891" s="19"/>
      <c r="AG891" s="19"/>
      <c r="AH891" s="19" t="n">
        <v>204</v>
      </c>
      <c r="AI891" s="19"/>
      <c r="AJ891" s="19"/>
      <c r="AK891" s="19"/>
      <c r="AL891" s="19" t="n">
        <v>136</v>
      </c>
      <c r="AM891" s="19"/>
      <c r="AN891" s="19"/>
      <c r="AO891" s="19" t="n">
        <v>94</v>
      </c>
      <c r="AP891" s="19" t="n">
        <v>78</v>
      </c>
      <c r="AQ891" s="19" t="n">
        <v>6</v>
      </c>
      <c r="AR891" s="19" t="n">
        <v>7</v>
      </c>
      <c r="AS891" s="20" t="str">
        <f aca="false">HYPERLINK("http://www.openstreetmap.org/?mlat=33.325&amp;mlon=44.3194&amp;zoom=12#map=12/33.325/44.3194","Maplink1")</f>
        <v>Maplink1</v>
      </c>
      <c r="AT891" s="20" t="str">
        <f aca="false">HYPERLINK("https://www.google.iq/maps/search/+33.325,44.3194/@33.325,44.3194,14z?hl=en","Maplink2")</f>
        <v>Maplink2</v>
      </c>
      <c r="AU891" s="20" t="str">
        <f aca="false">HYPERLINK("http://www.bing.com/maps/?lvl=14&amp;sty=h&amp;cp=33.325~44.3194&amp;sp=point.33.325_44.3194","Maplink3")</f>
        <v>Maplink3</v>
      </c>
    </row>
    <row r="892" customFormat="false" ht="15" hidden="false" customHeight="true" outlineLevel="0" collapsed="false">
      <c r="A892" s="15" t="n">
        <v>24074</v>
      </c>
      <c r="B892" s="16" t="s">
        <v>17</v>
      </c>
      <c r="C892" s="16" t="s">
        <v>1709</v>
      </c>
      <c r="D892" s="16" t="s">
        <v>1782</v>
      </c>
      <c r="E892" s="17" t="s">
        <v>1783</v>
      </c>
      <c r="F892" s="16" t="n">
        <v>33.25689684</v>
      </c>
      <c r="G892" s="16" t="n">
        <v>44.4079286</v>
      </c>
      <c r="H892" s="18" t="n">
        <v>406</v>
      </c>
      <c r="I892" s="18" t="n">
        <v>2436</v>
      </c>
      <c r="J892" s="19" t="n">
        <v>388</v>
      </c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 t="n">
        <v>8</v>
      </c>
      <c r="W892" s="19"/>
      <c r="X892" s="19" t="n">
        <v>10</v>
      </c>
      <c r="Y892" s="19"/>
      <c r="Z892" s="19"/>
      <c r="AA892" s="19"/>
      <c r="AB892" s="19"/>
      <c r="AC892" s="19" t="n">
        <v>302</v>
      </c>
      <c r="AD892" s="19"/>
      <c r="AE892" s="19"/>
      <c r="AF892" s="19"/>
      <c r="AG892" s="19"/>
      <c r="AH892" s="19" t="n">
        <v>104</v>
      </c>
      <c r="AI892" s="19"/>
      <c r="AJ892" s="19"/>
      <c r="AK892" s="19"/>
      <c r="AL892" s="19" t="n">
        <v>215</v>
      </c>
      <c r="AM892" s="19"/>
      <c r="AN892" s="19" t="n">
        <v>42</v>
      </c>
      <c r="AO892" s="19" t="n">
        <v>32</v>
      </c>
      <c r="AP892" s="19" t="n">
        <v>80</v>
      </c>
      <c r="AQ892" s="19" t="n">
        <v>31</v>
      </c>
      <c r="AR892" s="19" t="n">
        <v>6</v>
      </c>
      <c r="AS892" s="20" t="str">
        <f aca="false">HYPERLINK("http://www.openstreetmap.org/?mlat=33.2569&amp;mlon=44.4079&amp;zoom=12#map=12/33.2569/44.4079","Maplink1")</f>
        <v>Maplink1</v>
      </c>
      <c r="AT892" s="20" t="str">
        <f aca="false">HYPERLINK("https://www.google.iq/maps/search/+33.2569,44.4079/@33.2569,44.4079,14z?hl=en","Maplink2")</f>
        <v>Maplink2</v>
      </c>
      <c r="AU892" s="20" t="str">
        <f aca="false">HYPERLINK("http://www.bing.com/maps/?lvl=14&amp;sty=h&amp;cp=33.2569~44.4079&amp;sp=point.33.2569_44.4079","Maplink3")</f>
        <v>Maplink3</v>
      </c>
    </row>
    <row r="893" customFormat="false" ht="15" hidden="false" customHeight="true" outlineLevel="0" collapsed="false">
      <c r="A893" s="15" t="n">
        <v>24076</v>
      </c>
      <c r="B893" s="16" t="s">
        <v>17</v>
      </c>
      <c r="C893" s="16" t="s">
        <v>1709</v>
      </c>
      <c r="D893" s="16" t="s">
        <v>1784</v>
      </c>
      <c r="E893" s="17" t="s">
        <v>1785</v>
      </c>
      <c r="F893" s="16" t="n">
        <v>33.25889796</v>
      </c>
      <c r="G893" s="16" t="n">
        <v>44.37166744</v>
      </c>
      <c r="H893" s="18" t="n">
        <v>170</v>
      </c>
      <c r="I893" s="18" t="n">
        <v>1020</v>
      </c>
      <c r="J893" s="19" t="n">
        <v>59</v>
      </c>
      <c r="K893" s="19"/>
      <c r="L893" s="19" t="n">
        <v>21</v>
      </c>
      <c r="M893" s="19"/>
      <c r="N893" s="19"/>
      <c r="O893" s="19"/>
      <c r="P893" s="19"/>
      <c r="Q893" s="19"/>
      <c r="R893" s="19"/>
      <c r="S893" s="19"/>
      <c r="T893" s="19"/>
      <c r="U893" s="19"/>
      <c r="V893" s="19" t="n">
        <v>22</v>
      </c>
      <c r="W893" s="19"/>
      <c r="X893" s="19" t="n">
        <v>68</v>
      </c>
      <c r="Y893" s="19"/>
      <c r="Z893" s="19"/>
      <c r="AA893" s="19"/>
      <c r="AB893" s="19"/>
      <c r="AC893" s="19" t="n">
        <v>77</v>
      </c>
      <c r="AD893" s="19"/>
      <c r="AE893" s="19"/>
      <c r="AF893" s="19"/>
      <c r="AG893" s="19"/>
      <c r="AH893" s="19" t="n">
        <v>93</v>
      </c>
      <c r="AI893" s="19"/>
      <c r="AJ893" s="19"/>
      <c r="AK893" s="19"/>
      <c r="AL893" s="19" t="n">
        <v>51</v>
      </c>
      <c r="AM893" s="19" t="n">
        <v>39</v>
      </c>
      <c r="AN893" s="19"/>
      <c r="AO893" s="19" t="n">
        <v>11</v>
      </c>
      <c r="AP893" s="19" t="n">
        <v>69</v>
      </c>
      <c r="AQ893" s="19"/>
      <c r="AR893" s="19"/>
      <c r="AS893" s="20" t="str">
        <f aca="false">HYPERLINK("http://www.openstreetmap.org/?mlat=33.2589&amp;mlon=44.3717&amp;zoom=12#map=12/33.2589/44.3717","Maplink1")</f>
        <v>Maplink1</v>
      </c>
      <c r="AT893" s="20" t="str">
        <f aca="false">HYPERLINK("https://www.google.iq/maps/search/+33.2589,44.3717/@33.2589,44.3717,14z?hl=en","Maplink2")</f>
        <v>Maplink2</v>
      </c>
      <c r="AU893" s="20" t="str">
        <f aca="false">HYPERLINK("http://www.bing.com/maps/?lvl=14&amp;sty=h&amp;cp=33.2589~44.3717&amp;sp=point.33.2589_44.3717","Maplink3")</f>
        <v>Maplink3</v>
      </c>
    </row>
    <row r="894" customFormat="false" ht="15" hidden="false" customHeight="true" outlineLevel="0" collapsed="false">
      <c r="A894" s="15" t="n">
        <v>24445</v>
      </c>
      <c r="B894" s="16" t="s">
        <v>17</v>
      </c>
      <c r="C894" s="16" t="s">
        <v>1709</v>
      </c>
      <c r="D894" s="16" t="s">
        <v>1786</v>
      </c>
      <c r="E894" s="17" t="s">
        <v>1787</v>
      </c>
      <c r="F894" s="16" t="n">
        <v>33.24881547</v>
      </c>
      <c r="G894" s="16" t="n">
        <v>44.37124711</v>
      </c>
      <c r="H894" s="18" t="n">
        <v>164</v>
      </c>
      <c r="I894" s="18" t="n">
        <v>984</v>
      </c>
      <c r="J894" s="19" t="n">
        <v>67</v>
      </c>
      <c r="K894" s="19"/>
      <c r="L894" s="19" t="n">
        <v>27</v>
      </c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 t="n">
        <v>70</v>
      </c>
      <c r="Y894" s="19"/>
      <c r="Z894" s="19"/>
      <c r="AA894" s="19"/>
      <c r="AB894" s="19"/>
      <c r="AC894" s="19" t="n">
        <v>76</v>
      </c>
      <c r="AD894" s="19"/>
      <c r="AE894" s="19"/>
      <c r="AF894" s="19"/>
      <c r="AG894" s="19"/>
      <c r="AH894" s="19" t="n">
        <v>88</v>
      </c>
      <c r="AI894" s="19"/>
      <c r="AJ894" s="19"/>
      <c r="AK894" s="19"/>
      <c r="AL894" s="19"/>
      <c r="AM894" s="19"/>
      <c r="AN894" s="19" t="n">
        <v>29</v>
      </c>
      <c r="AO894" s="19" t="n">
        <v>25</v>
      </c>
      <c r="AP894" s="19" t="n">
        <v>91</v>
      </c>
      <c r="AQ894" s="19" t="n">
        <v>9</v>
      </c>
      <c r="AR894" s="19" t="n">
        <v>10</v>
      </c>
      <c r="AS894" s="20" t="str">
        <f aca="false">HYPERLINK("http://www.openstreetmap.org/?mlat=33.2488&amp;mlon=44.3712&amp;zoom=12#map=12/33.2488/44.3712","Maplink1")</f>
        <v>Maplink1</v>
      </c>
      <c r="AT894" s="20" t="str">
        <f aca="false">HYPERLINK("https://www.google.iq/maps/search/+33.2488,44.3712/@33.2488,44.3712,14z?hl=en","Maplink2")</f>
        <v>Maplink2</v>
      </c>
      <c r="AU894" s="20" t="str">
        <f aca="false">HYPERLINK("http://www.bing.com/maps/?lvl=14&amp;sty=h&amp;cp=33.2488~44.3712&amp;sp=point.33.2488_44.3712","Maplink3")</f>
        <v>Maplink3</v>
      </c>
    </row>
    <row r="895" customFormat="false" ht="15" hidden="false" customHeight="true" outlineLevel="0" collapsed="false">
      <c r="A895" s="15" t="n">
        <v>24446</v>
      </c>
      <c r="B895" s="16" t="s">
        <v>17</v>
      </c>
      <c r="C895" s="16" t="s">
        <v>1709</v>
      </c>
      <c r="D895" s="16" t="s">
        <v>1788</v>
      </c>
      <c r="E895" s="17" t="s">
        <v>1789</v>
      </c>
      <c r="F895" s="16" t="n">
        <v>33.25501213</v>
      </c>
      <c r="G895" s="16" t="n">
        <v>44.37182234</v>
      </c>
      <c r="H895" s="18" t="n">
        <v>395</v>
      </c>
      <c r="I895" s="18" t="n">
        <v>2370</v>
      </c>
      <c r="J895" s="19" t="n">
        <v>246</v>
      </c>
      <c r="K895" s="19"/>
      <c r="L895" s="19" t="n">
        <v>65</v>
      </c>
      <c r="M895" s="19"/>
      <c r="N895" s="19"/>
      <c r="O895" s="19"/>
      <c r="P895" s="19"/>
      <c r="Q895" s="19"/>
      <c r="R895" s="19"/>
      <c r="S895" s="19"/>
      <c r="T895" s="19"/>
      <c r="U895" s="19"/>
      <c r="V895" s="19" t="n">
        <v>5</v>
      </c>
      <c r="W895" s="19"/>
      <c r="X895" s="19" t="n">
        <v>79</v>
      </c>
      <c r="Y895" s="19"/>
      <c r="Z895" s="19"/>
      <c r="AA895" s="19"/>
      <c r="AB895" s="19"/>
      <c r="AC895" s="19" t="n">
        <v>243</v>
      </c>
      <c r="AD895" s="19"/>
      <c r="AE895" s="19"/>
      <c r="AF895" s="19"/>
      <c r="AG895" s="19"/>
      <c r="AH895" s="19" t="n">
        <v>152</v>
      </c>
      <c r="AI895" s="19"/>
      <c r="AJ895" s="19"/>
      <c r="AK895" s="19"/>
      <c r="AL895" s="19"/>
      <c r="AM895" s="19"/>
      <c r="AN895" s="19" t="n">
        <v>93</v>
      </c>
      <c r="AO895" s="19" t="n">
        <v>199</v>
      </c>
      <c r="AP895" s="19" t="n">
        <v>92</v>
      </c>
      <c r="AQ895" s="19" t="n">
        <v>6</v>
      </c>
      <c r="AR895" s="19" t="n">
        <v>5</v>
      </c>
      <c r="AS895" s="20" t="str">
        <f aca="false">HYPERLINK("http://www.openstreetmap.org/?mlat=33.255&amp;mlon=44.3718&amp;zoom=12#map=12/33.255/44.3718","Maplink1")</f>
        <v>Maplink1</v>
      </c>
      <c r="AT895" s="20" t="str">
        <f aca="false">HYPERLINK("https://www.google.iq/maps/search/+33.255,44.3718/@33.255,44.3718,14z?hl=en","Maplink2")</f>
        <v>Maplink2</v>
      </c>
      <c r="AU895" s="20" t="str">
        <f aca="false">HYPERLINK("http://www.bing.com/maps/?lvl=14&amp;sty=h&amp;cp=33.255~44.3718&amp;sp=point.33.255_44.3718","Maplink3")</f>
        <v>Maplink3</v>
      </c>
    </row>
    <row r="896" customFormat="false" ht="15" hidden="false" customHeight="true" outlineLevel="0" collapsed="false">
      <c r="A896" s="15" t="n">
        <v>24077</v>
      </c>
      <c r="B896" s="16" t="s">
        <v>17</v>
      </c>
      <c r="C896" s="16" t="s">
        <v>1709</v>
      </c>
      <c r="D896" s="16" t="s">
        <v>1790</v>
      </c>
      <c r="E896" s="17" t="s">
        <v>1791</v>
      </c>
      <c r="F896" s="16" t="n">
        <v>33.25766548</v>
      </c>
      <c r="G896" s="16" t="n">
        <v>44.3807947</v>
      </c>
      <c r="H896" s="18" t="n">
        <v>9</v>
      </c>
      <c r="I896" s="18" t="n">
        <v>54</v>
      </c>
      <c r="J896" s="19" t="n">
        <v>9</v>
      </c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 t="n">
        <v>9</v>
      </c>
      <c r="AI896" s="19"/>
      <c r="AJ896" s="19"/>
      <c r="AK896" s="19"/>
      <c r="AL896" s="19" t="n">
        <v>4</v>
      </c>
      <c r="AM896" s="19"/>
      <c r="AN896" s="19"/>
      <c r="AO896" s="19"/>
      <c r="AP896" s="19"/>
      <c r="AQ896" s="19" t="n">
        <v>5</v>
      </c>
      <c r="AR896" s="19"/>
      <c r="AS896" s="20" t="str">
        <f aca="false">HYPERLINK("http://www.openstreetmap.org/?mlat=33.2577&amp;mlon=44.3808&amp;zoom=12#map=12/33.2577/44.3808","Maplink1")</f>
        <v>Maplink1</v>
      </c>
      <c r="AT896" s="20" t="str">
        <f aca="false">HYPERLINK("https://www.google.iq/maps/search/+33.2577,44.3808/@33.2577,44.3808,14z?hl=en","Maplink2")</f>
        <v>Maplink2</v>
      </c>
      <c r="AU896" s="20" t="str">
        <f aca="false">HYPERLINK("http://www.bing.com/maps/?lvl=14&amp;sty=h&amp;cp=33.2577~44.3808&amp;sp=point.33.2577_44.3808","Maplink3")</f>
        <v>Maplink3</v>
      </c>
    </row>
    <row r="897" customFormat="false" ht="15" hidden="false" customHeight="true" outlineLevel="0" collapsed="false">
      <c r="A897" s="15" t="n">
        <v>23983</v>
      </c>
      <c r="B897" s="16" t="s">
        <v>17</v>
      </c>
      <c r="C897" s="16" t="s">
        <v>1709</v>
      </c>
      <c r="D897" s="16" t="s">
        <v>1792</v>
      </c>
      <c r="E897" s="17" t="s">
        <v>1793</v>
      </c>
      <c r="F897" s="16" t="n">
        <v>33.25689286</v>
      </c>
      <c r="G897" s="16" t="n">
        <v>44.38341792</v>
      </c>
      <c r="H897" s="18" t="n">
        <v>353</v>
      </c>
      <c r="I897" s="18" t="n">
        <v>2118</v>
      </c>
      <c r="J897" s="19" t="n">
        <v>325</v>
      </c>
      <c r="K897" s="19"/>
      <c r="L897" s="19"/>
      <c r="M897" s="19"/>
      <c r="N897" s="19"/>
      <c r="O897" s="19" t="n">
        <v>9</v>
      </c>
      <c r="P897" s="19"/>
      <c r="Q897" s="19"/>
      <c r="R897" s="19"/>
      <c r="S897" s="19"/>
      <c r="T897" s="19"/>
      <c r="U897" s="19"/>
      <c r="V897" s="19" t="n">
        <v>8</v>
      </c>
      <c r="W897" s="19"/>
      <c r="X897" s="19" t="n">
        <v>11</v>
      </c>
      <c r="Y897" s="19"/>
      <c r="Z897" s="19"/>
      <c r="AA897" s="19"/>
      <c r="AB897" s="19"/>
      <c r="AC897" s="19" t="n">
        <v>144</v>
      </c>
      <c r="AD897" s="19"/>
      <c r="AE897" s="19"/>
      <c r="AF897" s="19"/>
      <c r="AG897" s="19"/>
      <c r="AH897" s="19" t="n">
        <v>209</v>
      </c>
      <c r="AI897" s="19"/>
      <c r="AJ897" s="19"/>
      <c r="AK897" s="19"/>
      <c r="AL897" s="19" t="n">
        <v>121</v>
      </c>
      <c r="AM897" s="19" t="n">
        <v>64</v>
      </c>
      <c r="AN897" s="19"/>
      <c r="AO897" s="19" t="n">
        <v>68</v>
      </c>
      <c r="AP897" s="19" t="n">
        <v>72</v>
      </c>
      <c r="AQ897" s="19" t="n">
        <v>20</v>
      </c>
      <c r="AR897" s="19" t="n">
        <v>8</v>
      </c>
      <c r="AS897" s="20" t="str">
        <f aca="false">HYPERLINK("http://www.openstreetmap.org/?mlat=33.2569&amp;mlon=44.3834&amp;zoom=12#map=12/33.2569/44.3834","Maplink1")</f>
        <v>Maplink1</v>
      </c>
      <c r="AT897" s="20" t="str">
        <f aca="false">HYPERLINK("https://www.google.iq/maps/search/+33.2569,44.3834/@33.2569,44.3834,14z?hl=en","Maplink2")</f>
        <v>Maplink2</v>
      </c>
      <c r="AU897" s="20" t="str">
        <f aca="false">HYPERLINK("http://www.bing.com/maps/?lvl=14&amp;sty=h&amp;cp=33.2569~44.3834&amp;sp=point.33.2569_44.3834","Maplink3")</f>
        <v>Maplink3</v>
      </c>
    </row>
    <row r="898" customFormat="false" ht="15" hidden="false" customHeight="true" outlineLevel="0" collapsed="false">
      <c r="A898" s="15" t="n">
        <v>25881</v>
      </c>
      <c r="B898" s="16" t="s">
        <v>17</v>
      </c>
      <c r="C898" s="16" t="s">
        <v>1709</v>
      </c>
      <c r="D898" s="16" t="s">
        <v>1794</v>
      </c>
      <c r="E898" s="17" t="s">
        <v>1795</v>
      </c>
      <c r="F898" s="16" t="n">
        <v>33.26536318</v>
      </c>
      <c r="G898" s="16" t="n">
        <v>44.3962325</v>
      </c>
      <c r="H898" s="18" t="n">
        <v>26</v>
      </c>
      <c r="I898" s="18" t="n">
        <v>156</v>
      </c>
      <c r="J898" s="19" t="n">
        <v>26</v>
      </c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 t="n">
        <v>26</v>
      </c>
      <c r="AI898" s="19"/>
      <c r="AJ898" s="19"/>
      <c r="AK898" s="19"/>
      <c r="AL898" s="19"/>
      <c r="AM898" s="19"/>
      <c r="AN898" s="19"/>
      <c r="AO898" s="19" t="n">
        <v>8</v>
      </c>
      <c r="AP898" s="19" t="n">
        <v>18</v>
      </c>
      <c r="AQ898" s="19"/>
      <c r="AR898" s="19"/>
      <c r="AS898" s="20" t="str">
        <f aca="false">HYPERLINK("http://www.openstreetmap.org/?mlat=33.2654&amp;mlon=44.3962&amp;zoom=12#map=12/33.2654/44.3962","Maplink1")</f>
        <v>Maplink1</v>
      </c>
      <c r="AT898" s="20" t="str">
        <f aca="false">HYPERLINK("https://www.google.iq/maps/search/+33.2654,44.3962/@33.2654,44.3962,14z?hl=en","Maplink2")</f>
        <v>Maplink2</v>
      </c>
      <c r="AU898" s="20" t="str">
        <f aca="false">HYPERLINK("http://www.bing.com/maps/?lvl=14&amp;sty=h&amp;cp=33.2654~44.3962&amp;sp=point.33.2654_44.3962","Maplink3")</f>
        <v>Maplink3</v>
      </c>
    </row>
    <row r="899" customFormat="false" ht="15" hidden="false" customHeight="true" outlineLevel="0" collapsed="false">
      <c r="A899" s="15" t="n">
        <v>26099</v>
      </c>
      <c r="B899" s="16" t="s">
        <v>17</v>
      </c>
      <c r="C899" s="16" t="s">
        <v>1709</v>
      </c>
      <c r="D899" s="16" t="s">
        <v>1796</v>
      </c>
      <c r="E899" s="17" t="s">
        <v>1797</v>
      </c>
      <c r="F899" s="16" t="n">
        <v>33.26022905</v>
      </c>
      <c r="G899" s="16" t="n">
        <v>44.40680492</v>
      </c>
      <c r="H899" s="18" t="n">
        <v>412</v>
      </c>
      <c r="I899" s="18" t="n">
        <v>2472</v>
      </c>
      <c r="J899" s="19" t="n">
        <v>412</v>
      </c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 t="n">
        <v>72</v>
      </c>
      <c r="AD899" s="19"/>
      <c r="AE899" s="19"/>
      <c r="AF899" s="19"/>
      <c r="AG899" s="19"/>
      <c r="AH899" s="19" t="n">
        <v>340</v>
      </c>
      <c r="AI899" s="19"/>
      <c r="AJ899" s="19"/>
      <c r="AK899" s="19"/>
      <c r="AL899" s="19"/>
      <c r="AM899" s="19"/>
      <c r="AN899" s="19"/>
      <c r="AO899" s="19" t="n">
        <v>50</v>
      </c>
      <c r="AP899" s="19" t="n">
        <v>342</v>
      </c>
      <c r="AQ899" s="19" t="n">
        <v>20</v>
      </c>
      <c r="AR899" s="19"/>
      <c r="AS899" s="20" t="str">
        <f aca="false">HYPERLINK("http://www.openstreetmap.org/?mlat=33.2602&amp;mlon=44.4068&amp;zoom=12#map=12/33.2602/44.4068","Maplink1")</f>
        <v>Maplink1</v>
      </c>
      <c r="AT899" s="20" t="str">
        <f aca="false">HYPERLINK("https://www.google.iq/maps/search/+33.2602,44.4068/@33.2602,44.4068,14z?hl=en","Maplink2")</f>
        <v>Maplink2</v>
      </c>
      <c r="AU899" s="20" t="str">
        <f aca="false">HYPERLINK("http://www.bing.com/maps/?lvl=14&amp;sty=h&amp;cp=33.2602~44.4068&amp;sp=point.33.2602_44.4068","Maplink3")</f>
        <v>Maplink3</v>
      </c>
    </row>
    <row r="900" customFormat="false" ht="15" hidden="false" customHeight="true" outlineLevel="0" collapsed="false">
      <c r="A900" s="15" t="n">
        <v>27374</v>
      </c>
      <c r="B900" s="16" t="s">
        <v>17</v>
      </c>
      <c r="C900" s="16" t="s">
        <v>1709</v>
      </c>
      <c r="D900" s="16" t="s">
        <v>1798</v>
      </c>
      <c r="E900" s="17" t="s">
        <v>1799</v>
      </c>
      <c r="F900" s="16" t="n">
        <v>33.30896817</v>
      </c>
      <c r="G900" s="16" t="n">
        <v>44.36379557</v>
      </c>
      <c r="H900" s="18" t="n">
        <v>6</v>
      </c>
      <c r="I900" s="18" t="n">
        <v>36</v>
      </c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 t="n">
        <v>4</v>
      </c>
      <c r="W900" s="19"/>
      <c r="X900" s="19" t="n">
        <v>2</v>
      </c>
      <c r="Y900" s="19"/>
      <c r="Z900" s="19"/>
      <c r="AA900" s="19"/>
      <c r="AB900" s="19"/>
      <c r="AC900" s="19"/>
      <c r="AD900" s="19"/>
      <c r="AE900" s="19"/>
      <c r="AF900" s="19"/>
      <c r="AG900" s="19"/>
      <c r="AH900" s="19" t="n">
        <v>6</v>
      </c>
      <c r="AI900" s="19"/>
      <c r="AJ900" s="19"/>
      <c r="AK900" s="19"/>
      <c r="AL900" s="19"/>
      <c r="AM900" s="19"/>
      <c r="AN900" s="19"/>
      <c r="AO900" s="19" t="n">
        <v>6</v>
      </c>
      <c r="AP900" s="19"/>
      <c r="AQ900" s="19"/>
      <c r="AR900" s="19"/>
      <c r="AS900" s="20" t="str">
        <f aca="false">HYPERLINK("http://www.openstreetmap.org/?mlat=33.309&amp;mlon=44.3638&amp;zoom=12#map=12/33.309/44.3638","Maplink1")</f>
        <v>Maplink1</v>
      </c>
      <c r="AT900" s="20" t="str">
        <f aca="false">HYPERLINK("https://www.google.iq/maps/search/+33.309,44.3638/@33.309,44.3638,14z?hl=en","Maplink2")</f>
        <v>Maplink2</v>
      </c>
      <c r="AU900" s="20" t="str">
        <f aca="false">HYPERLINK("http://www.bing.com/maps/?lvl=14&amp;sty=h&amp;cp=33.309~44.3638&amp;sp=point.33.309_44.3638","Maplink3")</f>
        <v>Maplink3</v>
      </c>
    </row>
    <row r="901" customFormat="false" ht="15" hidden="false" customHeight="true" outlineLevel="0" collapsed="false">
      <c r="A901" s="15" t="n">
        <v>27375</v>
      </c>
      <c r="B901" s="16" t="s">
        <v>17</v>
      </c>
      <c r="C901" s="16" t="s">
        <v>1709</v>
      </c>
      <c r="D901" s="16" t="s">
        <v>1800</v>
      </c>
      <c r="E901" s="17" t="s">
        <v>1801</v>
      </c>
      <c r="F901" s="16" t="n">
        <v>33.30387438</v>
      </c>
      <c r="G901" s="16" t="n">
        <v>44.37420457</v>
      </c>
      <c r="H901" s="18" t="n">
        <v>39</v>
      </c>
      <c r="I901" s="18" t="n">
        <v>234</v>
      </c>
      <c r="J901" s="19" t="n">
        <v>20</v>
      </c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 t="n">
        <v>14</v>
      </c>
      <c r="W901" s="19"/>
      <c r="X901" s="19" t="n">
        <v>5</v>
      </c>
      <c r="Y901" s="19"/>
      <c r="Z901" s="19"/>
      <c r="AA901" s="19"/>
      <c r="AB901" s="19"/>
      <c r="AC901" s="19" t="n">
        <v>10</v>
      </c>
      <c r="AD901" s="19"/>
      <c r="AE901" s="19"/>
      <c r="AF901" s="19"/>
      <c r="AG901" s="19"/>
      <c r="AH901" s="19" t="n">
        <v>29</v>
      </c>
      <c r="AI901" s="19"/>
      <c r="AJ901" s="19"/>
      <c r="AK901" s="19"/>
      <c r="AL901" s="19"/>
      <c r="AM901" s="19"/>
      <c r="AN901" s="19"/>
      <c r="AO901" s="19" t="n">
        <v>35</v>
      </c>
      <c r="AP901" s="19" t="n">
        <v>4</v>
      </c>
      <c r="AQ901" s="19"/>
      <c r="AR901" s="19"/>
      <c r="AS901" s="20" t="str">
        <f aca="false">HYPERLINK("http://www.openstreetmap.org/?mlat=33.3039&amp;mlon=44.3742&amp;zoom=12#map=12/33.3039/44.3742","Maplink1")</f>
        <v>Maplink1</v>
      </c>
      <c r="AT901" s="20" t="str">
        <f aca="false">HYPERLINK("https://www.google.iq/maps/search/+33.3039,44.3742/@33.3039,44.3742,14z?hl=en","Maplink2")</f>
        <v>Maplink2</v>
      </c>
      <c r="AU901" s="20" t="str">
        <f aca="false">HYPERLINK("http://www.bing.com/maps/?lvl=14&amp;sty=h&amp;cp=33.3039~44.3742&amp;sp=point.33.3039_44.3742","Maplink3")</f>
        <v>Maplink3</v>
      </c>
    </row>
    <row r="902" customFormat="false" ht="15" hidden="false" customHeight="true" outlineLevel="0" collapsed="false">
      <c r="A902" s="15" t="n">
        <v>21745</v>
      </c>
      <c r="B902" s="16" t="s">
        <v>17</v>
      </c>
      <c r="C902" s="16" t="s">
        <v>1709</v>
      </c>
      <c r="D902" s="16" t="s">
        <v>1802</v>
      </c>
      <c r="E902" s="17" t="s">
        <v>1803</v>
      </c>
      <c r="F902" s="16" t="n">
        <v>33.34001491</v>
      </c>
      <c r="G902" s="16" t="n">
        <v>44.38092193</v>
      </c>
      <c r="H902" s="18" t="n">
        <v>182</v>
      </c>
      <c r="I902" s="18" t="n">
        <v>1092</v>
      </c>
      <c r="J902" s="19" t="n">
        <v>152</v>
      </c>
      <c r="K902" s="19"/>
      <c r="L902" s="19"/>
      <c r="M902" s="19"/>
      <c r="N902" s="19"/>
      <c r="O902" s="19" t="n">
        <v>3</v>
      </c>
      <c r="P902" s="19"/>
      <c r="Q902" s="19"/>
      <c r="R902" s="19"/>
      <c r="S902" s="19"/>
      <c r="T902" s="19"/>
      <c r="U902" s="19"/>
      <c r="V902" s="19" t="n">
        <v>10</v>
      </c>
      <c r="W902" s="19"/>
      <c r="X902" s="19" t="n">
        <v>17</v>
      </c>
      <c r="Y902" s="19"/>
      <c r="Z902" s="19"/>
      <c r="AA902" s="19"/>
      <c r="AB902" s="19"/>
      <c r="AC902" s="19" t="n">
        <v>27</v>
      </c>
      <c r="AD902" s="19"/>
      <c r="AE902" s="19"/>
      <c r="AF902" s="19"/>
      <c r="AG902" s="19" t="n">
        <v>24</v>
      </c>
      <c r="AH902" s="19" t="n">
        <v>84</v>
      </c>
      <c r="AI902" s="19" t="n">
        <v>43</v>
      </c>
      <c r="AJ902" s="19" t="n">
        <v>4</v>
      </c>
      <c r="AK902" s="19"/>
      <c r="AL902" s="19"/>
      <c r="AM902" s="19"/>
      <c r="AN902" s="19"/>
      <c r="AO902" s="19" t="n">
        <v>109</v>
      </c>
      <c r="AP902" s="19" t="n">
        <v>73</v>
      </c>
      <c r="AQ902" s="19"/>
      <c r="AR902" s="19"/>
      <c r="AS902" s="20" t="str">
        <f aca="false">HYPERLINK("http://www.openstreetmap.org/?mlat=33.34&amp;mlon=44.3809&amp;zoom=12#map=12/33.34/44.3809","Maplink1")</f>
        <v>Maplink1</v>
      </c>
      <c r="AT902" s="20" t="str">
        <f aca="false">HYPERLINK("https://www.google.iq/maps/search/+33.34,44.3809/@33.34,44.3809,14z?hl=en","Maplink2")</f>
        <v>Maplink2</v>
      </c>
      <c r="AU902" s="20" t="str">
        <f aca="false">HYPERLINK("http://www.bing.com/maps/?lvl=14&amp;sty=h&amp;cp=33.34~44.3809&amp;sp=point.33.34_44.3809","Maplink3")</f>
        <v>Maplink3</v>
      </c>
    </row>
    <row r="903" customFormat="false" ht="15" hidden="false" customHeight="true" outlineLevel="0" collapsed="false">
      <c r="A903" s="15" t="n">
        <v>27195</v>
      </c>
      <c r="B903" s="16" t="s">
        <v>17</v>
      </c>
      <c r="C903" s="16" t="s">
        <v>1709</v>
      </c>
      <c r="D903" s="16" t="s">
        <v>1804</v>
      </c>
      <c r="E903" s="17" t="s">
        <v>1805</v>
      </c>
      <c r="F903" s="16" t="n">
        <v>33.33609</v>
      </c>
      <c r="G903" s="16" t="n">
        <v>44.3802</v>
      </c>
      <c r="H903" s="18" t="n">
        <v>18</v>
      </c>
      <c r="I903" s="18" t="n">
        <v>108</v>
      </c>
      <c r="J903" s="19" t="n">
        <v>9</v>
      </c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 t="n">
        <v>1</v>
      </c>
      <c r="W903" s="19"/>
      <c r="X903" s="19" t="n">
        <v>8</v>
      </c>
      <c r="Y903" s="19"/>
      <c r="Z903" s="19"/>
      <c r="AA903" s="19"/>
      <c r="AB903" s="19"/>
      <c r="AC903" s="19" t="n">
        <v>8</v>
      </c>
      <c r="AD903" s="19"/>
      <c r="AE903" s="19"/>
      <c r="AF903" s="19"/>
      <c r="AG903" s="19"/>
      <c r="AH903" s="19" t="n">
        <v>10</v>
      </c>
      <c r="AI903" s="19"/>
      <c r="AJ903" s="19"/>
      <c r="AK903" s="19"/>
      <c r="AL903" s="19"/>
      <c r="AM903" s="19"/>
      <c r="AN903" s="19"/>
      <c r="AO903" s="19" t="n">
        <v>13</v>
      </c>
      <c r="AP903" s="19" t="n">
        <v>5</v>
      </c>
      <c r="AQ903" s="19"/>
      <c r="AR903" s="19"/>
      <c r="AS903" s="20" t="str">
        <f aca="false">HYPERLINK("http://www.openstreetmap.org/?mlat=33.3361&amp;mlon=44.3802&amp;zoom=12#map=12/33.3361/44.3802","Maplink1")</f>
        <v>Maplink1</v>
      </c>
      <c r="AT903" s="20" t="str">
        <f aca="false">HYPERLINK("https://www.google.iq/maps/search/+33.3361,44.3802/@33.3361,44.3802,14z?hl=en","Maplink2")</f>
        <v>Maplink2</v>
      </c>
      <c r="AU903" s="20" t="str">
        <f aca="false">HYPERLINK("http://www.bing.com/maps/?lvl=14&amp;sty=h&amp;cp=33.3361~44.3802&amp;sp=point.33.3361_44.3802","Maplink3")</f>
        <v>Maplink3</v>
      </c>
    </row>
    <row r="904" customFormat="false" ht="15" hidden="false" customHeight="true" outlineLevel="0" collapsed="false">
      <c r="A904" s="15" t="n">
        <v>21460</v>
      </c>
      <c r="B904" s="16" t="s">
        <v>17</v>
      </c>
      <c r="C904" s="16" t="s">
        <v>1709</v>
      </c>
      <c r="D904" s="16" t="s">
        <v>1806</v>
      </c>
      <c r="E904" s="17" t="s">
        <v>1807</v>
      </c>
      <c r="F904" s="16" t="n">
        <v>33.31658738</v>
      </c>
      <c r="G904" s="16" t="n">
        <v>44.29715269</v>
      </c>
      <c r="H904" s="18" t="n">
        <v>374</v>
      </c>
      <c r="I904" s="18" t="n">
        <v>2244</v>
      </c>
      <c r="J904" s="19" t="n">
        <v>330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 t="n">
        <v>8</v>
      </c>
      <c r="W904" s="19"/>
      <c r="X904" s="19" t="n">
        <v>36</v>
      </c>
      <c r="Y904" s="19"/>
      <c r="Z904" s="19"/>
      <c r="AA904" s="19"/>
      <c r="AB904" s="19"/>
      <c r="AC904" s="19" t="n">
        <v>124</v>
      </c>
      <c r="AD904" s="19"/>
      <c r="AE904" s="19"/>
      <c r="AF904" s="19"/>
      <c r="AG904" s="19"/>
      <c r="AH904" s="19" t="n">
        <v>250</v>
      </c>
      <c r="AI904" s="19"/>
      <c r="AJ904" s="19"/>
      <c r="AK904" s="19"/>
      <c r="AL904" s="19" t="n">
        <v>50</v>
      </c>
      <c r="AM904" s="19" t="n">
        <v>75</v>
      </c>
      <c r="AN904" s="19"/>
      <c r="AO904" s="19" t="n">
        <v>144</v>
      </c>
      <c r="AP904" s="19" t="n">
        <v>85</v>
      </c>
      <c r="AQ904" s="19" t="n">
        <v>20</v>
      </c>
      <c r="AR904" s="19"/>
      <c r="AS904" s="20" t="str">
        <f aca="false">HYPERLINK("http://www.openstreetmap.org/?mlat=33.3166&amp;mlon=44.2972&amp;zoom=12#map=12/33.3166/44.2972","Maplink1")</f>
        <v>Maplink1</v>
      </c>
      <c r="AT904" s="20" t="str">
        <f aca="false">HYPERLINK("https://www.google.iq/maps/search/+33.3166,44.2972/@33.3166,44.2972,14z?hl=en","Maplink2")</f>
        <v>Maplink2</v>
      </c>
      <c r="AU904" s="20" t="str">
        <f aca="false">HYPERLINK("http://www.bing.com/maps/?lvl=14&amp;sty=h&amp;cp=33.3166~44.2972&amp;sp=point.33.3166_44.2972","Maplink3")</f>
        <v>Maplink3</v>
      </c>
    </row>
    <row r="905" customFormat="false" ht="15" hidden="false" customHeight="true" outlineLevel="0" collapsed="false">
      <c r="A905" s="15" t="n">
        <v>25206</v>
      </c>
      <c r="B905" s="16" t="s">
        <v>17</v>
      </c>
      <c r="C905" s="16" t="s">
        <v>1709</v>
      </c>
      <c r="D905" s="16" t="s">
        <v>1808</v>
      </c>
      <c r="E905" s="17" t="s">
        <v>1809</v>
      </c>
      <c r="F905" s="16" t="n">
        <v>33.31339031</v>
      </c>
      <c r="G905" s="16" t="n">
        <v>44.29648801</v>
      </c>
      <c r="H905" s="18" t="n">
        <v>625</v>
      </c>
      <c r="I905" s="18" t="n">
        <v>3750</v>
      </c>
      <c r="J905" s="19" t="n">
        <v>583</v>
      </c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 t="n">
        <v>22</v>
      </c>
      <c r="W905" s="19"/>
      <c r="X905" s="19" t="n">
        <v>20</v>
      </c>
      <c r="Y905" s="19"/>
      <c r="Z905" s="19"/>
      <c r="AA905" s="19"/>
      <c r="AB905" s="19"/>
      <c r="AC905" s="19" t="n">
        <v>110</v>
      </c>
      <c r="AD905" s="19"/>
      <c r="AE905" s="19"/>
      <c r="AF905" s="19"/>
      <c r="AG905" s="19"/>
      <c r="AH905" s="19" t="n">
        <v>515</v>
      </c>
      <c r="AI905" s="19"/>
      <c r="AJ905" s="19"/>
      <c r="AK905" s="19"/>
      <c r="AL905" s="19"/>
      <c r="AM905" s="19" t="n">
        <v>22</v>
      </c>
      <c r="AN905" s="19"/>
      <c r="AO905" s="19" t="n">
        <v>328</v>
      </c>
      <c r="AP905" s="19" t="n">
        <v>267</v>
      </c>
      <c r="AQ905" s="19" t="n">
        <v>8</v>
      </c>
      <c r="AR905" s="19"/>
      <c r="AS905" s="20" t="str">
        <f aca="false">HYPERLINK("http://www.openstreetmap.org/?mlat=33.3134&amp;mlon=44.2965&amp;zoom=12#map=12/33.3134/44.2965","Maplink1")</f>
        <v>Maplink1</v>
      </c>
      <c r="AT905" s="20" t="str">
        <f aca="false">HYPERLINK("https://www.google.iq/maps/search/+33.3134,44.2965/@33.3134,44.2965,14z?hl=en","Maplink2")</f>
        <v>Maplink2</v>
      </c>
      <c r="AU905" s="20" t="str">
        <f aca="false">HYPERLINK("http://www.bing.com/maps/?lvl=14&amp;sty=h&amp;cp=33.3134~44.2965&amp;sp=point.33.3134_44.2965","Maplink3")</f>
        <v>Maplink3</v>
      </c>
    </row>
    <row r="906" customFormat="false" ht="15" hidden="false" customHeight="true" outlineLevel="0" collapsed="false">
      <c r="A906" s="15" t="n">
        <v>27185</v>
      </c>
      <c r="B906" s="16" t="s">
        <v>17</v>
      </c>
      <c r="C906" s="16" t="s">
        <v>1709</v>
      </c>
      <c r="D906" s="16" t="s">
        <v>1810</v>
      </c>
      <c r="E906" s="17" t="s">
        <v>1811</v>
      </c>
      <c r="F906" s="16" t="n">
        <v>33.22484108</v>
      </c>
      <c r="G906" s="16" t="n">
        <v>44.345602</v>
      </c>
      <c r="H906" s="18" t="n">
        <v>53</v>
      </c>
      <c r="I906" s="18" t="n">
        <v>318</v>
      </c>
      <c r="J906" s="19" t="n">
        <v>19</v>
      </c>
      <c r="K906" s="19"/>
      <c r="L906" s="19"/>
      <c r="M906" s="19"/>
      <c r="N906" s="19"/>
      <c r="O906" s="19"/>
      <c r="P906" s="19"/>
      <c r="Q906" s="19"/>
      <c r="R906" s="19" t="n">
        <v>2</v>
      </c>
      <c r="S906" s="19"/>
      <c r="T906" s="19"/>
      <c r="U906" s="19"/>
      <c r="V906" s="19" t="n">
        <v>23</v>
      </c>
      <c r="W906" s="19"/>
      <c r="X906" s="19" t="n">
        <v>9</v>
      </c>
      <c r="Y906" s="19"/>
      <c r="Z906" s="19"/>
      <c r="AA906" s="19"/>
      <c r="AB906" s="19"/>
      <c r="AC906" s="19" t="n">
        <v>19</v>
      </c>
      <c r="AD906" s="19"/>
      <c r="AE906" s="19"/>
      <c r="AF906" s="19"/>
      <c r="AG906" s="19"/>
      <c r="AH906" s="19" t="n">
        <v>34</v>
      </c>
      <c r="AI906" s="19"/>
      <c r="AJ906" s="19"/>
      <c r="AK906" s="19"/>
      <c r="AL906" s="19"/>
      <c r="AM906" s="19" t="n">
        <v>18</v>
      </c>
      <c r="AN906" s="19"/>
      <c r="AO906" s="19"/>
      <c r="AP906" s="19" t="n">
        <v>35</v>
      </c>
      <c r="AQ906" s="19"/>
      <c r="AR906" s="19"/>
      <c r="AS906" s="20" t="str">
        <f aca="false">HYPERLINK("http://www.openstreetmap.org/?mlat=33.2248&amp;mlon=44.3456&amp;zoom=12#map=12/33.2248/44.3456","Maplink1")</f>
        <v>Maplink1</v>
      </c>
      <c r="AT906" s="20" t="str">
        <f aca="false">HYPERLINK("https://www.google.iq/maps/search/+33.2248,44.3456/@33.2248,44.3456,14z?hl=en","Maplink2")</f>
        <v>Maplink2</v>
      </c>
      <c r="AU906" s="20" t="str">
        <f aca="false">HYPERLINK("http://www.bing.com/maps/?lvl=14&amp;sty=h&amp;cp=33.2248~44.3456&amp;sp=point.33.2248_44.3456","Maplink3")</f>
        <v>Maplink3</v>
      </c>
    </row>
    <row r="907" customFormat="false" ht="15" hidden="false" customHeight="true" outlineLevel="0" collapsed="false">
      <c r="A907" s="15" t="n">
        <v>23574</v>
      </c>
      <c r="B907" s="16" t="s">
        <v>17</v>
      </c>
      <c r="C907" s="16" t="s">
        <v>1709</v>
      </c>
      <c r="D907" s="16" t="s">
        <v>1812</v>
      </c>
      <c r="E907" s="17" t="s">
        <v>1813</v>
      </c>
      <c r="F907" s="16" t="n">
        <v>33.22393676</v>
      </c>
      <c r="G907" s="16" t="n">
        <v>44.34348047</v>
      </c>
      <c r="H907" s="18" t="n">
        <v>59</v>
      </c>
      <c r="I907" s="18" t="n">
        <v>354</v>
      </c>
      <c r="J907" s="19" t="n">
        <v>9</v>
      </c>
      <c r="K907" s="19"/>
      <c r="L907" s="19"/>
      <c r="M907" s="19"/>
      <c r="N907" s="19"/>
      <c r="O907" s="19" t="n">
        <v>14</v>
      </c>
      <c r="P907" s="19"/>
      <c r="Q907" s="19"/>
      <c r="R907" s="19"/>
      <c r="S907" s="19"/>
      <c r="T907" s="19"/>
      <c r="U907" s="19"/>
      <c r="V907" s="19" t="n">
        <v>18</v>
      </c>
      <c r="W907" s="19"/>
      <c r="X907" s="19" t="n">
        <v>18</v>
      </c>
      <c r="Y907" s="19"/>
      <c r="Z907" s="19"/>
      <c r="AA907" s="19"/>
      <c r="AB907" s="19"/>
      <c r="AC907" s="19" t="n">
        <v>10</v>
      </c>
      <c r="AD907" s="19"/>
      <c r="AE907" s="19"/>
      <c r="AF907" s="19"/>
      <c r="AG907" s="19"/>
      <c r="AH907" s="19" t="n">
        <v>49</v>
      </c>
      <c r="AI907" s="19"/>
      <c r="AJ907" s="19"/>
      <c r="AK907" s="19"/>
      <c r="AL907" s="19"/>
      <c r="AM907" s="19" t="n">
        <v>22</v>
      </c>
      <c r="AN907" s="19" t="n">
        <v>19</v>
      </c>
      <c r="AO907" s="19"/>
      <c r="AP907" s="19" t="n">
        <v>9</v>
      </c>
      <c r="AQ907" s="19"/>
      <c r="AR907" s="19" t="n">
        <v>9</v>
      </c>
      <c r="AS907" s="20" t="str">
        <f aca="false">HYPERLINK("http://www.openstreetmap.org/?mlat=33.2239&amp;mlon=44.3435&amp;zoom=12#map=12/33.2239/44.3435","Maplink1")</f>
        <v>Maplink1</v>
      </c>
      <c r="AT907" s="20" t="str">
        <f aca="false">HYPERLINK("https://www.google.iq/maps/search/+33.2239,44.3435/@33.2239,44.3435,14z?hl=en","Maplink2")</f>
        <v>Maplink2</v>
      </c>
      <c r="AU907" s="20" t="str">
        <f aca="false">HYPERLINK("http://www.bing.com/maps/?lvl=14&amp;sty=h&amp;cp=33.2239~44.3435&amp;sp=point.33.2239_44.3435","Maplink3")</f>
        <v>Maplink3</v>
      </c>
    </row>
    <row r="908" customFormat="false" ht="15" hidden="false" customHeight="true" outlineLevel="0" collapsed="false">
      <c r="A908" s="15" t="n">
        <v>23985</v>
      </c>
      <c r="B908" s="16" t="s">
        <v>17</v>
      </c>
      <c r="C908" s="16" t="s">
        <v>1709</v>
      </c>
      <c r="D908" s="16" t="s">
        <v>1814</v>
      </c>
      <c r="E908" s="17" t="s">
        <v>1815</v>
      </c>
      <c r="F908" s="16" t="n">
        <v>33.23575795</v>
      </c>
      <c r="G908" s="16" t="n">
        <v>44.39335432</v>
      </c>
      <c r="H908" s="18" t="n">
        <v>229</v>
      </c>
      <c r="I908" s="18" t="n">
        <v>1374</v>
      </c>
      <c r="J908" s="19" t="n">
        <v>149</v>
      </c>
      <c r="K908" s="19" t="n">
        <v>4</v>
      </c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 t="n">
        <v>27</v>
      </c>
      <c r="W908" s="19"/>
      <c r="X908" s="19" t="n">
        <v>49</v>
      </c>
      <c r="Y908" s="19"/>
      <c r="Z908" s="19"/>
      <c r="AA908" s="19"/>
      <c r="AB908" s="19"/>
      <c r="AC908" s="19" t="n">
        <v>89</v>
      </c>
      <c r="AD908" s="19"/>
      <c r="AE908" s="19"/>
      <c r="AF908" s="19"/>
      <c r="AG908" s="19"/>
      <c r="AH908" s="19" t="n">
        <v>140</v>
      </c>
      <c r="AI908" s="19"/>
      <c r="AJ908" s="19"/>
      <c r="AK908" s="19"/>
      <c r="AL908" s="19" t="n">
        <v>66</v>
      </c>
      <c r="AM908" s="19" t="n">
        <v>23</v>
      </c>
      <c r="AN908" s="19"/>
      <c r="AO908" s="19" t="n">
        <v>95</v>
      </c>
      <c r="AP908" s="19" t="n">
        <v>41</v>
      </c>
      <c r="AQ908" s="19"/>
      <c r="AR908" s="19" t="n">
        <v>4</v>
      </c>
      <c r="AS908" s="20" t="str">
        <f aca="false">HYPERLINK("http://www.openstreetmap.org/?mlat=33.2358&amp;mlon=44.3934&amp;zoom=12#map=12/33.2358/44.3934","Maplink1")</f>
        <v>Maplink1</v>
      </c>
      <c r="AT908" s="20" t="str">
        <f aca="false">HYPERLINK("https://www.google.iq/maps/search/+33.2358,44.3934/@33.2358,44.3934,14z?hl=en","Maplink2")</f>
        <v>Maplink2</v>
      </c>
      <c r="AU908" s="20" t="str">
        <f aca="false">HYPERLINK("http://www.bing.com/maps/?lvl=14&amp;sty=h&amp;cp=33.2358~44.3934&amp;sp=point.33.2358_44.3934","Maplink3")</f>
        <v>Maplink3</v>
      </c>
    </row>
    <row r="909" customFormat="false" ht="15" hidden="false" customHeight="true" outlineLevel="0" collapsed="false">
      <c r="A909" s="15" t="n">
        <v>27410</v>
      </c>
      <c r="B909" s="16" t="s">
        <v>17</v>
      </c>
      <c r="C909" s="16" t="s">
        <v>1709</v>
      </c>
      <c r="D909" s="16" t="s">
        <v>1816</v>
      </c>
      <c r="E909" s="17" t="s">
        <v>1817</v>
      </c>
      <c r="F909" s="16" t="n">
        <v>33.23581228</v>
      </c>
      <c r="G909" s="16" t="n">
        <v>44.39718341</v>
      </c>
      <c r="H909" s="18" t="n">
        <v>56</v>
      </c>
      <c r="I909" s="18" t="n">
        <v>336</v>
      </c>
      <c r="J909" s="19" t="n">
        <v>39</v>
      </c>
      <c r="K909" s="19"/>
      <c r="L909" s="19" t="n">
        <v>10</v>
      </c>
      <c r="M909" s="19"/>
      <c r="N909" s="19"/>
      <c r="O909" s="19"/>
      <c r="P909" s="19"/>
      <c r="Q909" s="19"/>
      <c r="R909" s="19"/>
      <c r="S909" s="19"/>
      <c r="T909" s="19"/>
      <c r="U909" s="19"/>
      <c r="V909" s="19" t="n">
        <v>7</v>
      </c>
      <c r="W909" s="19"/>
      <c r="X909" s="19"/>
      <c r="Y909" s="19"/>
      <c r="Z909" s="19"/>
      <c r="AA909" s="19"/>
      <c r="AB909" s="19"/>
      <c r="AC909" s="19" t="n">
        <v>22</v>
      </c>
      <c r="AD909" s="19"/>
      <c r="AE909" s="19"/>
      <c r="AF909" s="19"/>
      <c r="AG909" s="19"/>
      <c r="AH909" s="19" t="n">
        <v>34</v>
      </c>
      <c r="AI909" s="19"/>
      <c r="AJ909" s="19"/>
      <c r="AK909" s="19"/>
      <c r="AL909" s="19"/>
      <c r="AM909" s="19" t="n">
        <v>6</v>
      </c>
      <c r="AN909" s="19"/>
      <c r="AO909" s="19" t="n">
        <v>23</v>
      </c>
      <c r="AP909" s="19" t="n">
        <v>25</v>
      </c>
      <c r="AQ909" s="19"/>
      <c r="AR909" s="19" t="n">
        <v>2</v>
      </c>
      <c r="AS909" s="20" t="str">
        <f aca="false">HYPERLINK("http://www.openstreetmap.org/?mlat=33.2358&amp;mlon=44.3972&amp;zoom=12#map=12/33.2358/44.3972","Maplink1")</f>
        <v>Maplink1</v>
      </c>
      <c r="AT909" s="20" t="str">
        <f aca="false">HYPERLINK("https://www.google.iq/maps/search/+33.2358,44.3972/@33.2358,44.3972,14z?hl=en","Maplink2")</f>
        <v>Maplink2</v>
      </c>
      <c r="AU909" s="20" t="str">
        <f aca="false">HYPERLINK("http://www.bing.com/maps/?lvl=14&amp;sty=h&amp;cp=33.2358~44.3972&amp;sp=point.33.2358_44.3972","Maplink3")</f>
        <v>Maplink3</v>
      </c>
    </row>
    <row r="910" customFormat="false" ht="15" hidden="false" customHeight="true" outlineLevel="0" collapsed="false">
      <c r="A910" s="15" t="n">
        <v>24712</v>
      </c>
      <c r="B910" s="16" t="s">
        <v>17</v>
      </c>
      <c r="C910" s="16" t="s">
        <v>1709</v>
      </c>
      <c r="D910" s="16" t="s">
        <v>1818</v>
      </c>
      <c r="E910" s="17" t="s">
        <v>1819</v>
      </c>
      <c r="F910" s="16" t="n">
        <v>33.23390082</v>
      </c>
      <c r="G910" s="16" t="n">
        <v>44.40365889</v>
      </c>
      <c r="H910" s="18" t="n">
        <v>231</v>
      </c>
      <c r="I910" s="18" t="n">
        <v>1386</v>
      </c>
      <c r="J910" s="19" t="n">
        <v>158</v>
      </c>
      <c r="K910" s="19"/>
      <c r="L910" s="19" t="n">
        <v>45</v>
      </c>
      <c r="M910" s="19"/>
      <c r="N910" s="19"/>
      <c r="O910" s="19"/>
      <c r="P910" s="19"/>
      <c r="Q910" s="19"/>
      <c r="R910" s="19"/>
      <c r="S910" s="19"/>
      <c r="T910" s="19"/>
      <c r="U910" s="19"/>
      <c r="V910" s="19" t="n">
        <v>28</v>
      </c>
      <c r="W910" s="19"/>
      <c r="X910" s="19"/>
      <c r="Y910" s="19"/>
      <c r="Z910" s="19"/>
      <c r="AA910" s="19"/>
      <c r="AB910" s="19"/>
      <c r="AC910" s="19" t="n">
        <v>49</v>
      </c>
      <c r="AD910" s="19"/>
      <c r="AE910" s="19"/>
      <c r="AF910" s="19"/>
      <c r="AG910" s="19"/>
      <c r="AH910" s="19" t="n">
        <v>182</v>
      </c>
      <c r="AI910" s="19"/>
      <c r="AJ910" s="19"/>
      <c r="AK910" s="19"/>
      <c r="AL910" s="19"/>
      <c r="AM910" s="19" t="n">
        <v>25</v>
      </c>
      <c r="AN910" s="19"/>
      <c r="AO910" s="19" t="n">
        <v>176</v>
      </c>
      <c r="AP910" s="19" t="n">
        <v>30</v>
      </c>
      <c r="AQ910" s="19"/>
      <c r="AR910" s="19"/>
      <c r="AS910" s="20" t="str">
        <f aca="false">HYPERLINK("http://www.openstreetmap.org/?mlat=33.2339&amp;mlon=44.4037&amp;zoom=12#map=12/33.2339/44.4037","Maplink1")</f>
        <v>Maplink1</v>
      </c>
      <c r="AT910" s="20" t="str">
        <f aca="false">HYPERLINK("https://www.google.iq/maps/search/+33.2339,44.4037/@33.2339,44.4037,14z?hl=en","Maplink2")</f>
        <v>Maplink2</v>
      </c>
      <c r="AU910" s="20" t="str">
        <f aca="false">HYPERLINK("http://www.bing.com/maps/?lvl=14&amp;sty=h&amp;cp=33.2339~44.4037&amp;sp=point.33.2339_44.4037","Maplink3")</f>
        <v>Maplink3</v>
      </c>
    </row>
    <row r="911" customFormat="false" ht="15" hidden="false" customHeight="true" outlineLevel="0" collapsed="false">
      <c r="A911" s="15" t="n">
        <v>7732</v>
      </c>
      <c r="B911" s="16" t="s">
        <v>17</v>
      </c>
      <c r="C911" s="16" t="s">
        <v>1709</v>
      </c>
      <c r="D911" s="16" t="s">
        <v>1820</v>
      </c>
      <c r="E911" s="17" t="s">
        <v>1821</v>
      </c>
      <c r="F911" s="16" t="n">
        <v>33.235105</v>
      </c>
      <c r="G911" s="16" t="n">
        <v>44.3164349</v>
      </c>
      <c r="H911" s="18" t="n">
        <v>315</v>
      </c>
      <c r="I911" s="18" t="n">
        <v>1890</v>
      </c>
      <c r="J911" s="19" t="n">
        <v>63</v>
      </c>
      <c r="K911" s="19"/>
      <c r="L911" s="19" t="n">
        <v>161</v>
      </c>
      <c r="M911" s="19"/>
      <c r="N911" s="19"/>
      <c r="O911" s="19"/>
      <c r="P911" s="19"/>
      <c r="Q911" s="19"/>
      <c r="R911" s="19" t="n">
        <v>6</v>
      </c>
      <c r="S911" s="19"/>
      <c r="T911" s="19"/>
      <c r="U911" s="19"/>
      <c r="V911" s="19" t="n">
        <v>27</v>
      </c>
      <c r="W911" s="19"/>
      <c r="X911" s="19" t="n">
        <v>58</v>
      </c>
      <c r="Y911" s="19"/>
      <c r="Z911" s="19"/>
      <c r="AA911" s="19"/>
      <c r="AB911" s="19"/>
      <c r="AC911" s="19" t="n">
        <v>100</v>
      </c>
      <c r="AD911" s="19"/>
      <c r="AE911" s="19"/>
      <c r="AF911" s="19"/>
      <c r="AG911" s="19"/>
      <c r="AH911" s="19" t="n">
        <v>215</v>
      </c>
      <c r="AI911" s="19"/>
      <c r="AJ911" s="19"/>
      <c r="AK911" s="19"/>
      <c r="AL911" s="19"/>
      <c r="AM911" s="19" t="n">
        <v>103</v>
      </c>
      <c r="AN911" s="19"/>
      <c r="AO911" s="19" t="n">
        <v>72</v>
      </c>
      <c r="AP911" s="19" t="n">
        <v>135</v>
      </c>
      <c r="AQ911" s="19"/>
      <c r="AR911" s="19" t="n">
        <v>5</v>
      </c>
      <c r="AS911" s="20" t="str">
        <f aca="false">HYPERLINK("http://www.openstreetmap.org/?mlat=33.2351&amp;mlon=44.3164&amp;zoom=12#map=12/33.2351/44.3164","Maplink1")</f>
        <v>Maplink1</v>
      </c>
      <c r="AT911" s="20" t="str">
        <f aca="false">HYPERLINK("https://www.google.iq/maps/search/+33.2351,44.3164/@33.2351,44.3164,14z?hl=en","Maplink2")</f>
        <v>Maplink2</v>
      </c>
      <c r="AU911" s="20" t="str">
        <f aca="false">HYPERLINK("http://www.bing.com/maps/?lvl=14&amp;sty=h&amp;cp=33.2351~44.3164&amp;sp=point.33.2351_44.3164","Maplink3")</f>
        <v>Maplink3</v>
      </c>
    </row>
    <row r="912" customFormat="false" ht="15" hidden="false" customHeight="true" outlineLevel="0" collapsed="false">
      <c r="A912" s="15" t="n">
        <v>25933</v>
      </c>
      <c r="B912" s="16" t="s">
        <v>17</v>
      </c>
      <c r="C912" s="16" t="s">
        <v>1709</v>
      </c>
      <c r="D912" s="16" t="s">
        <v>1822</v>
      </c>
      <c r="E912" s="17" t="s">
        <v>1823</v>
      </c>
      <c r="F912" s="16" t="n">
        <v>33.31950612</v>
      </c>
      <c r="G912" s="16" t="n">
        <v>44.36168765</v>
      </c>
      <c r="H912" s="18" t="n">
        <v>230</v>
      </c>
      <c r="I912" s="18" t="n">
        <v>1380</v>
      </c>
      <c r="J912" s="19" t="n">
        <v>178</v>
      </c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 t="n">
        <v>42</v>
      </c>
      <c r="W912" s="19"/>
      <c r="X912" s="19" t="n">
        <v>10</v>
      </c>
      <c r="Y912" s="19"/>
      <c r="Z912" s="19"/>
      <c r="AA912" s="19"/>
      <c r="AB912" s="19"/>
      <c r="AC912" s="19" t="n">
        <v>56</v>
      </c>
      <c r="AD912" s="19"/>
      <c r="AE912" s="19"/>
      <c r="AF912" s="19"/>
      <c r="AG912" s="19"/>
      <c r="AH912" s="19" t="n">
        <v>174</v>
      </c>
      <c r="AI912" s="19"/>
      <c r="AJ912" s="19"/>
      <c r="AK912" s="19"/>
      <c r="AL912" s="19"/>
      <c r="AM912" s="19"/>
      <c r="AN912" s="19"/>
      <c r="AO912" s="19" t="n">
        <v>111</v>
      </c>
      <c r="AP912" s="19" t="n">
        <v>111</v>
      </c>
      <c r="AQ912" s="19"/>
      <c r="AR912" s="19" t="n">
        <v>8</v>
      </c>
      <c r="AS912" s="20" t="str">
        <f aca="false">HYPERLINK("http://www.openstreetmap.org/?mlat=33.3195&amp;mlon=44.3617&amp;zoom=12#map=12/33.3195/44.3617","Maplink1")</f>
        <v>Maplink1</v>
      </c>
      <c r="AT912" s="20" t="str">
        <f aca="false">HYPERLINK("https://www.google.iq/maps/search/+33.3195,44.3617/@33.3195,44.3617,14z?hl=en","Maplink2")</f>
        <v>Maplink2</v>
      </c>
      <c r="AU912" s="20" t="str">
        <f aca="false">HYPERLINK("http://www.bing.com/maps/?lvl=14&amp;sty=h&amp;cp=33.3195~44.3617&amp;sp=point.33.3195_44.3617","Maplink3")</f>
        <v>Maplink3</v>
      </c>
    </row>
    <row r="913" customFormat="false" ht="15" hidden="false" customHeight="true" outlineLevel="0" collapsed="false">
      <c r="A913" s="15" t="n">
        <v>25932</v>
      </c>
      <c r="B913" s="16" t="s">
        <v>17</v>
      </c>
      <c r="C913" s="16" t="s">
        <v>1709</v>
      </c>
      <c r="D913" s="16" t="s">
        <v>1824</v>
      </c>
      <c r="E913" s="17" t="s">
        <v>1825</v>
      </c>
      <c r="F913" s="16" t="n">
        <v>33.32124855</v>
      </c>
      <c r="G913" s="16" t="n">
        <v>44.35934457</v>
      </c>
      <c r="H913" s="18" t="n">
        <v>55</v>
      </c>
      <c r="I913" s="18" t="n">
        <v>330</v>
      </c>
      <c r="J913" s="19" t="n">
        <v>17</v>
      </c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 t="n">
        <v>29</v>
      </c>
      <c r="W913" s="19"/>
      <c r="X913" s="19" t="n">
        <v>9</v>
      </c>
      <c r="Y913" s="19"/>
      <c r="Z913" s="19"/>
      <c r="AA913" s="19"/>
      <c r="AB913" s="19"/>
      <c r="AC913" s="19" t="n">
        <v>34</v>
      </c>
      <c r="AD913" s="19"/>
      <c r="AE913" s="19"/>
      <c r="AF913" s="19"/>
      <c r="AG913" s="19"/>
      <c r="AH913" s="19" t="n">
        <v>21</v>
      </c>
      <c r="AI913" s="19"/>
      <c r="AJ913" s="19"/>
      <c r="AK913" s="19"/>
      <c r="AL913" s="19"/>
      <c r="AM913" s="19"/>
      <c r="AN913" s="19" t="n">
        <v>22</v>
      </c>
      <c r="AO913" s="19" t="n">
        <v>16</v>
      </c>
      <c r="AP913" s="19" t="n">
        <v>17</v>
      </c>
      <c r="AQ913" s="19"/>
      <c r="AR913" s="19"/>
      <c r="AS913" s="20" t="str">
        <f aca="false">HYPERLINK("http://www.openstreetmap.org/?mlat=33.3212&amp;mlon=44.3593&amp;zoom=12#map=12/33.3212/44.3593","Maplink1")</f>
        <v>Maplink1</v>
      </c>
      <c r="AT913" s="20" t="str">
        <f aca="false">HYPERLINK("https://www.google.iq/maps/search/+33.3212,44.3593/@33.3212,44.3593,14z?hl=en","Maplink2")</f>
        <v>Maplink2</v>
      </c>
      <c r="AU913" s="20" t="str">
        <f aca="false">HYPERLINK("http://www.bing.com/maps/?lvl=14&amp;sty=h&amp;cp=33.3212~44.3593&amp;sp=point.33.3212_44.3593","Maplink3")</f>
        <v>Maplink3</v>
      </c>
    </row>
    <row r="914" customFormat="false" ht="15" hidden="false" customHeight="true" outlineLevel="0" collapsed="false">
      <c r="A914" s="15" t="n">
        <v>25934</v>
      </c>
      <c r="B914" s="16" t="s">
        <v>17</v>
      </c>
      <c r="C914" s="16" t="s">
        <v>1709</v>
      </c>
      <c r="D914" s="16" t="s">
        <v>1826</v>
      </c>
      <c r="E914" s="17" t="s">
        <v>1827</v>
      </c>
      <c r="F914" s="16" t="n">
        <v>33.32303738</v>
      </c>
      <c r="G914" s="16" t="n">
        <v>44.35853831</v>
      </c>
      <c r="H914" s="18" t="n">
        <v>99</v>
      </c>
      <c r="I914" s="18" t="n">
        <v>594</v>
      </c>
      <c r="J914" s="19" t="n">
        <v>47</v>
      </c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 t="n">
        <v>37</v>
      </c>
      <c r="W914" s="19"/>
      <c r="X914" s="19" t="n">
        <v>15</v>
      </c>
      <c r="Y914" s="19"/>
      <c r="Z914" s="19"/>
      <c r="AA914" s="19"/>
      <c r="AB914" s="19"/>
      <c r="AC914" s="19" t="n">
        <v>29</v>
      </c>
      <c r="AD914" s="19"/>
      <c r="AE914" s="19"/>
      <c r="AF914" s="19"/>
      <c r="AG914" s="19"/>
      <c r="AH914" s="19" t="n">
        <v>70</v>
      </c>
      <c r="AI914" s="19"/>
      <c r="AJ914" s="19"/>
      <c r="AK914" s="19"/>
      <c r="AL914" s="19"/>
      <c r="AM914" s="19"/>
      <c r="AN914" s="19" t="n">
        <v>61</v>
      </c>
      <c r="AO914" s="19"/>
      <c r="AP914" s="19" t="n">
        <v>28</v>
      </c>
      <c r="AQ914" s="19"/>
      <c r="AR914" s="19" t="n">
        <v>10</v>
      </c>
      <c r="AS914" s="20" t="str">
        <f aca="false">HYPERLINK("http://www.openstreetmap.org/?mlat=33.323&amp;mlon=44.3585&amp;zoom=12#map=12/33.323/44.3585","Maplink1")</f>
        <v>Maplink1</v>
      </c>
      <c r="AT914" s="20" t="str">
        <f aca="false">HYPERLINK("https://www.google.iq/maps/search/+33.323,44.3585/@33.323,44.3585,14z?hl=en","Maplink2")</f>
        <v>Maplink2</v>
      </c>
      <c r="AU914" s="20" t="str">
        <f aca="false">HYPERLINK("http://www.bing.com/maps/?lvl=14&amp;sty=h&amp;cp=33.323~44.3585&amp;sp=point.33.323_44.3585","Maplink3")</f>
        <v>Maplink3</v>
      </c>
    </row>
    <row r="915" customFormat="false" ht="15" hidden="false" customHeight="true" outlineLevel="0" collapsed="false">
      <c r="A915" s="15" t="n">
        <v>25935</v>
      </c>
      <c r="B915" s="16" t="s">
        <v>17</v>
      </c>
      <c r="C915" s="16" t="s">
        <v>1709</v>
      </c>
      <c r="D915" s="16" t="s">
        <v>1828</v>
      </c>
      <c r="E915" s="17" t="s">
        <v>1829</v>
      </c>
      <c r="F915" s="16" t="n">
        <v>33.32455752</v>
      </c>
      <c r="G915" s="16" t="n">
        <v>44.35739259</v>
      </c>
      <c r="H915" s="18" t="n">
        <v>82</v>
      </c>
      <c r="I915" s="18" t="n">
        <v>492</v>
      </c>
      <c r="J915" s="19" t="n">
        <v>82</v>
      </c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 t="n">
        <v>32</v>
      </c>
      <c r="AD915" s="19"/>
      <c r="AE915" s="19"/>
      <c r="AF915" s="19"/>
      <c r="AG915" s="19"/>
      <c r="AH915" s="19" t="n">
        <v>50</v>
      </c>
      <c r="AI915" s="19"/>
      <c r="AJ915" s="19"/>
      <c r="AK915" s="19"/>
      <c r="AL915" s="19"/>
      <c r="AM915" s="19"/>
      <c r="AN915" s="19" t="n">
        <v>21</v>
      </c>
      <c r="AO915" s="19"/>
      <c r="AP915" s="19" t="n">
        <v>61</v>
      </c>
      <c r="AQ915" s="19"/>
      <c r="AR915" s="19"/>
      <c r="AS915" s="20" t="str">
        <f aca="false">HYPERLINK("http://www.openstreetmap.org/?mlat=33.3246&amp;mlon=44.3574&amp;zoom=12#map=12/33.3246/44.3574","Maplink1")</f>
        <v>Maplink1</v>
      </c>
      <c r="AT915" s="20" t="str">
        <f aca="false">HYPERLINK("https://www.google.iq/maps/search/+33.3246,44.3574/@33.3246,44.3574,14z?hl=en","Maplink2")</f>
        <v>Maplink2</v>
      </c>
      <c r="AU915" s="20" t="str">
        <f aca="false">HYPERLINK("http://www.bing.com/maps/?lvl=14&amp;sty=h&amp;cp=33.3246~44.3574&amp;sp=point.33.3246_44.3574","Maplink3")</f>
        <v>Maplink3</v>
      </c>
    </row>
    <row r="916" customFormat="false" ht="15" hidden="false" customHeight="true" outlineLevel="0" collapsed="false">
      <c r="A916" s="15" t="n">
        <v>25953</v>
      </c>
      <c r="B916" s="16" t="s">
        <v>17</v>
      </c>
      <c r="C916" s="16" t="s">
        <v>1709</v>
      </c>
      <c r="D916" s="16" t="s">
        <v>1830</v>
      </c>
      <c r="E916" s="17" t="s">
        <v>1831</v>
      </c>
      <c r="F916" s="16" t="n">
        <v>33.29132223</v>
      </c>
      <c r="G916" s="16" t="n">
        <v>44.35201309</v>
      </c>
      <c r="H916" s="18" t="n">
        <v>64</v>
      </c>
      <c r="I916" s="18" t="n">
        <v>384</v>
      </c>
      <c r="J916" s="19" t="n">
        <v>38</v>
      </c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 t="n">
        <v>12</v>
      </c>
      <c r="W916" s="19"/>
      <c r="X916" s="19" t="n">
        <v>14</v>
      </c>
      <c r="Y916" s="19"/>
      <c r="Z916" s="19"/>
      <c r="AA916" s="19"/>
      <c r="AB916" s="19"/>
      <c r="AC916" s="19" t="n">
        <v>20</v>
      </c>
      <c r="AD916" s="19"/>
      <c r="AE916" s="19"/>
      <c r="AF916" s="19"/>
      <c r="AG916" s="19"/>
      <c r="AH916" s="19" t="n">
        <v>44</v>
      </c>
      <c r="AI916" s="19"/>
      <c r="AJ916" s="19"/>
      <c r="AK916" s="19"/>
      <c r="AL916" s="19"/>
      <c r="AM916" s="19"/>
      <c r="AN916" s="19" t="n">
        <v>12</v>
      </c>
      <c r="AO916" s="19"/>
      <c r="AP916" s="19" t="n">
        <v>52</v>
      </c>
      <c r="AQ916" s="19"/>
      <c r="AR916" s="19"/>
      <c r="AS916" s="20" t="str">
        <f aca="false">HYPERLINK("http://www.openstreetmap.org/?mlat=33.2913&amp;mlon=44.352&amp;zoom=12#map=12/33.2913/44.352","Maplink1")</f>
        <v>Maplink1</v>
      </c>
      <c r="AT916" s="20" t="str">
        <f aca="false">HYPERLINK("https://www.google.iq/maps/search/+33.2913,44.352/@33.2913,44.352,14z?hl=en","Maplink2")</f>
        <v>Maplink2</v>
      </c>
      <c r="AU916" s="20" t="str">
        <f aca="false">HYPERLINK("http://www.bing.com/maps/?lvl=14&amp;sty=h&amp;cp=33.2913~44.352&amp;sp=point.33.2913_44.352","Maplink3")</f>
        <v>Maplink3</v>
      </c>
    </row>
    <row r="917" customFormat="false" ht="15" hidden="false" customHeight="true" outlineLevel="0" collapsed="false">
      <c r="A917" s="15" t="n">
        <v>24064</v>
      </c>
      <c r="B917" s="16" t="s">
        <v>17</v>
      </c>
      <c r="C917" s="16" t="s">
        <v>1709</v>
      </c>
      <c r="D917" s="16" t="s">
        <v>1832</v>
      </c>
      <c r="E917" s="17" t="s">
        <v>1833</v>
      </c>
      <c r="F917" s="16" t="n">
        <v>33.28466448</v>
      </c>
      <c r="G917" s="16" t="n">
        <v>44.35514834</v>
      </c>
      <c r="H917" s="18" t="n">
        <v>185</v>
      </c>
      <c r="I917" s="18" t="n">
        <v>1110</v>
      </c>
      <c r="J917" s="19" t="n">
        <v>149</v>
      </c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 t="n">
        <v>14</v>
      </c>
      <c r="W917" s="19"/>
      <c r="X917" s="19" t="n">
        <v>22</v>
      </c>
      <c r="Y917" s="19"/>
      <c r="Z917" s="19"/>
      <c r="AA917" s="19"/>
      <c r="AB917" s="19"/>
      <c r="AC917" s="19" t="n">
        <v>47</v>
      </c>
      <c r="AD917" s="19"/>
      <c r="AE917" s="19"/>
      <c r="AF917" s="19"/>
      <c r="AG917" s="19"/>
      <c r="AH917" s="19" t="n">
        <v>138</v>
      </c>
      <c r="AI917" s="19"/>
      <c r="AJ917" s="19"/>
      <c r="AK917" s="19"/>
      <c r="AL917" s="19" t="n">
        <v>136</v>
      </c>
      <c r="AM917" s="19"/>
      <c r="AN917" s="19" t="n">
        <v>14</v>
      </c>
      <c r="AO917" s="19"/>
      <c r="AP917" s="19" t="n">
        <v>35</v>
      </c>
      <c r="AQ917" s="19"/>
      <c r="AR917" s="19"/>
      <c r="AS917" s="20" t="str">
        <f aca="false">HYPERLINK("http://www.openstreetmap.org/?mlat=33.2847&amp;mlon=44.3551&amp;zoom=12#map=12/33.2847/44.3551","Maplink1")</f>
        <v>Maplink1</v>
      </c>
      <c r="AT917" s="20" t="str">
        <f aca="false">HYPERLINK("https://www.google.iq/maps/search/+33.2847,44.3551/@33.2847,44.3551,14z?hl=en","Maplink2")</f>
        <v>Maplink2</v>
      </c>
      <c r="AU917" s="20" t="str">
        <f aca="false">HYPERLINK("http://www.bing.com/maps/?lvl=14&amp;sty=h&amp;cp=33.2847~44.3551&amp;sp=point.33.2847_44.3551","Maplink3")</f>
        <v>Maplink3</v>
      </c>
    </row>
    <row r="918" customFormat="false" ht="15" hidden="false" customHeight="true" outlineLevel="0" collapsed="false">
      <c r="A918" s="15" t="n">
        <v>25952</v>
      </c>
      <c r="B918" s="16" t="s">
        <v>17</v>
      </c>
      <c r="C918" s="16" t="s">
        <v>1709</v>
      </c>
      <c r="D918" s="16" t="s">
        <v>1834</v>
      </c>
      <c r="E918" s="17" t="s">
        <v>1835</v>
      </c>
      <c r="F918" s="16" t="n">
        <v>33.2900504</v>
      </c>
      <c r="G918" s="16" t="n">
        <v>44.34188163</v>
      </c>
      <c r="H918" s="18" t="n">
        <v>62</v>
      </c>
      <c r="I918" s="18" t="n">
        <v>372</v>
      </c>
      <c r="J918" s="19" t="n">
        <v>29</v>
      </c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 t="n">
        <v>17</v>
      </c>
      <c r="W918" s="19"/>
      <c r="X918" s="19" t="n">
        <v>16</v>
      </c>
      <c r="Y918" s="19"/>
      <c r="Z918" s="19"/>
      <c r="AA918" s="19"/>
      <c r="AB918" s="19"/>
      <c r="AC918" s="19" t="n">
        <v>23</v>
      </c>
      <c r="AD918" s="19"/>
      <c r="AE918" s="19"/>
      <c r="AF918" s="19"/>
      <c r="AG918" s="19"/>
      <c r="AH918" s="19" t="n">
        <v>39</v>
      </c>
      <c r="AI918" s="19"/>
      <c r="AJ918" s="19"/>
      <c r="AK918" s="19"/>
      <c r="AL918" s="19"/>
      <c r="AM918" s="19" t="n">
        <v>17</v>
      </c>
      <c r="AN918" s="19"/>
      <c r="AO918" s="19" t="n">
        <v>8</v>
      </c>
      <c r="AP918" s="19" t="n">
        <v>37</v>
      </c>
      <c r="AQ918" s="19"/>
      <c r="AR918" s="19"/>
      <c r="AS918" s="20" t="str">
        <f aca="false">HYPERLINK("http://www.openstreetmap.org/?mlat=33.2901&amp;mlon=44.3419&amp;zoom=12#map=12/33.2901/44.3419","Maplink1")</f>
        <v>Maplink1</v>
      </c>
      <c r="AT918" s="20" t="str">
        <f aca="false">HYPERLINK("https://www.google.iq/maps/search/+33.2901,44.3419/@33.2901,44.3419,14z?hl=en","Maplink2")</f>
        <v>Maplink2</v>
      </c>
      <c r="AU918" s="20" t="str">
        <f aca="false">HYPERLINK("http://www.bing.com/maps/?lvl=14&amp;sty=h&amp;cp=33.2901~44.3419&amp;sp=point.33.2901_44.3419","Maplink3")</f>
        <v>Maplink3</v>
      </c>
    </row>
    <row r="919" customFormat="false" ht="15" hidden="false" customHeight="true" outlineLevel="0" collapsed="false">
      <c r="A919" s="15" t="n">
        <v>7587</v>
      </c>
      <c r="B919" s="16" t="s">
        <v>17</v>
      </c>
      <c r="C919" s="16" t="s">
        <v>1709</v>
      </c>
      <c r="D919" s="16" t="s">
        <v>1836</v>
      </c>
      <c r="E919" s="17" t="s">
        <v>1837</v>
      </c>
      <c r="F919" s="16" t="n">
        <v>33.14277082</v>
      </c>
      <c r="G919" s="16" t="n">
        <v>44.30622691</v>
      </c>
      <c r="H919" s="18" t="n">
        <v>572</v>
      </c>
      <c r="I919" s="18" t="n">
        <v>3432</v>
      </c>
      <c r="J919" s="19" t="n">
        <v>525</v>
      </c>
      <c r="K919" s="19"/>
      <c r="L919" s="19" t="n">
        <v>44</v>
      </c>
      <c r="M919" s="19"/>
      <c r="N919" s="19"/>
      <c r="O919" s="19"/>
      <c r="P919" s="19"/>
      <c r="Q919" s="19"/>
      <c r="R919" s="19"/>
      <c r="S919" s="19"/>
      <c r="T919" s="19"/>
      <c r="U919" s="19"/>
      <c r="V919" s="19" t="n">
        <v>3</v>
      </c>
      <c r="W919" s="19"/>
      <c r="X919" s="19"/>
      <c r="Y919" s="19"/>
      <c r="Z919" s="19"/>
      <c r="AA919" s="19"/>
      <c r="AB919" s="19"/>
      <c r="AC919" s="19" t="n">
        <v>274</v>
      </c>
      <c r="AD919" s="19"/>
      <c r="AE919" s="19"/>
      <c r="AF919" s="19"/>
      <c r="AG919" s="19"/>
      <c r="AH919" s="19" t="n">
        <v>298</v>
      </c>
      <c r="AI919" s="19"/>
      <c r="AJ919" s="19"/>
      <c r="AK919" s="19"/>
      <c r="AL919" s="19"/>
      <c r="AM919" s="19" t="n">
        <v>297</v>
      </c>
      <c r="AN919" s="19"/>
      <c r="AO919" s="19"/>
      <c r="AP919" s="19" t="n">
        <v>272</v>
      </c>
      <c r="AQ919" s="19"/>
      <c r="AR919" s="19" t="n">
        <v>3</v>
      </c>
      <c r="AS919" s="20" t="str">
        <f aca="false">HYPERLINK("http://www.openstreetmap.org/?mlat=33.1428&amp;mlon=44.3062&amp;zoom=12#map=12/33.1428/44.3062","Maplink1")</f>
        <v>Maplink1</v>
      </c>
      <c r="AT919" s="20" t="str">
        <f aca="false">HYPERLINK("https://www.google.iq/maps/search/+33.1428,44.3062/@33.1428,44.3062,14z?hl=en","Maplink2")</f>
        <v>Maplink2</v>
      </c>
      <c r="AU919" s="20" t="str">
        <f aca="false">HYPERLINK("http://www.bing.com/maps/?lvl=14&amp;sty=h&amp;cp=33.1428~44.3062&amp;sp=point.33.1428_44.3062","Maplink3")</f>
        <v>Maplink3</v>
      </c>
    </row>
    <row r="920" customFormat="false" ht="15" hidden="false" customHeight="true" outlineLevel="0" collapsed="false">
      <c r="A920" s="15" t="n">
        <v>25951</v>
      </c>
      <c r="B920" s="16" t="s">
        <v>17</v>
      </c>
      <c r="C920" s="16" t="s">
        <v>1709</v>
      </c>
      <c r="D920" s="16" t="s">
        <v>1838</v>
      </c>
      <c r="E920" s="17" t="s">
        <v>1839</v>
      </c>
      <c r="F920" s="16" t="n">
        <v>33.22910034</v>
      </c>
      <c r="G920" s="16" t="n">
        <v>44.32488671</v>
      </c>
      <c r="H920" s="18" t="n">
        <v>190</v>
      </c>
      <c r="I920" s="18" t="n">
        <v>1140</v>
      </c>
      <c r="J920" s="19" t="n">
        <v>52</v>
      </c>
      <c r="K920" s="19" t="n">
        <v>2</v>
      </c>
      <c r="L920" s="19"/>
      <c r="M920" s="19"/>
      <c r="N920" s="19"/>
      <c r="O920" s="19" t="n">
        <v>3</v>
      </c>
      <c r="P920" s="19"/>
      <c r="Q920" s="19"/>
      <c r="R920" s="19" t="n">
        <v>1</v>
      </c>
      <c r="S920" s="19"/>
      <c r="T920" s="19"/>
      <c r="U920" s="19"/>
      <c r="V920" s="19" t="n">
        <v>90</v>
      </c>
      <c r="W920" s="19"/>
      <c r="X920" s="19" t="n">
        <v>42</v>
      </c>
      <c r="Y920" s="19"/>
      <c r="Z920" s="19"/>
      <c r="AA920" s="19"/>
      <c r="AB920" s="19"/>
      <c r="AC920" s="19" t="n">
        <v>68</v>
      </c>
      <c r="AD920" s="19"/>
      <c r="AE920" s="19"/>
      <c r="AF920" s="19"/>
      <c r="AG920" s="19"/>
      <c r="AH920" s="19" t="n">
        <v>122</v>
      </c>
      <c r="AI920" s="19"/>
      <c r="AJ920" s="19"/>
      <c r="AK920" s="19"/>
      <c r="AL920" s="19"/>
      <c r="AM920" s="19" t="n">
        <v>115</v>
      </c>
      <c r="AN920" s="19"/>
      <c r="AO920" s="19" t="n">
        <v>23</v>
      </c>
      <c r="AP920" s="19" t="n">
        <v>52</v>
      </c>
      <c r="AQ920" s="19"/>
      <c r="AR920" s="19"/>
      <c r="AS920" s="20" t="str">
        <f aca="false">HYPERLINK("http://www.openstreetmap.org/?mlat=33.2291&amp;mlon=44.3249&amp;zoom=12#map=12/33.2291/44.3249","Maplink1")</f>
        <v>Maplink1</v>
      </c>
      <c r="AT920" s="20" t="str">
        <f aca="false">HYPERLINK("https://www.google.iq/maps/search/+33.2291,44.3249/@33.2291,44.3249,14z?hl=en","Maplink2")</f>
        <v>Maplink2</v>
      </c>
      <c r="AU920" s="20" t="str">
        <f aca="false">HYPERLINK("http://www.bing.com/maps/?lvl=14&amp;sty=h&amp;cp=33.2291~44.3249&amp;sp=point.33.2291_44.3249","Maplink3")</f>
        <v>Maplink3</v>
      </c>
    </row>
    <row r="921" customFormat="false" ht="15" hidden="false" customHeight="true" outlineLevel="0" collapsed="false">
      <c r="A921" s="15" t="n">
        <v>27189</v>
      </c>
      <c r="B921" s="16" t="s">
        <v>17</v>
      </c>
      <c r="C921" s="16" t="s">
        <v>1709</v>
      </c>
      <c r="D921" s="16" t="s">
        <v>1840</v>
      </c>
      <c r="E921" s="17" t="s">
        <v>1841</v>
      </c>
      <c r="F921" s="16" t="n">
        <v>33.25606807</v>
      </c>
      <c r="G921" s="16" t="n">
        <v>44.33685903</v>
      </c>
      <c r="H921" s="18" t="n">
        <v>22</v>
      </c>
      <c r="I921" s="18" t="n">
        <v>132</v>
      </c>
      <c r="J921" s="19" t="n">
        <v>8</v>
      </c>
      <c r="K921" s="19"/>
      <c r="L921" s="19"/>
      <c r="M921" s="19"/>
      <c r="N921" s="19"/>
      <c r="O921" s="19"/>
      <c r="P921" s="19"/>
      <c r="Q921" s="19"/>
      <c r="R921" s="19" t="n">
        <v>2</v>
      </c>
      <c r="S921" s="19"/>
      <c r="T921" s="19"/>
      <c r="U921" s="19"/>
      <c r="V921" s="19" t="n">
        <v>12</v>
      </c>
      <c r="W921" s="19"/>
      <c r="X921" s="19"/>
      <c r="Y921" s="19"/>
      <c r="Z921" s="19"/>
      <c r="AA921" s="19"/>
      <c r="AB921" s="19"/>
      <c r="AC921" s="19" t="n">
        <v>8</v>
      </c>
      <c r="AD921" s="19"/>
      <c r="AE921" s="19"/>
      <c r="AF921" s="19"/>
      <c r="AG921" s="19"/>
      <c r="AH921" s="19" t="n">
        <v>14</v>
      </c>
      <c r="AI921" s="19"/>
      <c r="AJ921" s="19"/>
      <c r="AK921" s="19"/>
      <c r="AL921" s="19"/>
      <c r="AM921" s="19" t="n">
        <v>12</v>
      </c>
      <c r="AN921" s="19"/>
      <c r="AO921" s="19"/>
      <c r="AP921" s="19" t="n">
        <v>10</v>
      </c>
      <c r="AQ921" s="19"/>
      <c r="AR921" s="19"/>
      <c r="AS921" s="20" t="str">
        <f aca="false">HYPERLINK("http://www.openstreetmap.org/?mlat=33.2561&amp;mlon=44.3369&amp;zoom=12#map=12/33.2561/44.3369","Maplink1")</f>
        <v>Maplink1</v>
      </c>
      <c r="AT921" s="20" t="str">
        <f aca="false">HYPERLINK("https://www.google.iq/maps/search/+33.2561,44.3369/@33.2561,44.3369,14z?hl=en","Maplink2")</f>
        <v>Maplink2</v>
      </c>
      <c r="AU921" s="20" t="str">
        <f aca="false">HYPERLINK("http://www.bing.com/maps/?lvl=14&amp;sty=h&amp;cp=33.2561~44.3369&amp;sp=point.33.2561_44.3369","Maplink3")</f>
        <v>Maplink3</v>
      </c>
    </row>
    <row r="922" customFormat="false" ht="15" hidden="false" customHeight="true" outlineLevel="0" collapsed="false">
      <c r="A922" s="15" t="n">
        <v>24447</v>
      </c>
      <c r="B922" s="16" t="s">
        <v>17</v>
      </c>
      <c r="C922" s="16" t="s">
        <v>1709</v>
      </c>
      <c r="D922" s="16" t="s">
        <v>1842</v>
      </c>
      <c r="E922" s="17" t="s">
        <v>1843</v>
      </c>
      <c r="F922" s="16" t="n">
        <v>33.24709084</v>
      </c>
      <c r="G922" s="16" t="n">
        <v>44.32849584</v>
      </c>
      <c r="H922" s="18" t="n">
        <v>72</v>
      </c>
      <c r="I922" s="18" t="n">
        <v>432</v>
      </c>
      <c r="J922" s="19" t="n">
        <v>18</v>
      </c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 t="n">
        <v>45</v>
      </c>
      <c r="W922" s="19"/>
      <c r="X922" s="19" t="n">
        <v>9</v>
      </c>
      <c r="Y922" s="19"/>
      <c r="Z922" s="19"/>
      <c r="AA922" s="19"/>
      <c r="AB922" s="19"/>
      <c r="AC922" s="19" t="n">
        <v>20</v>
      </c>
      <c r="AD922" s="19"/>
      <c r="AE922" s="19"/>
      <c r="AF922" s="19"/>
      <c r="AG922" s="19"/>
      <c r="AH922" s="19" t="n">
        <v>52</v>
      </c>
      <c r="AI922" s="19"/>
      <c r="AJ922" s="19"/>
      <c r="AK922" s="19"/>
      <c r="AL922" s="19"/>
      <c r="AM922" s="19" t="n">
        <v>29</v>
      </c>
      <c r="AN922" s="19"/>
      <c r="AO922" s="19" t="n">
        <v>4</v>
      </c>
      <c r="AP922" s="19" t="n">
        <v>18</v>
      </c>
      <c r="AQ922" s="19" t="n">
        <v>14</v>
      </c>
      <c r="AR922" s="19" t="n">
        <v>7</v>
      </c>
      <c r="AS922" s="20" t="str">
        <f aca="false">HYPERLINK("http://www.openstreetmap.org/?mlat=33.2471&amp;mlon=44.3285&amp;zoom=12#map=12/33.2471/44.3285","Maplink1")</f>
        <v>Maplink1</v>
      </c>
      <c r="AT922" s="20" t="str">
        <f aca="false">HYPERLINK("https://www.google.iq/maps/search/+33.2471,44.3285/@33.2471,44.3285,14z?hl=en","Maplink2")</f>
        <v>Maplink2</v>
      </c>
      <c r="AU922" s="20" t="str">
        <f aca="false">HYPERLINK("http://www.bing.com/maps/?lvl=14&amp;sty=h&amp;cp=33.2471~44.3285&amp;sp=point.33.2471_44.3285","Maplink3")</f>
        <v>Maplink3</v>
      </c>
    </row>
    <row r="923" customFormat="false" ht="15" hidden="false" customHeight="true" outlineLevel="0" collapsed="false">
      <c r="A923" s="15" t="n">
        <v>27190</v>
      </c>
      <c r="B923" s="16" t="s">
        <v>17</v>
      </c>
      <c r="C923" s="16" t="s">
        <v>1709</v>
      </c>
      <c r="D923" s="16" t="s">
        <v>1844</v>
      </c>
      <c r="E923" s="17" t="s">
        <v>1845</v>
      </c>
      <c r="F923" s="16" t="n">
        <v>33.24151525</v>
      </c>
      <c r="G923" s="16" t="n">
        <v>44.32446976</v>
      </c>
      <c r="H923" s="18" t="n">
        <v>44</v>
      </c>
      <c r="I923" s="18" t="n">
        <v>264</v>
      </c>
      <c r="J923" s="19" t="n">
        <v>13</v>
      </c>
      <c r="K923" s="19"/>
      <c r="L923" s="19" t="n">
        <v>2</v>
      </c>
      <c r="M923" s="19"/>
      <c r="N923" s="19"/>
      <c r="O923" s="19" t="n">
        <v>5</v>
      </c>
      <c r="P923" s="19"/>
      <c r="Q923" s="19"/>
      <c r="R923" s="19"/>
      <c r="S923" s="19"/>
      <c r="T923" s="19"/>
      <c r="U923" s="19"/>
      <c r="V923" s="19" t="n">
        <v>15</v>
      </c>
      <c r="W923" s="19"/>
      <c r="X923" s="19" t="n">
        <v>9</v>
      </c>
      <c r="Y923" s="19"/>
      <c r="Z923" s="19"/>
      <c r="AA923" s="19"/>
      <c r="AB923" s="19"/>
      <c r="AC923" s="19" t="n">
        <v>15</v>
      </c>
      <c r="AD923" s="19"/>
      <c r="AE923" s="19"/>
      <c r="AF923" s="19"/>
      <c r="AG923" s="19"/>
      <c r="AH923" s="19" t="n">
        <v>29</v>
      </c>
      <c r="AI923" s="19"/>
      <c r="AJ923" s="19"/>
      <c r="AK923" s="19"/>
      <c r="AL923" s="19"/>
      <c r="AM923" s="19" t="n">
        <v>18</v>
      </c>
      <c r="AN923" s="19"/>
      <c r="AO923" s="19"/>
      <c r="AP923" s="19" t="n">
        <v>19</v>
      </c>
      <c r="AQ923" s="19" t="n">
        <v>7</v>
      </c>
      <c r="AR923" s="19"/>
      <c r="AS923" s="20" t="str">
        <f aca="false">HYPERLINK("http://www.openstreetmap.org/?mlat=33.2415&amp;mlon=44.3245&amp;zoom=12#map=12/33.2415/44.3245","Maplink1")</f>
        <v>Maplink1</v>
      </c>
      <c r="AT923" s="20" t="str">
        <f aca="false">HYPERLINK("https://www.google.iq/maps/search/+33.2415,44.3245/@33.2415,44.3245,14z?hl=en","Maplink2")</f>
        <v>Maplink2</v>
      </c>
      <c r="AU923" s="20" t="str">
        <f aca="false">HYPERLINK("http://www.bing.com/maps/?lvl=14&amp;sty=h&amp;cp=33.2415~44.3245&amp;sp=point.33.2415_44.3245","Maplink3")</f>
        <v>Maplink3</v>
      </c>
    </row>
    <row r="924" customFormat="false" ht="15" hidden="false" customHeight="true" outlineLevel="0" collapsed="false">
      <c r="A924" s="15" t="n">
        <v>27191</v>
      </c>
      <c r="B924" s="16" t="s">
        <v>17</v>
      </c>
      <c r="C924" s="16" t="s">
        <v>1709</v>
      </c>
      <c r="D924" s="16" t="s">
        <v>1846</v>
      </c>
      <c r="E924" s="17" t="s">
        <v>1847</v>
      </c>
      <c r="F924" s="16" t="n">
        <v>33.24610479</v>
      </c>
      <c r="G924" s="16" t="n">
        <v>44.32540057</v>
      </c>
      <c r="H924" s="18" t="n">
        <v>52</v>
      </c>
      <c r="I924" s="18" t="n">
        <v>312</v>
      </c>
      <c r="J924" s="19" t="n">
        <v>11</v>
      </c>
      <c r="K924" s="19"/>
      <c r="L924" s="19"/>
      <c r="M924" s="19"/>
      <c r="N924" s="19"/>
      <c r="O924" s="19" t="n">
        <v>8</v>
      </c>
      <c r="P924" s="19"/>
      <c r="Q924" s="19"/>
      <c r="R924" s="19"/>
      <c r="S924" s="19"/>
      <c r="T924" s="19"/>
      <c r="U924" s="19"/>
      <c r="V924" s="19" t="n">
        <v>16</v>
      </c>
      <c r="W924" s="19"/>
      <c r="X924" s="19" t="n">
        <v>17</v>
      </c>
      <c r="Y924" s="19"/>
      <c r="Z924" s="19"/>
      <c r="AA924" s="19"/>
      <c r="AB924" s="19"/>
      <c r="AC924" s="19" t="n">
        <v>12</v>
      </c>
      <c r="AD924" s="19"/>
      <c r="AE924" s="19"/>
      <c r="AF924" s="19"/>
      <c r="AG924" s="19"/>
      <c r="AH924" s="19" t="n">
        <v>40</v>
      </c>
      <c r="AI924" s="19"/>
      <c r="AJ924" s="19"/>
      <c r="AK924" s="19"/>
      <c r="AL924" s="19"/>
      <c r="AM924" s="19" t="n">
        <v>37</v>
      </c>
      <c r="AN924" s="19"/>
      <c r="AO924" s="19"/>
      <c r="AP924" s="19" t="n">
        <v>4</v>
      </c>
      <c r="AQ924" s="19" t="n">
        <v>8</v>
      </c>
      <c r="AR924" s="19" t="n">
        <v>3</v>
      </c>
      <c r="AS924" s="20" t="str">
        <f aca="false">HYPERLINK("http://www.openstreetmap.org/?mlat=33.2461&amp;mlon=44.3254&amp;zoom=12#map=12/33.2461/44.3254","Maplink1")</f>
        <v>Maplink1</v>
      </c>
      <c r="AT924" s="20" t="str">
        <f aca="false">HYPERLINK("https://www.google.iq/maps/search/+33.2461,44.3254/@33.2461,44.3254,14z?hl=en","Maplink2")</f>
        <v>Maplink2</v>
      </c>
      <c r="AU924" s="20" t="str">
        <f aca="false">HYPERLINK("http://www.bing.com/maps/?lvl=14&amp;sty=h&amp;cp=33.2461~44.3254&amp;sp=point.33.2461_44.3254","Maplink3")</f>
        <v>Maplink3</v>
      </c>
    </row>
    <row r="925" customFormat="false" ht="15" hidden="false" customHeight="true" outlineLevel="0" collapsed="false">
      <c r="A925" s="15" t="n">
        <v>27289</v>
      </c>
      <c r="B925" s="16" t="s">
        <v>17</v>
      </c>
      <c r="C925" s="16" t="s">
        <v>1709</v>
      </c>
      <c r="D925" s="16" t="s">
        <v>1848</v>
      </c>
      <c r="E925" s="17" t="s">
        <v>1849</v>
      </c>
      <c r="F925" s="16" t="n">
        <v>33.32396864</v>
      </c>
      <c r="G925" s="16" t="n">
        <v>44.39357376</v>
      </c>
      <c r="H925" s="18" t="n">
        <v>180</v>
      </c>
      <c r="I925" s="18" t="n">
        <v>1080</v>
      </c>
      <c r="J925" s="19" t="n">
        <v>82</v>
      </c>
      <c r="K925" s="19"/>
      <c r="L925" s="19" t="n">
        <v>2</v>
      </c>
      <c r="M925" s="19"/>
      <c r="N925" s="19"/>
      <c r="O925" s="19" t="n">
        <v>2</v>
      </c>
      <c r="P925" s="19"/>
      <c r="Q925" s="19"/>
      <c r="R925" s="19" t="n">
        <v>1</v>
      </c>
      <c r="S925" s="19"/>
      <c r="T925" s="19"/>
      <c r="U925" s="19"/>
      <c r="V925" s="19" t="n">
        <v>64</v>
      </c>
      <c r="W925" s="19"/>
      <c r="X925" s="19" t="n">
        <v>29</v>
      </c>
      <c r="Y925" s="19"/>
      <c r="Z925" s="19"/>
      <c r="AA925" s="19"/>
      <c r="AB925" s="19"/>
      <c r="AC925" s="19" t="n">
        <v>50</v>
      </c>
      <c r="AD925" s="19"/>
      <c r="AE925" s="19"/>
      <c r="AF925" s="19"/>
      <c r="AG925" s="19"/>
      <c r="AH925" s="19" t="n">
        <v>130</v>
      </c>
      <c r="AI925" s="19"/>
      <c r="AJ925" s="19"/>
      <c r="AK925" s="19"/>
      <c r="AL925" s="19"/>
      <c r="AM925" s="19" t="n">
        <v>49</v>
      </c>
      <c r="AN925" s="19" t="n">
        <v>5</v>
      </c>
      <c r="AO925" s="19" t="n">
        <v>76</v>
      </c>
      <c r="AP925" s="19" t="n">
        <v>41</v>
      </c>
      <c r="AQ925" s="19" t="n">
        <v>9</v>
      </c>
      <c r="AR925" s="19"/>
      <c r="AS925" s="20" t="str">
        <f aca="false">HYPERLINK("http://www.openstreetmap.org/?mlat=33.324&amp;mlon=44.3936&amp;zoom=12#map=12/33.324/44.3936","Maplink1")</f>
        <v>Maplink1</v>
      </c>
      <c r="AT925" s="20" t="str">
        <f aca="false">HYPERLINK("https://www.google.iq/maps/search/+33.324,44.3936/@33.324,44.3936,14z?hl=en","Maplink2")</f>
        <v>Maplink2</v>
      </c>
      <c r="AU925" s="20" t="str">
        <f aca="false">HYPERLINK("http://www.bing.com/maps/?lvl=14&amp;sty=h&amp;cp=33.324~44.3936&amp;sp=point.33.324_44.3936","Maplink3")</f>
        <v>Maplink3</v>
      </c>
    </row>
    <row r="926" customFormat="false" ht="15" hidden="false" customHeight="true" outlineLevel="0" collapsed="false">
      <c r="A926" s="15" t="n">
        <v>7496</v>
      </c>
      <c r="B926" s="16" t="s">
        <v>17</v>
      </c>
      <c r="C926" s="16" t="s">
        <v>1709</v>
      </c>
      <c r="D926" s="16" t="s">
        <v>1850</v>
      </c>
      <c r="E926" s="17" t="s">
        <v>1851</v>
      </c>
      <c r="F926" s="16" t="n">
        <v>33.2254577</v>
      </c>
      <c r="G926" s="16" t="n">
        <v>44.36880726</v>
      </c>
      <c r="H926" s="18" t="n">
        <v>510</v>
      </c>
      <c r="I926" s="18" t="n">
        <v>3060</v>
      </c>
      <c r="J926" s="19" t="n">
        <v>108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 t="n">
        <v>2</v>
      </c>
      <c r="W926" s="19"/>
      <c r="X926" s="19" t="n">
        <v>400</v>
      </c>
      <c r="Y926" s="19"/>
      <c r="Z926" s="19"/>
      <c r="AA926" s="19"/>
      <c r="AB926" s="19" t="n">
        <v>510</v>
      </c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 t="n">
        <v>400</v>
      </c>
      <c r="AP926" s="19" t="n">
        <v>108</v>
      </c>
      <c r="AQ926" s="19"/>
      <c r="AR926" s="19" t="n">
        <v>2</v>
      </c>
      <c r="AS926" s="20" t="str">
        <f aca="false">HYPERLINK("http://www.openstreetmap.org/?mlat=33.2255&amp;mlon=44.3688&amp;zoom=12#map=12/33.2255/44.3688","Maplink1")</f>
        <v>Maplink1</v>
      </c>
      <c r="AT926" s="20" t="str">
        <f aca="false">HYPERLINK("https://www.google.iq/maps/search/+33.2255,44.3688/@33.2255,44.3688,14z?hl=en","Maplink2")</f>
        <v>Maplink2</v>
      </c>
      <c r="AU926" s="20" t="str">
        <f aca="false">HYPERLINK("http://www.bing.com/maps/?lvl=14&amp;sty=h&amp;cp=33.2255~44.3688&amp;sp=point.33.2255_44.3688","Maplink3")</f>
        <v>Maplink3</v>
      </c>
    </row>
    <row r="927" customFormat="false" ht="15" hidden="false" customHeight="true" outlineLevel="0" collapsed="false">
      <c r="A927" s="15" t="n">
        <v>23575</v>
      </c>
      <c r="B927" s="16" t="s">
        <v>17</v>
      </c>
      <c r="C927" s="16" t="s">
        <v>1709</v>
      </c>
      <c r="D927" s="16" t="s">
        <v>1852</v>
      </c>
      <c r="E927" s="17" t="s">
        <v>1853</v>
      </c>
      <c r="F927" s="16" t="n">
        <v>33.24378837</v>
      </c>
      <c r="G927" s="16" t="n">
        <v>44.36312305</v>
      </c>
      <c r="H927" s="18" t="n">
        <v>195</v>
      </c>
      <c r="I927" s="18" t="n">
        <v>1170</v>
      </c>
      <c r="J927" s="19" t="n">
        <v>195</v>
      </c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 t="n">
        <v>25</v>
      </c>
      <c r="AD927" s="19"/>
      <c r="AE927" s="19"/>
      <c r="AF927" s="19"/>
      <c r="AG927" s="19" t="n">
        <v>30</v>
      </c>
      <c r="AH927" s="19" t="n">
        <v>106</v>
      </c>
      <c r="AI927" s="19"/>
      <c r="AJ927" s="19" t="n">
        <v>34</v>
      </c>
      <c r="AK927" s="19"/>
      <c r="AL927" s="19" t="n">
        <v>22</v>
      </c>
      <c r="AM927" s="19"/>
      <c r="AN927" s="19"/>
      <c r="AO927" s="19"/>
      <c r="AP927" s="19" t="n">
        <v>167</v>
      </c>
      <c r="AQ927" s="19"/>
      <c r="AR927" s="19" t="n">
        <v>6</v>
      </c>
      <c r="AS927" s="20" t="str">
        <f aca="false">HYPERLINK("http://www.openstreetmap.org/?mlat=33.2438&amp;mlon=44.3631&amp;zoom=12#map=12/33.2438/44.3631","Maplink1")</f>
        <v>Maplink1</v>
      </c>
      <c r="AT927" s="20" t="str">
        <f aca="false">HYPERLINK("https://www.google.iq/maps/search/+33.2438,44.3631/@33.2438,44.3631,14z?hl=en","Maplink2")</f>
        <v>Maplink2</v>
      </c>
      <c r="AU927" s="20" t="str">
        <f aca="false">HYPERLINK("http://www.bing.com/maps/?lvl=14&amp;sty=h&amp;cp=33.2438~44.3631&amp;sp=point.33.2438_44.3631","Maplink3")</f>
        <v>Maplink3</v>
      </c>
    </row>
    <row r="928" customFormat="false" ht="15" hidden="false" customHeight="true" outlineLevel="0" collapsed="false">
      <c r="A928" s="15" t="n">
        <v>25458</v>
      </c>
      <c r="B928" s="16" t="s">
        <v>17</v>
      </c>
      <c r="C928" s="16" t="s">
        <v>1709</v>
      </c>
      <c r="D928" s="16" t="s">
        <v>1854</v>
      </c>
      <c r="E928" s="17" t="s">
        <v>1855</v>
      </c>
      <c r="F928" s="16" t="n">
        <v>33.25368948</v>
      </c>
      <c r="G928" s="16" t="n">
        <v>44.35747936</v>
      </c>
      <c r="H928" s="18" t="n">
        <v>401</v>
      </c>
      <c r="I928" s="18" t="n">
        <v>2406</v>
      </c>
      <c r="J928" s="19" t="n">
        <v>299</v>
      </c>
      <c r="K928" s="19" t="n">
        <v>8</v>
      </c>
      <c r="L928" s="19" t="n">
        <v>13</v>
      </c>
      <c r="M928" s="19"/>
      <c r="N928" s="19"/>
      <c r="O928" s="19"/>
      <c r="P928" s="19"/>
      <c r="Q928" s="19"/>
      <c r="R928" s="19"/>
      <c r="S928" s="19"/>
      <c r="T928" s="19"/>
      <c r="U928" s="19"/>
      <c r="V928" s="19" t="n">
        <v>50</v>
      </c>
      <c r="W928" s="19"/>
      <c r="X928" s="19" t="n">
        <v>31</v>
      </c>
      <c r="Y928" s="19"/>
      <c r="Z928" s="19"/>
      <c r="AA928" s="19"/>
      <c r="AB928" s="19"/>
      <c r="AC928" s="19" t="n">
        <v>142</v>
      </c>
      <c r="AD928" s="19"/>
      <c r="AE928" s="19"/>
      <c r="AF928" s="19"/>
      <c r="AG928" s="19" t="n">
        <v>16</v>
      </c>
      <c r="AH928" s="19" t="n">
        <v>200</v>
      </c>
      <c r="AI928" s="19" t="n">
        <v>43</v>
      </c>
      <c r="AJ928" s="19"/>
      <c r="AK928" s="19"/>
      <c r="AL928" s="19" t="n">
        <v>16</v>
      </c>
      <c r="AM928" s="19" t="n">
        <v>58</v>
      </c>
      <c r="AN928" s="19" t="n">
        <v>5</v>
      </c>
      <c r="AO928" s="19" t="n">
        <v>96</v>
      </c>
      <c r="AP928" s="19" t="n">
        <v>226</v>
      </c>
      <c r="AQ928" s="19"/>
      <c r="AR928" s="19"/>
      <c r="AS928" s="20" t="str">
        <f aca="false">HYPERLINK("http://www.openstreetmap.org/?mlat=33.2537&amp;mlon=44.3575&amp;zoom=12#map=12/33.2537/44.3575","Maplink1")</f>
        <v>Maplink1</v>
      </c>
      <c r="AT928" s="20" t="str">
        <f aca="false">HYPERLINK("https://www.google.iq/maps/search/+33.2537,44.3575/@33.2537,44.3575,14z?hl=en","Maplink2")</f>
        <v>Maplink2</v>
      </c>
      <c r="AU928" s="20" t="str">
        <f aca="false">HYPERLINK("http://www.bing.com/maps/?lvl=14&amp;sty=h&amp;cp=33.2537~44.3575&amp;sp=point.33.2537_44.3575","Maplink3")</f>
        <v>Maplink3</v>
      </c>
    </row>
    <row r="929" customFormat="false" ht="15" hidden="false" customHeight="true" outlineLevel="0" collapsed="false">
      <c r="A929" s="15" t="n">
        <v>24081</v>
      </c>
      <c r="B929" s="16" t="s">
        <v>17</v>
      </c>
      <c r="C929" s="16" t="s">
        <v>1709</v>
      </c>
      <c r="D929" s="16" t="s">
        <v>1856</v>
      </c>
      <c r="E929" s="17" t="s">
        <v>1857</v>
      </c>
      <c r="F929" s="16" t="n">
        <v>33.25092603</v>
      </c>
      <c r="G929" s="16" t="n">
        <v>44.35639753</v>
      </c>
      <c r="H929" s="18" t="n">
        <v>245</v>
      </c>
      <c r="I929" s="18" t="n">
        <v>1470</v>
      </c>
      <c r="J929" s="19" t="n">
        <v>173</v>
      </c>
      <c r="K929" s="19"/>
      <c r="L929" s="19" t="n">
        <v>39</v>
      </c>
      <c r="M929" s="19"/>
      <c r="N929" s="19"/>
      <c r="O929" s="19"/>
      <c r="P929" s="19"/>
      <c r="Q929" s="19"/>
      <c r="R929" s="19"/>
      <c r="S929" s="19"/>
      <c r="T929" s="19"/>
      <c r="U929" s="19"/>
      <c r="V929" s="19" t="n">
        <v>33</v>
      </c>
      <c r="W929" s="19"/>
      <c r="X929" s="19"/>
      <c r="Y929" s="19"/>
      <c r="Z929" s="19"/>
      <c r="AA929" s="19"/>
      <c r="AB929" s="19"/>
      <c r="AC929" s="19" t="n">
        <v>18</v>
      </c>
      <c r="AD929" s="19"/>
      <c r="AE929" s="19"/>
      <c r="AF929" s="19"/>
      <c r="AG929" s="19" t="n">
        <v>22</v>
      </c>
      <c r="AH929" s="19" t="n">
        <v>205</v>
      </c>
      <c r="AI929" s="19"/>
      <c r="AJ929" s="19"/>
      <c r="AK929" s="19"/>
      <c r="AL929" s="19" t="n">
        <v>20</v>
      </c>
      <c r="AM929" s="19"/>
      <c r="AN929" s="19" t="n">
        <v>29</v>
      </c>
      <c r="AO929" s="19" t="n">
        <v>39</v>
      </c>
      <c r="AP929" s="19" t="n">
        <v>153</v>
      </c>
      <c r="AQ929" s="19"/>
      <c r="AR929" s="19" t="n">
        <v>4</v>
      </c>
      <c r="AS929" s="20" t="str">
        <f aca="false">HYPERLINK("http://www.openstreetmap.org/?mlat=33.2509&amp;mlon=44.3564&amp;zoom=12#map=12/33.2509/44.3564","Maplink1")</f>
        <v>Maplink1</v>
      </c>
      <c r="AT929" s="20" t="str">
        <f aca="false">HYPERLINK("https://www.google.iq/maps/search/+33.2509,44.3564/@33.2509,44.3564,14z?hl=en","Maplink2")</f>
        <v>Maplink2</v>
      </c>
      <c r="AU929" s="20" t="str">
        <f aca="false">HYPERLINK("http://www.bing.com/maps/?lvl=14&amp;sty=h&amp;cp=33.2509~44.3564&amp;sp=point.33.2509_44.3564","Maplink3")</f>
        <v>Maplink3</v>
      </c>
    </row>
    <row r="930" customFormat="false" ht="15" hidden="false" customHeight="true" outlineLevel="0" collapsed="false">
      <c r="A930" s="15" t="n">
        <v>27409</v>
      </c>
      <c r="B930" s="16" t="s">
        <v>17</v>
      </c>
      <c r="C930" s="16" t="s">
        <v>1709</v>
      </c>
      <c r="D930" s="16" t="s">
        <v>1858</v>
      </c>
      <c r="E930" s="17" t="s">
        <v>1859</v>
      </c>
      <c r="F930" s="16" t="n">
        <v>33.23494268</v>
      </c>
      <c r="G930" s="16" t="n">
        <v>44.34652945</v>
      </c>
      <c r="H930" s="18" t="n">
        <v>40</v>
      </c>
      <c r="I930" s="18" t="n">
        <v>240</v>
      </c>
      <c r="J930" s="19" t="n">
        <v>18</v>
      </c>
      <c r="K930" s="19"/>
      <c r="L930" s="19" t="n">
        <v>6</v>
      </c>
      <c r="M930" s="19"/>
      <c r="N930" s="19"/>
      <c r="O930" s="19"/>
      <c r="P930" s="19"/>
      <c r="Q930" s="19"/>
      <c r="R930" s="19"/>
      <c r="S930" s="19"/>
      <c r="T930" s="19"/>
      <c r="U930" s="19"/>
      <c r="V930" s="19" t="n">
        <v>6</v>
      </c>
      <c r="W930" s="19"/>
      <c r="X930" s="19" t="n">
        <v>10</v>
      </c>
      <c r="Y930" s="19"/>
      <c r="Z930" s="19"/>
      <c r="AA930" s="19"/>
      <c r="AB930" s="19"/>
      <c r="AC930" s="19" t="n">
        <v>7</v>
      </c>
      <c r="AD930" s="19"/>
      <c r="AE930" s="19"/>
      <c r="AF930" s="19"/>
      <c r="AG930" s="19"/>
      <c r="AH930" s="19" t="n">
        <v>33</v>
      </c>
      <c r="AI930" s="19"/>
      <c r="AJ930" s="19"/>
      <c r="AK930" s="19"/>
      <c r="AL930" s="19"/>
      <c r="AM930" s="19" t="n">
        <v>6</v>
      </c>
      <c r="AN930" s="19"/>
      <c r="AO930" s="19" t="n">
        <v>25</v>
      </c>
      <c r="AP930" s="19" t="n">
        <v>9</v>
      </c>
      <c r="AQ930" s="19"/>
      <c r="AR930" s="19"/>
      <c r="AS930" s="20" t="str">
        <f aca="false">HYPERLINK("http://www.openstreetmap.org/?mlat=33.2349&amp;mlon=44.3465&amp;zoom=12#map=12/33.2349/44.3465","Maplink1")</f>
        <v>Maplink1</v>
      </c>
      <c r="AT930" s="20" t="str">
        <f aca="false">HYPERLINK("https://www.google.iq/maps/search/+33.2349,44.3465/@33.2349,44.3465,14z?hl=en","Maplink2")</f>
        <v>Maplink2</v>
      </c>
      <c r="AU930" s="20" t="str">
        <f aca="false">HYPERLINK("http://www.bing.com/maps/?lvl=14&amp;sty=h&amp;cp=33.2349~44.3465&amp;sp=point.33.2349_44.3465","Maplink3")</f>
        <v>Maplink3</v>
      </c>
    </row>
    <row r="931" customFormat="false" ht="15" hidden="false" customHeight="true" outlineLevel="0" collapsed="false">
      <c r="A931" s="15" t="n">
        <v>24120</v>
      </c>
      <c r="B931" s="16" t="s">
        <v>17</v>
      </c>
      <c r="C931" s="16" t="s">
        <v>1709</v>
      </c>
      <c r="D931" s="16" t="s">
        <v>1860</v>
      </c>
      <c r="E931" s="17" t="s">
        <v>1861</v>
      </c>
      <c r="F931" s="16" t="n">
        <v>33.23359824</v>
      </c>
      <c r="G931" s="16" t="n">
        <v>44.32935769</v>
      </c>
      <c r="H931" s="18" t="n">
        <v>86</v>
      </c>
      <c r="I931" s="18" t="n">
        <v>516</v>
      </c>
      <c r="J931" s="19" t="n">
        <v>63</v>
      </c>
      <c r="K931" s="19"/>
      <c r="L931" s="19"/>
      <c r="M931" s="19"/>
      <c r="N931" s="19"/>
      <c r="O931" s="19" t="n">
        <v>6</v>
      </c>
      <c r="P931" s="19"/>
      <c r="Q931" s="19"/>
      <c r="R931" s="19" t="n">
        <v>2</v>
      </c>
      <c r="S931" s="19"/>
      <c r="T931" s="19"/>
      <c r="U931" s="19"/>
      <c r="V931" s="19" t="n">
        <v>4</v>
      </c>
      <c r="W931" s="19"/>
      <c r="X931" s="19" t="n">
        <v>11</v>
      </c>
      <c r="Y931" s="19"/>
      <c r="Z931" s="19"/>
      <c r="AA931" s="19"/>
      <c r="AB931" s="19"/>
      <c r="AC931" s="19" t="n">
        <v>10</v>
      </c>
      <c r="AD931" s="19"/>
      <c r="AE931" s="19"/>
      <c r="AF931" s="19"/>
      <c r="AG931" s="19"/>
      <c r="AH931" s="19" t="n">
        <v>76</v>
      </c>
      <c r="AI931" s="19"/>
      <c r="AJ931" s="19"/>
      <c r="AK931" s="19"/>
      <c r="AL931" s="19" t="n">
        <v>19</v>
      </c>
      <c r="AM931" s="19" t="n">
        <v>10</v>
      </c>
      <c r="AN931" s="19"/>
      <c r="AO931" s="19"/>
      <c r="AP931" s="19" t="n">
        <v>57</v>
      </c>
      <c r="AQ931" s="19"/>
      <c r="AR931" s="19"/>
      <c r="AS931" s="20" t="str">
        <f aca="false">HYPERLINK("http://www.openstreetmap.org/?mlat=33.2336&amp;mlon=44.3294&amp;zoom=12#map=12/33.2336/44.3294","Maplink1")</f>
        <v>Maplink1</v>
      </c>
      <c r="AT931" s="20" t="str">
        <f aca="false">HYPERLINK("https://www.google.iq/maps/search/+33.2336,44.3294/@33.2336,44.3294,14z?hl=en","Maplink2")</f>
        <v>Maplink2</v>
      </c>
      <c r="AU931" s="20" t="str">
        <f aca="false">HYPERLINK("http://www.bing.com/maps/?lvl=14&amp;sty=h&amp;cp=33.2336~44.3294&amp;sp=point.33.2336_44.3294","Maplink3")</f>
        <v>Maplink3</v>
      </c>
    </row>
    <row r="932" customFormat="false" ht="15" hidden="false" customHeight="true" outlineLevel="0" collapsed="false">
      <c r="A932" s="15" t="n">
        <v>25830</v>
      </c>
      <c r="B932" s="16" t="s">
        <v>17</v>
      </c>
      <c r="C932" s="16" t="s">
        <v>1709</v>
      </c>
      <c r="D932" s="16" t="s">
        <v>1862</v>
      </c>
      <c r="E932" s="17" t="s">
        <v>1863</v>
      </c>
      <c r="F932" s="16" t="n">
        <v>33.24914099</v>
      </c>
      <c r="G932" s="16" t="n">
        <v>44.32026511</v>
      </c>
      <c r="H932" s="18" t="n">
        <v>33</v>
      </c>
      <c r="I932" s="18" t="n">
        <v>198</v>
      </c>
      <c r="J932" s="19" t="n">
        <v>17</v>
      </c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 t="n">
        <v>16</v>
      </c>
      <c r="W932" s="19"/>
      <c r="X932" s="19"/>
      <c r="Y932" s="19"/>
      <c r="Z932" s="19"/>
      <c r="AA932" s="19"/>
      <c r="AB932" s="19"/>
      <c r="AC932" s="19" t="n">
        <v>15</v>
      </c>
      <c r="AD932" s="19"/>
      <c r="AE932" s="19"/>
      <c r="AF932" s="19"/>
      <c r="AG932" s="19"/>
      <c r="AH932" s="19" t="n">
        <v>18</v>
      </c>
      <c r="AI932" s="19"/>
      <c r="AJ932" s="19"/>
      <c r="AK932" s="19"/>
      <c r="AL932" s="19"/>
      <c r="AM932" s="19" t="n">
        <v>16</v>
      </c>
      <c r="AN932" s="19" t="n">
        <v>4</v>
      </c>
      <c r="AO932" s="19" t="n">
        <v>7</v>
      </c>
      <c r="AP932" s="19" t="n">
        <v>6</v>
      </c>
      <c r="AQ932" s="19"/>
      <c r="AR932" s="19"/>
      <c r="AS932" s="20" t="str">
        <f aca="false">HYPERLINK("http://www.openstreetmap.org/?mlat=33.2491&amp;mlon=44.3203&amp;zoom=12#map=12/33.2491/44.3203","Maplink1")</f>
        <v>Maplink1</v>
      </c>
      <c r="AT932" s="20" t="str">
        <f aca="false">HYPERLINK("https://www.google.iq/maps/search/+33.2491,44.3203/@33.2491,44.3203,14z?hl=en","Maplink2")</f>
        <v>Maplink2</v>
      </c>
      <c r="AU932" s="20" t="str">
        <f aca="false">HYPERLINK("http://www.bing.com/maps/?lvl=14&amp;sty=h&amp;cp=33.2491~44.3203&amp;sp=point.33.2491_44.3203","Maplink3")</f>
        <v>Maplink3</v>
      </c>
    </row>
    <row r="933" customFormat="false" ht="15" hidden="false" customHeight="true" outlineLevel="0" collapsed="false">
      <c r="A933" s="15" t="n">
        <v>23325</v>
      </c>
      <c r="B933" s="16" t="s">
        <v>17</v>
      </c>
      <c r="C933" s="16" t="s">
        <v>1709</v>
      </c>
      <c r="D933" s="16" t="s">
        <v>1864</v>
      </c>
      <c r="E933" s="17" t="s">
        <v>1865</v>
      </c>
      <c r="F933" s="16" t="n">
        <v>33.2461951</v>
      </c>
      <c r="G933" s="16" t="n">
        <v>44.30797235</v>
      </c>
      <c r="H933" s="18" t="n">
        <v>56</v>
      </c>
      <c r="I933" s="18" t="n">
        <v>336</v>
      </c>
      <c r="J933" s="19" t="n">
        <v>8</v>
      </c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 t="n">
        <v>38</v>
      </c>
      <c r="W933" s="19"/>
      <c r="X933" s="19" t="n">
        <v>10</v>
      </c>
      <c r="Y933" s="19"/>
      <c r="Z933" s="19"/>
      <c r="AA933" s="19"/>
      <c r="AB933" s="19"/>
      <c r="AC933" s="19" t="n">
        <v>19</v>
      </c>
      <c r="AD933" s="19"/>
      <c r="AE933" s="19"/>
      <c r="AF933" s="19"/>
      <c r="AG933" s="19" t="n">
        <v>6</v>
      </c>
      <c r="AH933" s="19" t="n">
        <v>31</v>
      </c>
      <c r="AI933" s="19"/>
      <c r="AJ933" s="19"/>
      <c r="AK933" s="19"/>
      <c r="AL933" s="19" t="n">
        <v>6</v>
      </c>
      <c r="AM933" s="19" t="n">
        <v>29</v>
      </c>
      <c r="AN933" s="19" t="n">
        <v>12</v>
      </c>
      <c r="AO933" s="19" t="n">
        <v>5</v>
      </c>
      <c r="AP933" s="19"/>
      <c r="AQ933" s="19"/>
      <c r="AR933" s="19" t="n">
        <v>4</v>
      </c>
      <c r="AS933" s="20" t="str">
        <f aca="false">HYPERLINK("http://www.openstreetmap.org/?mlat=33.2462&amp;mlon=44.308&amp;zoom=12#map=12/33.2462/44.308","Maplink1")</f>
        <v>Maplink1</v>
      </c>
      <c r="AT933" s="20" t="str">
        <f aca="false">HYPERLINK("https://www.google.iq/maps/search/+33.2462,44.308/@33.2462,44.308,14z?hl=en","Maplink2")</f>
        <v>Maplink2</v>
      </c>
      <c r="AU933" s="20" t="str">
        <f aca="false">HYPERLINK("http://www.bing.com/maps/?lvl=14&amp;sty=h&amp;cp=33.2462~44.308&amp;sp=point.33.2462_44.308","Maplink3")</f>
        <v>Maplink3</v>
      </c>
    </row>
    <row r="934" customFormat="false" ht="15" hidden="false" customHeight="true" outlineLevel="0" collapsed="false">
      <c r="A934" s="15" t="n">
        <v>23085</v>
      </c>
      <c r="B934" s="16" t="s">
        <v>17</v>
      </c>
      <c r="C934" s="16" t="s">
        <v>1709</v>
      </c>
      <c r="D934" s="16" t="s">
        <v>1866</v>
      </c>
      <c r="E934" s="17" t="s">
        <v>1867</v>
      </c>
      <c r="F934" s="16" t="n">
        <v>33.24307461</v>
      </c>
      <c r="G934" s="16" t="n">
        <v>44.30138167</v>
      </c>
      <c r="H934" s="18" t="n">
        <v>16</v>
      </c>
      <c r="I934" s="18" t="n">
        <v>96</v>
      </c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 t="n">
        <v>13</v>
      </c>
      <c r="W934" s="19"/>
      <c r="X934" s="19" t="n">
        <v>3</v>
      </c>
      <c r="Y934" s="19"/>
      <c r="Z934" s="19"/>
      <c r="AA934" s="19"/>
      <c r="AB934" s="19"/>
      <c r="AC934" s="19" t="n">
        <v>7</v>
      </c>
      <c r="AD934" s="19"/>
      <c r="AE934" s="19"/>
      <c r="AF934" s="19"/>
      <c r="AG934" s="19"/>
      <c r="AH934" s="19" t="n">
        <v>9</v>
      </c>
      <c r="AI934" s="19"/>
      <c r="AJ934" s="19"/>
      <c r="AK934" s="19"/>
      <c r="AL934" s="19"/>
      <c r="AM934" s="19" t="n">
        <v>16</v>
      </c>
      <c r="AN934" s="19"/>
      <c r="AO934" s="19"/>
      <c r="AP934" s="19"/>
      <c r="AQ934" s="19"/>
      <c r="AR934" s="19"/>
      <c r="AS934" s="20" t="str">
        <f aca="false">HYPERLINK("http://www.openstreetmap.org/?mlat=33.2431&amp;mlon=44.3014&amp;zoom=12#map=12/33.2431/44.3014","Maplink1")</f>
        <v>Maplink1</v>
      </c>
      <c r="AT934" s="20" t="str">
        <f aca="false">HYPERLINK("https://www.google.iq/maps/search/+33.2431,44.3014/@33.2431,44.3014,14z?hl=en","Maplink2")</f>
        <v>Maplink2</v>
      </c>
      <c r="AU934" s="20" t="str">
        <f aca="false">HYPERLINK("http://www.bing.com/maps/?lvl=14&amp;sty=h&amp;cp=33.2431~44.3014&amp;sp=point.33.2431_44.3014","Maplink3")</f>
        <v>Maplink3</v>
      </c>
    </row>
    <row r="935" customFormat="false" ht="15" hidden="false" customHeight="true" outlineLevel="0" collapsed="false">
      <c r="A935" s="15" t="n">
        <v>23086</v>
      </c>
      <c r="B935" s="16" t="s">
        <v>17</v>
      </c>
      <c r="C935" s="16" t="s">
        <v>1709</v>
      </c>
      <c r="D935" s="16" t="s">
        <v>1868</v>
      </c>
      <c r="E935" s="17" t="s">
        <v>1869</v>
      </c>
      <c r="F935" s="16" t="n">
        <v>33.24957295</v>
      </c>
      <c r="G935" s="16" t="n">
        <v>44.3120286</v>
      </c>
      <c r="H935" s="18" t="n">
        <v>77</v>
      </c>
      <c r="I935" s="18" t="n">
        <v>462</v>
      </c>
      <c r="J935" s="19" t="n">
        <v>8</v>
      </c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 t="n">
        <v>60</v>
      </c>
      <c r="W935" s="19"/>
      <c r="X935" s="19" t="n">
        <v>9</v>
      </c>
      <c r="Y935" s="19"/>
      <c r="Z935" s="19"/>
      <c r="AA935" s="19"/>
      <c r="AB935" s="19"/>
      <c r="AC935" s="19" t="n">
        <v>17</v>
      </c>
      <c r="AD935" s="19"/>
      <c r="AE935" s="19"/>
      <c r="AF935" s="19"/>
      <c r="AG935" s="19" t="n">
        <v>33</v>
      </c>
      <c r="AH935" s="19" t="n">
        <v>27</v>
      </c>
      <c r="AI935" s="19"/>
      <c r="AJ935" s="19"/>
      <c r="AK935" s="19"/>
      <c r="AL935" s="19" t="n">
        <v>7</v>
      </c>
      <c r="AM935" s="19" t="n">
        <v>41</v>
      </c>
      <c r="AN935" s="19" t="n">
        <v>5</v>
      </c>
      <c r="AO935" s="19" t="n">
        <v>9</v>
      </c>
      <c r="AP935" s="19" t="n">
        <v>10</v>
      </c>
      <c r="AQ935" s="19"/>
      <c r="AR935" s="19" t="n">
        <v>5</v>
      </c>
      <c r="AS935" s="20" t="str">
        <f aca="false">HYPERLINK("http://www.openstreetmap.org/?mlat=33.2496&amp;mlon=44.312&amp;zoom=12#map=12/33.2496/44.312","Maplink1")</f>
        <v>Maplink1</v>
      </c>
      <c r="AT935" s="20" t="str">
        <f aca="false">HYPERLINK("https://www.google.iq/maps/search/+33.2496,44.312/@33.2496,44.312,14z?hl=en","Maplink2")</f>
        <v>Maplink2</v>
      </c>
      <c r="AU935" s="20" t="str">
        <f aca="false">HYPERLINK("http://www.bing.com/maps/?lvl=14&amp;sty=h&amp;cp=33.2496~44.312&amp;sp=point.33.2496_44.312","Maplink3")</f>
        <v>Maplink3</v>
      </c>
    </row>
    <row r="936" customFormat="false" ht="15" hidden="false" customHeight="true" outlineLevel="0" collapsed="false">
      <c r="A936" s="15" t="n">
        <v>25459</v>
      </c>
      <c r="B936" s="16" t="s">
        <v>17</v>
      </c>
      <c r="C936" s="16" t="s">
        <v>1709</v>
      </c>
      <c r="D936" s="16" t="s">
        <v>1870</v>
      </c>
      <c r="E936" s="17" t="s">
        <v>1871</v>
      </c>
      <c r="F936" s="16" t="n">
        <v>33.24224747</v>
      </c>
      <c r="G936" s="16" t="n">
        <v>44.30316762</v>
      </c>
      <c r="H936" s="18" t="n">
        <v>62</v>
      </c>
      <c r="I936" s="18" t="n">
        <v>372</v>
      </c>
      <c r="J936" s="19" t="n">
        <v>31</v>
      </c>
      <c r="K936" s="19"/>
      <c r="L936" s="19"/>
      <c r="M936" s="19"/>
      <c r="N936" s="19"/>
      <c r="O936" s="19" t="n">
        <v>2</v>
      </c>
      <c r="P936" s="19"/>
      <c r="Q936" s="19"/>
      <c r="R936" s="19"/>
      <c r="S936" s="19"/>
      <c r="T936" s="19"/>
      <c r="U936" s="19"/>
      <c r="V936" s="19" t="n">
        <v>21</v>
      </c>
      <c r="W936" s="19"/>
      <c r="X936" s="19" t="n">
        <v>8</v>
      </c>
      <c r="Y936" s="19"/>
      <c r="Z936" s="19"/>
      <c r="AA936" s="19"/>
      <c r="AB936" s="19"/>
      <c r="AC936" s="19" t="n">
        <v>27</v>
      </c>
      <c r="AD936" s="19"/>
      <c r="AE936" s="19"/>
      <c r="AF936" s="19"/>
      <c r="AG936" s="19"/>
      <c r="AH936" s="19" t="n">
        <v>35</v>
      </c>
      <c r="AI936" s="19"/>
      <c r="AJ936" s="19"/>
      <c r="AK936" s="19"/>
      <c r="AL936" s="19" t="n">
        <v>11</v>
      </c>
      <c r="AM936" s="19" t="n">
        <v>31</v>
      </c>
      <c r="AN936" s="19" t="n">
        <v>3</v>
      </c>
      <c r="AO936" s="19" t="n">
        <v>5</v>
      </c>
      <c r="AP936" s="19" t="n">
        <v>7</v>
      </c>
      <c r="AQ936" s="19" t="n">
        <v>5</v>
      </c>
      <c r="AR936" s="19"/>
      <c r="AS936" s="20" t="str">
        <f aca="false">HYPERLINK("http://www.openstreetmap.org/?mlat=33.2422&amp;mlon=44.3032&amp;zoom=12#map=12/33.2422/44.3032","Maplink1")</f>
        <v>Maplink1</v>
      </c>
      <c r="AT936" s="20" t="str">
        <f aca="false">HYPERLINK("https://www.google.iq/maps/search/+33.2422,44.3032/@33.2422,44.3032,14z?hl=en","Maplink2")</f>
        <v>Maplink2</v>
      </c>
      <c r="AU936" s="20" t="str">
        <f aca="false">HYPERLINK("http://www.bing.com/maps/?lvl=14&amp;sty=h&amp;cp=33.2422~44.3032&amp;sp=point.33.2422_44.3032","Maplink3")</f>
        <v>Maplink3</v>
      </c>
    </row>
    <row r="937" customFormat="false" ht="15" hidden="false" customHeight="true" outlineLevel="0" collapsed="false">
      <c r="A937" s="15" t="n">
        <v>7523</v>
      </c>
      <c r="B937" s="16" t="s">
        <v>17</v>
      </c>
      <c r="C937" s="16" t="s">
        <v>1709</v>
      </c>
      <c r="D937" s="16" t="s">
        <v>1872</v>
      </c>
      <c r="E937" s="17" t="s">
        <v>1873</v>
      </c>
      <c r="F937" s="16" t="n">
        <v>33.24676362</v>
      </c>
      <c r="G937" s="16" t="n">
        <v>44.30338521</v>
      </c>
      <c r="H937" s="18" t="n">
        <v>35</v>
      </c>
      <c r="I937" s="18" t="n">
        <v>210</v>
      </c>
      <c r="J937" s="19" t="n">
        <v>3</v>
      </c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 t="n">
        <v>32</v>
      </c>
      <c r="W937" s="19"/>
      <c r="X937" s="19"/>
      <c r="Y937" s="19"/>
      <c r="Z937" s="19"/>
      <c r="AA937" s="19"/>
      <c r="AB937" s="19"/>
      <c r="AC937" s="19" t="n">
        <v>19</v>
      </c>
      <c r="AD937" s="19"/>
      <c r="AE937" s="19"/>
      <c r="AF937" s="19"/>
      <c r="AG937" s="19"/>
      <c r="AH937" s="19" t="n">
        <v>16</v>
      </c>
      <c r="AI937" s="19"/>
      <c r="AJ937" s="19"/>
      <c r="AK937" s="19"/>
      <c r="AL937" s="19"/>
      <c r="AM937" s="19" t="n">
        <v>18</v>
      </c>
      <c r="AN937" s="19"/>
      <c r="AO937" s="19" t="n">
        <v>8</v>
      </c>
      <c r="AP937" s="19" t="n">
        <v>3</v>
      </c>
      <c r="AQ937" s="19"/>
      <c r="AR937" s="19" t="n">
        <v>6</v>
      </c>
      <c r="AS937" s="20" t="str">
        <f aca="false">HYPERLINK("http://www.openstreetmap.org/?mlat=33.2468&amp;mlon=44.3034&amp;zoom=12#map=12/33.2468/44.3034","Maplink1")</f>
        <v>Maplink1</v>
      </c>
      <c r="AT937" s="20" t="str">
        <f aca="false">HYPERLINK("https://www.google.iq/maps/search/+33.2468,44.3034/@33.2468,44.3034,14z?hl=en","Maplink2")</f>
        <v>Maplink2</v>
      </c>
      <c r="AU937" s="20" t="str">
        <f aca="false">HYPERLINK("http://www.bing.com/maps/?lvl=14&amp;sty=h&amp;cp=33.2468~44.3034&amp;sp=point.33.2468_44.3034","Maplink3")</f>
        <v>Maplink3</v>
      </c>
    </row>
    <row r="938" customFormat="false" ht="15" hidden="false" customHeight="true" outlineLevel="0" collapsed="false">
      <c r="A938" s="15" t="n">
        <v>23984</v>
      </c>
      <c r="B938" s="16" t="s">
        <v>17</v>
      </c>
      <c r="C938" s="16" t="s">
        <v>1709</v>
      </c>
      <c r="D938" s="16" t="s">
        <v>1874</v>
      </c>
      <c r="E938" s="17" t="s">
        <v>1875</v>
      </c>
      <c r="F938" s="16" t="n">
        <v>33.24935247</v>
      </c>
      <c r="G938" s="16" t="n">
        <v>44.39544753</v>
      </c>
      <c r="H938" s="18" t="n">
        <v>782</v>
      </c>
      <c r="I938" s="18" t="n">
        <v>4692</v>
      </c>
      <c r="J938" s="19" t="n">
        <v>685</v>
      </c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 t="n">
        <v>97</v>
      </c>
      <c r="Y938" s="19"/>
      <c r="Z938" s="19"/>
      <c r="AA938" s="19"/>
      <c r="AB938" s="19"/>
      <c r="AC938" s="19" t="n">
        <v>196</v>
      </c>
      <c r="AD938" s="19"/>
      <c r="AE938" s="19"/>
      <c r="AF938" s="19"/>
      <c r="AG938" s="19"/>
      <c r="AH938" s="19" t="n">
        <v>586</v>
      </c>
      <c r="AI938" s="19"/>
      <c r="AJ938" s="19"/>
      <c r="AK938" s="19"/>
      <c r="AL938" s="19" t="n">
        <v>270</v>
      </c>
      <c r="AM938" s="19" t="n">
        <v>87</v>
      </c>
      <c r="AN938" s="19" t="n">
        <v>47</v>
      </c>
      <c r="AO938" s="19" t="n">
        <v>148</v>
      </c>
      <c r="AP938" s="19" t="n">
        <v>194</v>
      </c>
      <c r="AQ938" s="19" t="n">
        <v>36</v>
      </c>
      <c r="AR938" s="19"/>
      <c r="AS938" s="20" t="str">
        <f aca="false">HYPERLINK("http://www.openstreetmap.org/?mlat=33.2494&amp;mlon=44.3954&amp;zoom=12#map=12/33.2494/44.3954","Maplink1")</f>
        <v>Maplink1</v>
      </c>
      <c r="AT938" s="20" t="str">
        <f aca="false">HYPERLINK("https://www.google.iq/maps/search/+33.2494,44.3954/@33.2494,44.3954,14z?hl=en","Maplink2")</f>
        <v>Maplink2</v>
      </c>
      <c r="AU938" s="20" t="str">
        <f aca="false">HYPERLINK("http://www.bing.com/maps/?lvl=14&amp;sty=h&amp;cp=33.2494~44.3954&amp;sp=point.33.2494_44.3954","Maplink3")</f>
        <v>Maplink3</v>
      </c>
    </row>
    <row r="939" customFormat="false" ht="15" hidden="false" customHeight="true" outlineLevel="0" collapsed="false">
      <c r="A939" s="15" t="n">
        <v>23986</v>
      </c>
      <c r="B939" s="16" t="s">
        <v>17</v>
      </c>
      <c r="C939" s="16" t="s">
        <v>1709</v>
      </c>
      <c r="D939" s="16" t="s">
        <v>1876</v>
      </c>
      <c r="E939" s="17" t="s">
        <v>1877</v>
      </c>
      <c r="F939" s="16" t="n">
        <v>33.25184759</v>
      </c>
      <c r="G939" s="16" t="n">
        <v>44.39075596</v>
      </c>
      <c r="H939" s="18" t="n">
        <v>902</v>
      </c>
      <c r="I939" s="18" t="n">
        <v>5412</v>
      </c>
      <c r="J939" s="19" t="n">
        <v>836</v>
      </c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 t="n">
        <v>6</v>
      </c>
      <c r="W939" s="19"/>
      <c r="X939" s="19" t="n">
        <v>60</v>
      </c>
      <c r="Y939" s="19"/>
      <c r="Z939" s="19"/>
      <c r="AA939" s="19"/>
      <c r="AB939" s="19"/>
      <c r="AC939" s="19" t="n">
        <v>526</v>
      </c>
      <c r="AD939" s="19"/>
      <c r="AE939" s="19"/>
      <c r="AF939" s="19"/>
      <c r="AG939" s="19"/>
      <c r="AH939" s="19" t="n">
        <v>376</v>
      </c>
      <c r="AI939" s="19"/>
      <c r="AJ939" s="19"/>
      <c r="AK939" s="19"/>
      <c r="AL939" s="19" t="n">
        <v>605</v>
      </c>
      <c r="AM939" s="19" t="n">
        <v>69</v>
      </c>
      <c r="AN939" s="19"/>
      <c r="AO939" s="19"/>
      <c r="AP939" s="19" t="n">
        <v>192</v>
      </c>
      <c r="AQ939" s="19" t="n">
        <v>30</v>
      </c>
      <c r="AR939" s="19" t="n">
        <v>6</v>
      </c>
      <c r="AS939" s="20" t="str">
        <f aca="false">HYPERLINK("http://www.openstreetmap.org/?mlat=33.2518&amp;mlon=44.3908&amp;zoom=12#map=12/33.2518/44.3908","Maplink1")</f>
        <v>Maplink1</v>
      </c>
      <c r="AT939" s="20" t="str">
        <f aca="false">HYPERLINK("https://www.google.iq/maps/search/+33.2518,44.3908/@33.2518,44.3908,14z?hl=en","Maplink2")</f>
        <v>Maplink2</v>
      </c>
      <c r="AU939" s="20" t="str">
        <f aca="false">HYPERLINK("http://www.bing.com/maps/?lvl=14&amp;sty=h&amp;cp=33.2518~44.3908&amp;sp=point.33.2518_44.3908","Maplink3")</f>
        <v>Maplink3</v>
      </c>
    </row>
    <row r="940" customFormat="false" ht="15" hidden="false" customHeight="true" outlineLevel="0" collapsed="false">
      <c r="A940" s="15" t="n">
        <v>7534</v>
      </c>
      <c r="B940" s="16" t="s">
        <v>17</v>
      </c>
      <c r="C940" s="16" t="s">
        <v>1709</v>
      </c>
      <c r="D940" s="16" t="s">
        <v>1878</v>
      </c>
      <c r="E940" s="17" t="s">
        <v>1879</v>
      </c>
      <c r="F940" s="16" t="n">
        <v>33.296962</v>
      </c>
      <c r="G940" s="16" t="n">
        <v>44.338984</v>
      </c>
      <c r="H940" s="18" t="n">
        <v>2</v>
      </c>
      <c r="I940" s="18" t="n">
        <v>12</v>
      </c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 t="n">
        <v>2</v>
      </c>
      <c r="W940" s="19"/>
      <c r="X940" s="19"/>
      <c r="Y940" s="19"/>
      <c r="Z940" s="19"/>
      <c r="AA940" s="19"/>
      <c r="AB940" s="19"/>
      <c r="AC940" s="19" t="n">
        <v>2</v>
      </c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 t="n">
        <v>2</v>
      </c>
      <c r="AS940" s="20" t="str">
        <f aca="false">HYPERLINK("http://www.openstreetmap.org/?mlat=33.297&amp;mlon=44.339&amp;zoom=12#map=12/33.297/44.339","Maplink1")</f>
        <v>Maplink1</v>
      </c>
      <c r="AT940" s="20" t="str">
        <f aca="false">HYPERLINK("https://www.google.iq/maps/search/+33.297,44.339/@33.297,44.339,14z?hl=en","Maplink2")</f>
        <v>Maplink2</v>
      </c>
      <c r="AU940" s="20" t="str">
        <f aca="false">HYPERLINK("http://www.bing.com/maps/?lvl=14&amp;sty=h&amp;cp=33.297~44.339&amp;sp=point.33.297_44.339","Maplink3")</f>
        <v>Maplink3</v>
      </c>
    </row>
    <row r="941" customFormat="false" ht="15" hidden="false" customHeight="true" outlineLevel="0" collapsed="false">
      <c r="A941" s="15" t="n">
        <v>24986</v>
      </c>
      <c r="B941" s="16" t="s">
        <v>17</v>
      </c>
      <c r="C941" s="16" t="s">
        <v>1709</v>
      </c>
      <c r="D941" s="16" t="s">
        <v>1880</v>
      </c>
      <c r="E941" s="17" t="s">
        <v>1881</v>
      </c>
      <c r="F941" s="16" t="n">
        <v>33.29347</v>
      </c>
      <c r="G941" s="16" t="n">
        <v>44.34501</v>
      </c>
      <c r="H941" s="18" t="n">
        <v>194</v>
      </c>
      <c r="I941" s="18" t="n">
        <v>1164</v>
      </c>
      <c r="J941" s="19" t="n">
        <v>174</v>
      </c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 t="n">
        <v>20</v>
      </c>
      <c r="W941" s="19"/>
      <c r="X941" s="19"/>
      <c r="Y941" s="19"/>
      <c r="Z941" s="19"/>
      <c r="AA941" s="19"/>
      <c r="AB941" s="19"/>
      <c r="AC941" s="19" t="n">
        <v>45</v>
      </c>
      <c r="AD941" s="19"/>
      <c r="AE941" s="19"/>
      <c r="AF941" s="19"/>
      <c r="AG941" s="19"/>
      <c r="AH941" s="19" t="n">
        <v>149</v>
      </c>
      <c r="AI941" s="19"/>
      <c r="AJ941" s="19"/>
      <c r="AK941" s="19"/>
      <c r="AL941" s="19"/>
      <c r="AM941" s="19"/>
      <c r="AN941" s="19" t="n">
        <v>20</v>
      </c>
      <c r="AO941" s="19" t="n">
        <v>153</v>
      </c>
      <c r="AP941" s="19" t="n">
        <v>21</v>
      </c>
      <c r="AQ941" s="19"/>
      <c r="AR941" s="19"/>
      <c r="AS941" s="20" t="str">
        <f aca="false">HYPERLINK("http://www.openstreetmap.org/?mlat=33.2935&amp;mlon=44.345&amp;zoom=12#map=12/33.2935/44.345","Maplink1")</f>
        <v>Maplink1</v>
      </c>
      <c r="AT941" s="20" t="str">
        <f aca="false">HYPERLINK("https://www.google.iq/maps/search/+33.2935,44.345/@33.2935,44.345,14z?hl=en","Maplink2")</f>
        <v>Maplink2</v>
      </c>
      <c r="AU941" s="20" t="str">
        <f aca="false">HYPERLINK("http://www.bing.com/maps/?lvl=14&amp;sty=h&amp;cp=33.2935~44.345&amp;sp=point.33.2935_44.345","Maplink3")</f>
        <v>Maplink3</v>
      </c>
    </row>
    <row r="942" customFormat="false" ht="15" hidden="false" customHeight="true" outlineLevel="0" collapsed="false">
      <c r="A942" s="15" t="n">
        <v>24987</v>
      </c>
      <c r="B942" s="16" t="s">
        <v>17</v>
      </c>
      <c r="C942" s="16" t="s">
        <v>1709</v>
      </c>
      <c r="D942" s="16" t="s">
        <v>1882</v>
      </c>
      <c r="E942" s="17" t="s">
        <v>1883</v>
      </c>
      <c r="F942" s="16" t="n">
        <v>33.3037</v>
      </c>
      <c r="G942" s="16" t="n">
        <v>44.3398</v>
      </c>
      <c r="H942" s="18" t="n">
        <v>239</v>
      </c>
      <c r="I942" s="18" t="n">
        <v>1434</v>
      </c>
      <c r="J942" s="19" t="n">
        <v>177</v>
      </c>
      <c r="K942" s="19" t="n">
        <v>4</v>
      </c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 t="n">
        <v>31</v>
      </c>
      <c r="W942" s="19"/>
      <c r="X942" s="19" t="n">
        <v>27</v>
      </c>
      <c r="Y942" s="19"/>
      <c r="Z942" s="19"/>
      <c r="AA942" s="19"/>
      <c r="AB942" s="19"/>
      <c r="AC942" s="19" t="n">
        <v>63</v>
      </c>
      <c r="AD942" s="19"/>
      <c r="AE942" s="19"/>
      <c r="AF942" s="19"/>
      <c r="AG942" s="19"/>
      <c r="AH942" s="19" t="n">
        <v>176</v>
      </c>
      <c r="AI942" s="19"/>
      <c r="AJ942" s="19"/>
      <c r="AK942" s="19"/>
      <c r="AL942" s="19"/>
      <c r="AM942" s="19" t="n">
        <v>10</v>
      </c>
      <c r="AN942" s="19" t="n">
        <v>22</v>
      </c>
      <c r="AO942" s="19" t="n">
        <v>49</v>
      </c>
      <c r="AP942" s="19" t="n">
        <v>158</v>
      </c>
      <c r="AQ942" s="19"/>
      <c r="AR942" s="19"/>
      <c r="AS942" s="20" t="str">
        <f aca="false">HYPERLINK("http://www.openstreetmap.org/?mlat=33.3037&amp;mlon=44.3398&amp;zoom=12#map=12/33.3037/44.3398","Maplink1")</f>
        <v>Maplink1</v>
      </c>
      <c r="AT942" s="20" t="str">
        <f aca="false">HYPERLINK("https://www.google.iq/maps/search/+33.3037,44.3398/@33.3037,44.3398,14z?hl=en","Maplink2")</f>
        <v>Maplink2</v>
      </c>
      <c r="AU942" s="20" t="str">
        <f aca="false">HYPERLINK("http://www.bing.com/maps/?lvl=14&amp;sty=h&amp;cp=33.3037~44.3398&amp;sp=point.33.3037_44.3398","Maplink3")</f>
        <v>Maplink3</v>
      </c>
    </row>
    <row r="943" customFormat="false" ht="15" hidden="false" customHeight="true" outlineLevel="0" collapsed="false">
      <c r="A943" s="15" t="n">
        <v>24062</v>
      </c>
      <c r="B943" s="16" t="s">
        <v>17</v>
      </c>
      <c r="C943" s="16" t="s">
        <v>1709</v>
      </c>
      <c r="D943" s="16" t="s">
        <v>1884</v>
      </c>
      <c r="E943" s="17" t="s">
        <v>1885</v>
      </c>
      <c r="F943" s="16" t="n">
        <v>33.2996</v>
      </c>
      <c r="G943" s="16" t="n">
        <v>44.3398</v>
      </c>
      <c r="H943" s="18" t="n">
        <v>193</v>
      </c>
      <c r="I943" s="18" t="n">
        <v>1158</v>
      </c>
      <c r="J943" s="19" t="n">
        <v>161</v>
      </c>
      <c r="K943" s="19"/>
      <c r="L943" s="19"/>
      <c r="M943" s="19"/>
      <c r="N943" s="19"/>
      <c r="O943" s="19" t="n">
        <v>3</v>
      </c>
      <c r="P943" s="19"/>
      <c r="Q943" s="19"/>
      <c r="R943" s="19"/>
      <c r="S943" s="19"/>
      <c r="T943" s="19"/>
      <c r="U943" s="19"/>
      <c r="V943" s="19" t="n">
        <v>15</v>
      </c>
      <c r="W943" s="19"/>
      <c r="X943" s="19" t="n">
        <v>14</v>
      </c>
      <c r="Y943" s="19"/>
      <c r="Z943" s="19"/>
      <c r="AA943" s="19"/>
      <c r="AB943" s="19"/>
      <c r="AC943" s="19" t="n">
        <v>79</v>
      </c>
      <c r="AD943" s="19"/>
      <c r="AE943" s="19"/>
      <c r="AF943" s="19"/>
      <c r="AG943" s="19"/>
      <c r="AH943" s="19" t="n">
        <v>114</v>
      </c>
      <c r="AI943" s="19"/>
      <c r="AJ943" s="19"/>
      <c r="AK943" s="19"/>
      <c r="AL943" s="19" t="n">
        <v>90</v>
      </c>
      <c r="AM943" s="19"/>
      <c r="AN943" s="19" t="n">
        <v>20</v>
      </c>
      <c r="AO943" s="19" t="n">
        <v>34</v>
      </c>
      <c r="AP943" s="19" t="n">
        <v>49</v>
      </c>
      <c r="AQ943" s="19"/>
      <c r="AR943" s="19"/>
      <c r="AS943" s="20" t="str">
        <f aca="false">HYPERLINK("http://www.openstreetmap.org/?mlat=33.2996&amp;mlon=44.3398&amp;zoom=12#map=12/33.2996/44.3398","Maplink1")</f>
        <v>Maplink1</v>
      </c>
      <c r="AT943" s="20" t="str">
        <f aca="false">HYPERLINK("https://www.google.iq/maps/search/+33.2996,44.3398/@33.2996,44.3398,14z?hl=en","Maplink2")</f>
        <v>Maplink2</v>
      </c>
      <c r="AU943" s="20" t="str">
        <f aca="false">HYPERLINK("http://www.bing.com/maps/?lvl=14&amp;sty=h&amp;cp=33.2996~44.3398&amp;sp=point.33.2996_44.3398","Maplink3")</f>
        <v>Maplink3</v>
      </c>
    </row>
    <row r="944" customFormat="false" ht="15" hidden="false" customHeight="true" outlineLevel="0" collapsed="false">
      <c r="A944" s="15" t="n">
        <v>24072</v>
      </c>
      <c r="B944" s="16" t="s">
        <v>17</v>
      </c>
      <c r="C944" s="16" t="s">
        <v>1709</v>
      </c>
      <c r="D944" s="16" t="s">
        <v>1886</v>
      </c>
      <c r="E944" s="17" t="s">
        <v>1887</v>
      </c>
      <c r="F944" s="16" t="n">
        <v>33.29896686</v>
      </c>
      <c r="G944" s="16" t="n">
        <v>44.3340878</v>
      </c>
      <c r="H944" s="18" t="n">
        <v>214</v>
      </c>
      <c r="I944" s="18" t="n">
        <v>1284</v>
      </c>
      <c r="J944" s="19" t="n">
        <v>156</v>
      </c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 t="n">
        <v>35</v>
      </c>
      <c r="W944" s="19"/>
      <c r="X944" s="19" t="n">
        <v>23</v>
      </c>
      <c r="Y944" s="19"/>
      <c r="Z944" s="19"/>
      <c r="AA944" s="19"/>
      <c r="AB944" s="19"/>
      <c r="AC944" s="19" t="n">
        <v>87</v>
      </c>
      <c r="AD944" s="19"/>
      <c r="AE944" s="19"/>
      <c r="AF944" s="19"/>
      <c r="AG944" s="19"/>
      <c r="AH944" s="19" t="n">
        <v>127</v>
      </c>
      <c r="AI944" s="19"/>
      <c r="AJ944" s="19"/>
      <c r="AK944" s="19"/>
      <c r="AL944" s="19" t="n">
        <v>98</v>
      </c>
      <c r="AM944" s="19"/>
      <c r="AN944" s="19" t="n">
        <v>35</v>
      </c>
      <c r="AO944" s="19" t="n">
        <v>22</v>
      </c>
      <c r="AP944" s="19" t="n">
        <v>59</v>
      </c>
      <c r="AQ944" s="19"/>
      <c r="AR944" s="19"/>
      <c r="AS944" s="20" t="str">
        <f aca="false">HYPERLINK("http://www.openstreetmap.org/?mlat=33.299&amp;mlon=44.3341&amp;zoom=12#map=12/33.299/44.3341","Maplink1")</f>
        <v>Maplink1</v>
      </c>
      <c r="AT944" s="20" t="str">
        <f aca="false">HYPERLINK("https://www.google.iq/maps/search/+33.299,44.3341/@33.299,44.3341,14z?hl=en","Maplink2")</f>
        <v>Maplink2</v>
      </c>
      <c r="AU944" s="20" t="str">
        <f aca="false">HYPERLINK("http://www.bing.com/maps/?lvl=14&amp;sty=h&amp;cp=33.299~44.3341&amp;sp=point.33.299_44.3341","Maplink3")</f>
        <v>Maplink3</v>
      </c>
    </row>
    <row r="945" customFormat="false" ht="15" hidden="false" customHeight="true" outlineLevel="0" collapsed="false">
      <c r="A945" s="15" t="n">
        <v>24059</v>
      </c>
      <c r="B945" s="16" t="s">
        <v>17</v>
      </c>
      <c r="C945" s="16" t="s">
        <v>1709</v>
      </c>
      <c r="D945" s="16" t="s">
        <v>1888</v>
      </c>
      <c r="E945" s="17" t="s">
        <v>1889</v>
      </c>
      <c r="F945" s="16" t="n">
        <v>33.2951</v>
      </c>
      <c r="G945" s="16" t="n">
        <v>44.335</v>
      </c>
      <c r="H945" s="18" t="n">
        <v>203</v>
      </c>
      <c r="I945" s="18" t="n">
        <v>1218</v>
      </c>
      <c r="J945" s="19" t="n">
        <v>142</v>
      </c>
      <c r="K945" s="19" t="n">
        <v>2</v>
      </c>
      <c r="L945" s="19"/>
      <c r="M945" s="19"/>
      <c r="N945" s="19"/>
      <c r="O945" s="19" t="n">
        <v>8</v>
      </c>
      <c r="P945" s="19"/>
      <c r="Q945" s="19"/>
      <c r="R945" s="19"/>
      <c r="S945" s="19"/>
      <c r="T945" s="19"/>
      <c r="U945" s="19"/>
      <c r="V945" s="19" t="n">
        <v>33</v>
      </c>
      <c r="W945" s="19"/>
      <c r="X945" s="19" t="n">
        <v>18</v>
      </c>
      <c r="Y945" s="19"/>
      <c r="Z945" s="19"/>
      <c r="AA945" s="19"/>
      <c r="AB945" s="19"/>
      <c r="AC945" s="19" t="n">
        <v>86</v>
      </c>
      <c r="AD945" s="19"/>
      <c r="AE945" s="19"/>
      <c r="AF945" s="19"/>
      <c r="AG945" s="19"/>
      <c r="AH945" s="19" t="n">
        <v>117</v>
      </c>
      <c r="AI945" s="19"/>
      <c r="AJ945" s="19"/>
      <c r="AK945" s="19"/>
      <c r="AL945" s="19" t="n">
        <v>120</v>
      </c>
      <c r="AM945" s="19"/>
      <c r="AN945" s="19" t="n">
        <v>12</v>
      </c>
      <c r="AO945" s="19" t="n">
        <v>36</v>
      </c>
      <c r="AP945" s="19" t="n">
        <v>35</v>
      </c>
      <c r="AQ945" s="19"/>
      <c r="AR945" s="19"/>
      <c r="AS945" s="20" t="str">
        <f aca="false">HYPERLINK("http://www.openstreetmap.org/?mlat=33.2951&amp;mlon=44.335&amp;zoom=12#map=12/33.2951/44.335","Maplink1")</f>
        <v>Maplink1</v>
      </c>
      <c r="AT945" s="20" t="str">
        <f aca="false">HYPERLINK("https://www.google.iq/maps/search/+33.2951,44.335/@33.2951,44.335,14z?hl=en","Maplink2")</f>
        <v>Maplink2</v>
      </c>
      <c r="AU945" s="20" t="str">
        <f aca="false">HYPERLINK("http://www.bing.com/maps/?lvl=14&amp;sty=h&amp;cp=33.2951~44.335&amp;sp=point.33.2951_44.335","Maplink3")</f>
        <v>Maplink3</v>
      </c>
    </row>
    <row r="946" customFormat="false" ht="15" hidden="false" customHeight="true" outlineLevel="0" collapsed="false">
      <c r="A946" s="15" t="n">
        <v>25201</v>
      </c>
      <c r="B946" s="16" t="s">
        <v>17</v>
      </c>
      <c r="C946" s="16" t="s">
        <v>1709</v>
      </c>
      <c r="D946" s="16" t="s">
        <v>1890</v>
      </c>
      <c r="E946" s="17" t="s">
        <v>1891</v>
      </c>
      <c r="F946" s="16" t="n">
        <v>33.33557</v>
      </c>
      <c r="G946" s="16" t="n">
        <v>44.33581</v>
      </c>
      <c r="H946" s="18" t="n">
        <v>10</v>
      </c>
      <c r="I946" s="18" t="n">
        <v>60</v>
      </c>
      <c r="J946" s="19" t="n">
        <v>4</v>
      </c>
      <c r="K946" s="19"/>
      <c r="L946" s="19"/>
      <c r="M946" s="19"/>
      <c r="N946" s="19"/>
      <c r="O946" s="19" t="n">
        <v>4</v>
      </c>
      <c r="P946" s="19"/>
      <c r="Q946" s="19"/>
      <c r="R946" s="19"/>
      <c r="S946" s="19"/>
      <c r="T946" s="19"/>
      <c r="U946" s="19"/>
      <c r="V946" s="19"/>
      <c r="W946" s="19"/>
      <c r="X946" s="19" t="n">
        <v>2</v>
      </c>
      <c r="Y946" s="19"/>
      <c r="Z946" s="19"/>
      <c r="AA946" s="19"/>
      <c r="AB946" s="19"/>
      <c r="AC946" s="19"/>
      <c r="AD946" s="19"/>
      <c r="AE946" s="19"/>
      <c r="AF946" s="19"/>
      <c r="AG946" s="19"/>
      <c r="AH946" s="19" t="n">
        <v>10</v>
      </c>
      <c r="AI946" s="19"/>
      <c r="AJ946" s="19"/>
      <c r="AK946" s="19"/>
      <c r="AL946" s="19" t="n">
        <v>4</v>
      </c>
      <c r="AM946" s="19"/>
      <c r="AN946" s="19" t="n">
        <v>4</v>
      </c>
      <c r="AO946" s="19" t="n">
        <v>2</v>
      </c>
      <c r="AP946" s="19"/>
      <c r="AQ946" s="19"/>
      <c r="AR946" s="19"/>
      <c r="AS946" s="20" t="str">
        <f aca="false">HYPERLINK("http://www.openstreetmap.org/?mlat=33.3356&amp;mlon=44.3358&amp;zoom=12#map=12/33.3356/44.3358","Maplink1")</f>
        <v>Maplink1</v>
      </c>
      <c r="AT946" s="20" t="str">
        <f aca="false">HYPERLINK("https://www.google.iq/maps/search/+33.3356,44.3358/@33.3356,44.3358,14z?hl=en","Maplink2")</f>
        <v>Maplink2</v>
      </c>
      <c r="AU946" s="20" t="str">
        <f aca="false">HYPERLINK("http://www.bing.com/maps/?lvl=14&amp;sty=h&amp;cp=33.3356~44.3358&amp;sp=point.33.3356_44.3358","Maplink3")</f>
        <v>Maplink3</v>
      </c>
    </row>
    <row r="947" customFormat="false" ht="15" hidden="false" customHeight="true" outlineLevel="0" collapsed="false">
      <c r="A947" s="15" t="n">
        <v>25202</v>
      </c>
      <c r="B947" s="16" t="s">
        <v>17</v>
      </c>
      <c r="C947" s="16" t="s">
        <v>1709</v>
      </c>
      <c r="D947" s="16" t="s">
        <v>1892</v>
      </c>
      <c r="E947" s="17" t="s">
        <v>1893</v>
      </c>
      <c r="F947" s="16" t="n">
        <v>33.33987</v>
      </c>
      <c r="G947" s="16" t="n">
        <v>44.33498</v>
      </c>
      <c r="H947" s="18" t="n">
        <v>9</v>
      </c>
      <c r="I947" s="18" t="n">
        <v>54</v>
      </c>
      <c r="J947" s="19" t="n">
        <v>5</v>
      </c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 t="n">
        <v>2</v>
      </c>
      <c r="W947" s="19"/>
      <c r="X947" s="19" t="n">
        <v>2</v>
      </c>
      <c r="Y947" s="19"/>
      <c r="Z947" s="19"/>
      <c r="AA947" s="19"/>
      <c r="AB947" s="19"/>
      <c r="AC947" s="19" t="n">
        <v>3</v>
      </c>
      <c r="AD947" s="19"/>
      <c r="AE947" s="19"/>
      <c r="AF947" s="19"/>
      <c r="AG947" s="19"/>
      <c r="AH947" s="19" t="n">
        <v>6</v>
      </c>
      <c r="AI947" s="19"/>
      <c r="AJ947" s="19"/>
      <c r="AK947" s="19"/>
      <c r="AL947" s="19"/>
      <c r="AM947" s="19"/>
      <c r="AN947" s="19"/>
      <c r="AO947" s="19" t="n">
        <v>4</v>
      </c>
      <c r="AP947" s="19" t="n">
        <v>5</v>
      </c>
      <c r="AQ947" s="19"/>
      <c r="AR947" s="19"/>
      <c r="AS947" s="20" t="str">
        <f aca="false">HYPERLINK("http://www.openstreetmap.org/?mlat=33.3399&amp;mlon=44.335&amp;zoom=12#map=12/33.3399/44.335","Maplink1")</f>
        <v>Maplink1</v>
      </c>
      <c r="AT947" s="20" t="str">
        <f aca="false">HYPERLINK("https://www.google.iq/maps/search/+33.3399,44.335/@33.3399,44.335,14z?hl=en","Maplink2")</f>
        <v>Maplink2</v>
      </c>
      <c r="AU947" s="20" t="str">
        <f aca="false">HYPERLINK("http://www.bing.com/maps/?lvl=14&amp;sty=h&amp;cp=33.3399~44.335&amp;sp=point.33.3399_44.335","Maplink3")</f>
        <v>Maplink3</v>
      </c>
    </row>
    <row r="948" customFormat="false" ht="15" hidden="false" customHeight="true" outlineLevel="0" collapsed="false">
      <c r="A948" s="15" t="n">
        <v>25931</v>
      </c>
      <c r="B948" s="16" t="s">
        <v>17</v>
      </c>
      <c r="C948" s="16" t="s">
        <v>1709</v>
      </c>
      <c r="D948" s="16" t="s">
        <v>1894</v>
      </c>
      <c r="E948" s="17" t="s">
        <v>1895</v>
      </c>
      <c r="F948" s="16" t="n">
        <v>33.3248428</v>
      </c>
      <c r="G948" s="16" t="n">
        <v>44.34717195</v>
      </c>
      <c r="H948" s="18" t="n">
        <v>168</v>
      </c>
      <c r="I948" s="18" t="n">
        <v>1008</v>
      </c>
      <c r="J948" s="19" t="n">
        <v>150</v>
      </c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 t="n">
        <v>18</v>
      </c>
      <c r="W948" s="19"/>
      <c r="X948" s="19"/>
      <c r="Y948" s="19"/>
      <c r="Z948" s="19"/>
      <c r="AA948" s="19"/>
      <c r="AB948" s="19"/>
      <c r="AC948" s="19" t="n">
        <v>35</v>
      </c>
      <c r="AD948" s="19"/>
      <c r="AE948" s="19"/>
      <c r="AF948" s="19"/>
      <c r="AG948" s="19"/>
      <c r="AH948" s="19" t="n">
        <v>133</v>
      </c>
      <c r="AI948" s="19"/>
      <c r="AJ948" s="19"/>
      <c r="AK948" s="19"/>
      <c r="AL948" s="19"/>
      <c r="AM948" s="19"/>
      <c r="AN948" s="19" t="n">
        <v>47</v>
      </c>
      <c r="AO948" s="19" t="n">
        <v>8</v>
      </c>
      <c r="AP948" s="19" t="n">
        <v>109</v>
      </c>
      <c r="AQ948" s="19"/>
      <c r="AR948" s="19" t="n">
        <v>4</v>
      </c>
      <c r="AS948" s="20" t="str">
        <f aca="false">HYPERLINK("http://www.openstreetmap.org/?mlat=33.3248&amp;mlon=44.3472&amp;zoom=12#map=12/33.3248/44.3472","Maplink1")</f>
        <v>Maplink1</v>
      </c>
      <c r="AT948" s="20" t="str">
        <f aca="false">HYPERLINK("https://www.google.iq/maps/search/+33.3248,44.3472/@33.3248,44.3472,14z?hl=en","Maplink2")</f>
        <v>Maplink2</v>
      </c>
      <c r="AU948" s="20" t="str">
        <f aca="false">HYPERLINK("http://www.bing.com/maps/?lvl=14&amp;sty=h&amp;cp=33.3248~44.3472&amp;sp=point.33.3248_44.3472","Maplink3")</f>
        <v>Maplink3</v>
      </c>
    </row>
    <row r="949" customFormat="false" ht="15" hidden="false" customHeight="true" outlineLevel="0" collapsed="false">
      <c r="A949" s="15" t="n">
        <v>25930</v>
      </c>
      <c r="B949" s="16" t="s">
        <v>17</v>
      </c>
      <c r="C949" s="16" t="s">
        <v>1709</v>
      </c>
      <c r="D949" s="16" t="s">
        <v>1896</v>
      </c>
      <c r="E949" s="17" t="s">
        <v>1897</v>
      </c>
      <c r="F949" s="16" t="n">
        <v>33.32184878</v>
      </c>
      <c r="G949" s="16" t="n">
        <v>44.33838076</v>
      </c>
      <c r="H949" s="18" t="n">
        <v>125</v>
      </c>
      <c r="I949" s="18" t="n">
        <v>750</v>
      </c>
      <c r="J949" s="19" t="n">
        <v>113</v>
      </c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 t="n">
        <v>12</v>
      </c>
      <c r="W949" s="19"/>
      <c r="X949" s="19"/>
      <c r="Y949" s="19"/>
      <c r="Z949" s="19"/>
      <c r="AA949" s="19"/>
      <c r="AB949" s="19"/>
      <c r="AC949" s="19" t="n">
        <v>15</v>
      </c>
      <c r="AD949" s="19"/>
      <c r="AE949" s="19"/>
      <c r="AF949" s="19"/>
      <c r="AG949" s="19"/>
      <c r="AH949" s="19" t="n">
        <v>110</v>
      </c>
      <c r="AI949" s="19"/>
      <c r="AJ949" s="19"/>
      <c r="AK949" s="19"/>
      <c r="AL949" s="19"/>
      <c r="AM949" s="19" t="n">
        <v>33</v>
      </c>
      <c r="AN949" s="19" t="n">
        <v>12</v>
      </c>
      <c r="AO949" s="19" t="n">
        <v>30</v>
      </c>
      <c r="AP949" s="19" t="n">
        <v>50</v>
      </c>
      <c r="AQ949" s="19"/>
      <c r="AR949" s="19"/>
      <c r="AS949" s="20" t="str">
        <f aca="false">HYPERLINK("http://www.openstreetmap.org/?mlat=33.3218&amp;mlon=44.3384&amp;zoom=12#map=12/33.3218/44.3384","Maplink1")</f>
        <v>Maplink1</v>
      </c>
      <c r="AT949" s="20" t="str">
        <f aca="false">HYPERLINK("https://www.google.iq/maps/search/+33.3218,44.3384/@33.3218,44.3384,14z?hl=en","Maplink2")</f>
        <v>Maplink2</v>
      </c>
      <c r="AU949" s="20" t="str">
        <f aca="false">HYPERLINK("http://www.bing.com/maps/?lvl=14&amp;sty=h&amp;cp=33.3218~44.3384&amp;sp=point.33.3218_44.3384","Maplink3")</f>
        <v>Maplink3</v>
      </c>
    </row>
    <row r="950" customFormat="false" ht="15" hidden="false" customHeight="true" outlineLevel="0" collapsed="false">
      <c r="A950" s="15" t="n">
        <v>7584</v>
      </c>
      <c r="B950" s="16" t="s">
        <v>17</v>
      </c>
      <c r="C950" s="16" t="s">
        <v>1709</v>
      </c>
      <c r="D950" s="16" t="s">
        <v>1898</v>
      </c>
      <c r="E950" s="17" t="s">
        <v>1899</v>
      </c>
      <c r="F950" s="16" t="n">
        <v>33.23846766</v>
      </c>
      <c r="G950" s="16" t="n">
        <v>44.43644123</v>
      </c>
      <c r="H950" s="18" t="n">
        <v>71</v>
      </c>
      <c r="I950" s="18" t="n">
        <v>426</v>
      </c>
      <c r="J950" s="19" t="n">
        <v>46</v>
      </c>
      <c r="K950" s="19"/>
      <c r="L950" s="19" t="n">
        <v>4</v>
      </c>
      <c r="M950" s="19"/>
      <c r="N950" s="19"/>
      <c r="O950" s="19"/>
      <c r="P950" s="19"/>
      <c r="Q950" s="19"/>
      <c r="R950" s="19"/>
      <c r="S950" s="19"/>
      <c r="T950" s="19"/>
      <c r="U950" s="19"/>
      <c r="V950" s="19" t="n">
        <v>11</v>
      </c>
      <c r="W950" s="19"/>
      <c r="X950" s="19" t="n">
        <v>10</v>
      </c>
      <c r="Y950" s="19"/>
      <c r="Z950" s="19"/>
      <c r="AA950" s="19"/>
      <c r="AB950" s="19"/>
      <c r="AC950" s="19" t="n">
        <v>71</v>
      </c>
      <c r="AD950" s="19"/>
      <c r="AE950" s="19"/>
      <c r="AF950" s="19"/>
      <c r="AG950" s="19"/>
      <c r="AH950" s="19"/>
      <c r="AI950" s="19"/>
      <c r="AJ950" s="19"/>
      <c r="AK950" s="19"/>
      <c r="AL950" s="19" t="n">
        <v>11</v>
      </c>
      <c r="AM950" s="19" t="n">
        <v>25</v>
      </c>
      <c r="AN950" s="19"/>
      <c r="AO950" s="19" t="n">
        <v>11</v>
      </c>
      <c r="AP950" s="19"/>
      <c r="AQ950" s="19" t="n">
        <v>20</v>
      </c>
      <c r="AR950" s="19" t="n">
        <v>4</v>
      </c>
      <c r="AS950" s="20" t="str">
        <f aca="false">HYPERLINK("http://www.openstreetmap.org/?mlat=33.2385&amp;mlon=44.4364&amp;zoom=12#map=12/33.2385/44.4364","Maplink1")</f>
        <v>Maplink1</v>
      </c>
      <c r="AT950" s="20" t="str">
        <f aca="false">HYPERLINK("https://www.google.iq/maps/search/+33.2385,44.4364/@33.2385,44.4364,14z?hl=en","Maplink2")</f>
        <v>Maplink2</v>
      </c>
      <c r="AU950" s="20" t="str">
        <f aca="false">HYPERLINK("http://www.bing.com/maps/?lvl=14&amp;sty=h&amp;cp=33.2385~44.4364&amp;sp=point.33.2385_44.4364","Maplink3")</f>
        <v>Maplink3</v>
      </c>
    </row>
    <row r="951" customFormat="false" ht="15" hidden="false" customHeight="true" outlineLevel="0" collapsed="false">
      <c r="A951" s="15" t="n">
        <v>23733</v>
      </c>
      <c r="B951" s="16" t="s">
        <v>17</v>
      </c>
      <c r="C951" s="16" t="s">
        <v>1709</v>
      </c>
      <c r="D951" s="16" t="s">
        <v>1900</v>
      </c>
      <c r="E951" s="17" t="s">
        <v>1901</v>
      </c>
      <c r="F951" s="16" t="n">
        <v>33.20296</v>
      </c>
      <c r="G951" s="16" t="n">
        <v>44.46776</v>
      </c>
      <c r="H951" s="18" t="n">
        <v>99</v>
      </c>
      <c r="I951" s="18" t="n">
        <v>594</v>
      </c>
      <c r="J951" s="19" t="n">
        <v>58</v>
      </c>
      <c r="K951" s="19"/>
      <c r="L951" s="19" t="n">
        <v>35</v>
      </c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 t="n">
        <v>6</v>
      </c>
      <c r="Y951" s="19"/>
      <c r="Z951" s="19"/>
      <c r="AA951" s="19"/>
      <c r="AB951" s="19"/>
      <c r="AC951" s="19" t="n">
        <v>52</v>
      </c>
      <c r="AD951" s="19"/>
      <c r="AE951" s="19"/>
      <c r="AF951" s="19"/>
      <c r="AG951" s="19"/>
      <c r="AH951" s="19" t="n">
        <v>41</v>
      </c>
      <c r="AI951" s="19"/>
      <c r="AJ951" s="19" t="n">
        <v>6</v>
      </c>
      <c r="AK951" s="19"/>
      <c r="AL951" s="19" t="n">
        <v>19</v>
      </c>
      <c r="AM951" s="19"/>
      <c r="AN951" s="19" t="n">
        <v>6</v>
      </c>
      <c r="AO951" s="19" t="n">
        <v>35</v>
      </c>
      <c r="AP951" s="19" t="n">
        <v>23</v>
      </c>
      <c r="AQ951" s="19" t="n">
        <v>16</v>
      </c>
      <c r="AR951" s="19"/>
      <c r="AS951" s="20" t="str">
        <f aca="false">HYPERLINK("http://www.openstreetmap.org/?mlat=33.203&amp;mlon=44.4678&amp;zoom=12#map=12/33.203/44.4678","Maplink1")</f>
        <v>Maplink1</v>
      </c>
      <c r="AT951" s="20" t="str">
        <f aca="false">HYPERLINK("https://www.google.iq/maps/search/+33.203,44.4678/@33.203,44.4678,14z?hl=en","Maplink2")</f>
        <v>Maplink2</v>
      </c>
      <c r="AU951" s="20" t="str">
        <f aca="false">HYPERLINK("http://www.bing.com/maps/?lvl=14&amp;sty=h&amp;cp=33.203~44.4678&amp;sp=point.33.203_44.4678","Maplink3")</f>
        <v>Maplink3</v>
      </c>
    </row>
    <row r="952" customFormat="false" ht="15" hidden="false" customHeight="true" outlineLevel="0" collapsed="false">
      <c r="A952" s="15" t="n">
        <v>24078</v>
      </c>
      <c r="B952" s="16" t="s">
        <v>17</v>
      </c>
      <c r="C952" s="16" t="s">
        <v>1709</v>
      </c>
      <c r="D952" s="16" t="s">
        <v>1902</v>
      </c>
      <c r="E952" s="17" t="s">
        <v>1903</v>
      </c>
      <c r="F952" s="16" t="n">
        <v>33.24380299</v>
      </c>
      <c r="G952" s="16" t="n">
        <v>44.40386425</v>
      </c>
      <c r="H952" s="18" t="n">
        <v>45</v>
      </c>
      <c r="I952" s="18" t="n">
        <v>270</v>
      </c>
      <c r="J952" s="19" t="n">
        <v>33</v>
      </c>
      <c r="K952" s="19"/>
      <c r="L952" s="19"/>
      <c r="M952" s="19"/>
      <c r="N952" s="19"/>
      <c r="O952" s="19" t="n">
        <v>8</v>
      </c>
      <c r="P952" s="19"/>
      <c r="Q952" s="19"/>
      <c r="R952" s="19"/>
      <c r="S952" s="19"/>
      <c r="T952" s="19"/>
      <c r="U952" s="19"/>
      <c r="V952" s="19" t="n">
        <v>4</v>
      </c>
      <c r="W952" s="19"/>
      <c r="X952" s="19"/>
      <c r="Y952" s="19"/>
      <c r="Z952" s="19"/>
      <c r="AA952" s="19"/>
      <c r="AB952" s="19"/>
      <c r="AC952" s="19" t="n">
        <v>29</v>
      </c>
      <c r="AD952" s="19"/>
      <c r="AE952" s="19"/>
      <c r="AF952" s="19"/>
      <c r="AG952" s="19"/>
      <c r="AH952" s="19" t="n">
        <v>16</v>
      </c>
      <c r="AI952" s="19"/>
      <c r="AJ952" s="19"/>
      <c r="AK952" s="19"/>
      <c r="AL952" s="19" t="n">
        <v>32</v>
      </c>
      <c r="AM952" s="19" t="n">
        <v>9</v>
      </c>
      <c r="AN952" s="19"/>
      <c r="AO952" s="19"/>
      <c r="AP952" s="19"/>
      <c r="AQ952" s="19"/>
      <c r="AR952" s="19" t="n">
        <v>4</v>
      </c>
      <c r="AS952" s="20" t="str">
        <f aca="false">HYPERLINK("http://www.openstreetmap.org/?mlat=33.2438&amp;mlon=44.4039&amp;zoom=12#map=12/33.2438/44.4039","Maplink1")</f>
        <v>Maplink1</v>
      </c>
      <c r="AT952" s="20" t="str">
        <f aca="false">HYPERLINK("https://www.google.iq/maps/search/+33.2438,44.4039/@33.2438,44.4039,14z?hl=en","Maplink2")</f>
        <v>Maplink2</v>
      </c>
      <c r="AU952" s="20" t="str">
        <f aca="false">HYPERLINK("http://www.bing.com/maps/?lvl=14&amp;sty=h&amp;cp=33.2438~44.4039&amp;sp=point.33.2438_44.4039","Maplink3")</f>
        <v>Maplink3</v>
      </c>
    </row>
    <row r="953" customFormat="false" ht="15" hidden="false" customHeight="true" outlineLevel="0" collapsed="false">
      <c r="A953" s="15" t="n">
        <v>26121</v>
      </c>
      <c r="B953" s="16" t="s">
        <v>17</v>
      </c>
      <c r="C953" s="16" t="s">
        <v>1709</v>
      </c>
      <c r="D953" s="16" t="s">
        <v>1904</v>
      </c>
      <c r="E953" s="17" t="s">
        <v>1905</v>
      </c>
      <c r="F953" s="16" t="n">
        <v>33.33100932</v>
      </c>
      <c r="G953" s="16" t="n">
        <v>44.29291522</v>
      </c>
      <c r="H953" s="18" t="n">
        <v>220</v>
      </c>
      <c r="I953" s="18" t="n">
        <v>1320</v>
      </c>
      <c r="J953" s="19" t="n">
        <v>172</v>
      </c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 t="n">
        <v>47</v>
      </c>
      <c r="W953" s="19"/>
      <c r="X953" s="19" t="n">
        <v>1</v>
      </c>
      <c r="Y953" s="19"/>
      <c r="Z953" s="19"/>
      <c r="AA953" s="19"/>
      <c r="AB953" s="19" t="n">
        <v>220</v>
      </c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 t="n">
        <v>10</v>
      </c>
      <c r="AO953" s="19" t="n">
        <v>1</v>
      </c>
      <c r="AP953" s="19" t="n">
        <v>117</v>
      </c>
      <c r="AQ953" s="19" t="n">
        <v>77</v>
      </c>
      <c r="AR953" s="19" t="n">
        <v>15</v>
      </c>
      <c r="AS953" s="20" t="str">
        <f aca="false">HYPERLINK("http://www.openstreetmap.org/?mlat=33.331&amp;mlon=44.2929&amp;zoom=12#map=12/33.331/44.2929","Maplink1")</f>
        <v>Maplink1</v>
      </c>
      <c r="AT953" s="20" t="str">
        <f aca="false">HYPERLINK("https://www.google.iq/maps/search/+33.331,44.2929/@33.331,44.2929,14z?hl=en","Maplink2")</f>
        <v>Maplink2</v>
      </c>
      <c r="AU953" s="20" t="str">
        <f aca="false">HYPERLINK("http://www.bing.com/maps/?lvl=14&amp;sty=h&amp;cp=33.331~44.2929&amp;sp=point.33.331_44.2929","Maplink3")</f>
        <v>Maplink3</v>
      </c>
    </row>
    <row r="954" customFormat="false" ht="15" hidden="false" customHeight="true" outlineLevel="0" collapsed="false">
      <c r="A954" s="15" t="n">
        <v>26039</v>
      </c>
      <c r="B954" s="16" t="s">
        <v>17</v>
      </c>
      <c r="C954" s="16" t="s">
        <v>1709</v>
      </c>
      <c r="D954" s="16" t="s">
        <v>1906</v>
      </c>
      <c r="E954" s="17" t="s">
        <v>1907</v>
      </c>
      <c r="F954" s="16" t="n">
        <v>33.29954952</v>
      </c>
      <c r="G954" s="16" t="n">
        <v>44.32350565</v>
      </c>
      <c r="H954" s="18" t="n">
        <v>245</v>
      </c>
      <c r="I954" s="18" t="n">
        <v>1470</v>
      </c>
      <c r="J954" s="19" t="n">
        <v>193</v>
      </c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 t="n">
        <v>52</v>
      </c>
      <c r="Y954" s="19"/>
      <c r="Z954" s="19"/>
      <c r="AA954" s="19"/>
      <c r="AB954" s="19"/>
      <c r="AC954" s="19" t="n">
        <v>72</v>
      </c>
      <c r="AD954" s="19"/>
      <c r="AE954" s="19"/>
      <c r="AF954" s="19"/>
      <c r="AG954" s="19"/>
      <c r="AH954" s="19" t="n">
        <v>173</v>
      </c>
      <c r="AI954" s="19"/>
      <c r="AJ954" s="19"/>
      <c r="AK954" s="19"/>
      <c r="AL954" s="19"/>
      <c r="AM954" s="19"/>
      <c r="AN954" s="19" t="n">
        <v>111</v>
      </c>
      <c r="AO954" s="19" t="n">
        <v>29</v>
      </c>
      <c r="AP954" s="19" t="n">
        <v>105</v>
      </c>
      <c r="AQ954" s="19"/>
      <c r="AR954" s="19"/>
      <c r="AS954" s="20" t="str">
        <f aca="false">HYPERLINK("http://www.openstreetmap.org/?mlat=33.2995&amp;mlon=44.3235&amp;zoom=12#map=12/33.2995/44.3235","Maplink1")</f>
        <v>Maplink1</v>
      </c>
      <c r="AT954" s="20" t="str">
        <f aca="false">HYPERLINK("https://www.google.iq/maps/search/+33.2995,44.3235/@33.2995,44.3235,14z?hl=en","Maplink2")</f>
        <v>Maplink2</v>
      </c>
      <c r="AU954" s="20" t="str">
        <f aca="false">HYPERLINK("http://www.bing.com/maps/?lvl=14&amp;sty=h&amp;cp=33.2995~44.3235&amp;sp=point.33.2995_44.3235","Maplink3")</f>
        <v>Maplink3</v>
      </c>
    </row>
    <row r="955" customFormat="false" ht="15" hidden="false" customHeight="true" outlineLevel="0" collapsed="false">
      <c r="A955" s="15" t="n">
        <v>26038</v>
      </c>
      <c r="B955" s="16" t="s">
        <v>17</v>
      </c>
      <c r="C955" s="16" t="s">
        <v>1709</v>
      </c>
      <c r="D955" s="16" t="s">
        <v>1908</v>
      </c>
      <c r="E955" s="17" t="s">
        <v>1909</v>
      </c>
      <c r="F955" s="16" t="n">
        <v>33.30708385</v>
      </c>
      <c r="G955" s="16" t="n">
        <v>44.32350053</v>
      </c>
      <c r="H955" s="18" t="n">
        <v>180</v>
      </c>
      <c r="I955" s="18" t="n">
        <v>1080</v>
      </c>
      <c r="J955" s="19" t="n">
        <v>155</v>
      </c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 t="n">
        <v>6</v>
      </c>
      <c r="W955" s="19"/>
      <c r="X955" s="19" t="n">
        <v>19</v>
      </c>
      <c r="Y955" s="19"/>
      <c r="Z955" s="19"/>
      <c r="AA955" s="19"/>
      <c r="AB955" s="19"/>
      <c r="AC955" s="19" t="n">
        <v>50</v>
      </c>
      <c r="AD955" s="19"/>
      <c r="AE955" s="19"/>
      <c r="AF955" s="19"/>
      <c r="AG955" s="19"/>
      <c r="AH955" s="19" t="n">
        <v>130</v>
      </c>
      <c r="AI955" s="19"/>
      <c r="AJ955" s="19"/>
      <c r="AK955" s="19"/>
      <c r="AL955" s="19"/>
      <c r="AM955" s="19" t="n">
        <v>63</v>
      </c>
      <c r="AN955" s="19"/>
      <c r="AO955" s="19" t="n">
        <v>37</v>
      </c>
      <c r="AP955" s="19" t="n">
        <v>78</v>
      </c>
      <c r="AQ955" s="19"/>
      <c r="AR955" s="19" t="n">
        <v>2</v>
      </c>
      <c r="AS955" s="20" t="str">
        <f aca="false">HYPERLINK("http://www.openstreetmap.org/?mlat=33.3071&amp;mlon=44.3235&amp;zoom=12#map=12/33.3071/44.3235","Maplink1")</f>
        <v>Maplink1</v>
      </c>
      <c r="AT955" s="20" t="str">
        <f aca="false">HYPERLINK("https://www.google.iq/maps/search/+33.3071,44.3235/@33.3071,44.3235,14z?hl=en","Maplink2")</f>
        <v>Maplink2</v>
      </c>
      <c r="AU955" s="20" t="str">
        <f aca="false">HYPERLINK("http://www.bing.com/maps/?lvl=14&amp;sty=h&amp;cp=33.3071~44.3235&amp;sp=point.33.3071_44.3235","Maplink3")</f>
        <v>Maplink3</v>
      </c>
    </row>
    <row r="956" customFormat="false" ht="15" hidden="false" customHeight="true" outlineLevel="0" collapsed="false">
      <c r="A956" s="15" t="n">
        <v>24066</v>
      </c>
      <c r="B956" s="16" t="s">
        <v>17</v>
      </c>
      <c r="C956" s="16" t="s">
        <v>1709</v>
      </c>
      <c r="D956" s="16" t="s">
        <v>1910</v>
      </c>
      <c r="E956" s="17" t="s">
        <v>1911</v>
      </c>
      <c r="F956" s="16" t="n">
        <v>33.33428128</v>
      </c>
      <c r="G956" s="16" t="n">
        <v>44.30097719</v>
      </c>
      <c r="H956" s="18" t="n">
        <v>120</v>
      </c>
      <c r="I956" s="18" t="n">
        <v>720</v>
      </c>
      <c r="J956" s="19" t="n">
        <v>58</v>
      </c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 t="n">
        <v>48</v>
      </c>
      <c r="W956" s="19"/>
      <c r="X956" s="19" t="n">
        <v>14</v>
      </c>
      <c r="Y956" s="19"/>
      <c r="Z956" s="19"/>
      <c r="AA956" s="19"/>
      <c r="AB956" s="19"/>
      <c r="AC956" s="19" t="n">
        <v>43</v>
      </c>
      <c r="AD956" s="19"/>
      <c r="AE956" s="19"/>
      <c r="AF956" s="19"/>
      <c r="AG956" s="19"/>
      <c r="AH956" s="19" t="n">
        <v>77</v>
      </c>
      <c r="AI956" s="19"/>
      <c r="AJ956" s="19"/>
      <c r="AK956" s="19"/>
      <c r="AL956" s="19" t="n">
        <v>22</v>
      </c>
      <c r="AM956" s="19" t="n">
        <v>37</v>
      </c>
      <c r="AN956" s="19" t="n">
        <v>14</v>
      </c>
      <c r="AO956" s="19" t="n">
        <v>5</v>
      </c>
      <c r="AP956" s="19" t="n">
        <v>31</v>
      </c>
      <c r="AQ956" s="19"/>
      <c r="AR956" s="19" t="n">
        <v>11</v>
      </c>
      <c r="AS956" s="20" t="str">
        <f aca="false">HYPERLINK("http://www.openstreetmap.org/?mlat=33.3343&amp;mlon=44.301&amp;zoom=12#map=12/33.3343/44.301","Maplink1")</f>
        <v>Maplink1</v>
      </c>
      <c r="AT956" s="20" t="str">
        <f aca="false">HYPERLINK("https://www.google.iq/maps/search/+33.3343,44.301/@33.3343,44.301,14z?hl=en","Maplink2")</f>
        <v>Maplink2</v>
      </c>
      <c r="AU956" s="20" t="str">
        <f aca="false">HYPERLINK("http://www.bing.com/maps/?lvl=14&amp;sty=h&amp;cp=33.3343~44.301&amp;sp=point.33.3343_44.301","Maplink3")</f>
        <v>Maplink3</v>
      </c>
    </row>
    <row r="957" customFormat="false" ht="15" hidden="false" customHeight="true" outlineLevel="0" collapsed="false">
      <c r="A957" s="15" t="n">
        <v>24067</v>
      </c>
      <c r="B957" s="16" t="s">
        <v>17</v>
      </c>
      <c r="C957" s="16" t="s">
        <v>1709</v>
      </c>
      <c r="D957" s="16" t="s">
        <v>1912</v>
      </c>
      <c r="E957" s="17" t="s">
        <v>1913</v>
      </c>
      <c r="F957" s="16" t="n">
        <v>33.33185208</v>
      </c>
      <c r="G957" s="16" t="n">
        <v>44.32413127</v>
      </c>
      <c r="H957" s="18" t="n">
        <v>113</v>
      </c>
      <c r="I957" s="18" t="n">
        <v>678</v>
      </c>
      <c r="J957" s="19" t="n">
        <v>71</v>
      </c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 t="n">
        <v>42</v>
      </c>
      <c r="W957" s="19"/>
      <c r="X957" s="19"/>
      <c r="Y957" s="19"/>
      <c r="Z957" s="19"/>
      <c r="AA957" s="19"/>
      <c r="AB957" s="19"/>
      <c r="AC957" s="19" t="n">
        <v>55</v>
      </c>
      <c r="AD957" s="19"/>
      <c r="AE957" s="19"/>
      <c r="AF957" s="19"/>
      <c r="AG957" s="19"/>
      <c r="AH957" s="19" t="n">
        <v>58</v>
      </c>
      <c r="AI957" s="19"/>
      <c r="AJ957" s="19"/>
      <c r="AK957" s="19"/>
      <c r="AL957" s="19" t="n">
        <v>37</v>
      </c>
      <c r="AM957" s="19"/>
      <c r="AN957" s="19"/>
      <c r="AO957" s="19" t="n">
        <v>42</v>
      </c>
      <c r="AP957" s="19" t="n">
        <v>34</v>
      </c>
      <c r="AQ957" s="19"/>
      <c r="AR957" s="19"/>
      <c r="AS957" s="20" t="str">
        <f aca="false">HYPERLINK("http://www.openstreetmap.org/?mlat=33.3319&amp;mlon=44.3241&amp;zoom=12#map=12/33.3319/44.3241","Maplink1")</f>
        <v>Maplink1</v>
      </c>
      <c r="AT957" s="20" t="str">
        <f aca="false">HYPERLINK("https://www.google.iq/maps/search/+33.3319,44.3241/@33.3319,44.3241,14z?hl=en","Maplink2")</f>
        <v>Maplink2</v>
      </c>
      <c r="AU957" s="20" t="str">
        <f aca="false">HYPERLINK("http://www.bing.com/maps/?lvl=14&amp;sty=h&amp;cp=33.3319~44.3241&amp;sp=point.33.3319_44.3241","Maplink3")</f>
        <v>Maplink3</v>
      </c>
    </row>
    <row r="958" customFormat="false" ht="15" hidden="false" customHeight="true" outlineLevel="0" collapsed="false">
      <c r="A958" s="15" t="n">
        <v>23506</v>
      </c>
      <c r="B958" s="16" t="s">
        <v>17</v>
      </c>
      <c r="C958" s="16" t="s">
        <v>1709</v>
      </c>
      <c r="D958" s="16" t="s">
        <v>1914</v>
      </c>
      <c r="E958" s="17" t="s">
        <v>1915</v>
      </c>
      <c r="F958" s="16" t="n">
        <v>33.27837796</v>
      </c>
      <c r="G958" s="16" t="n">
        <v>44.33642137</v>
      </c>
      <c r="H958" s="18" t="n">
        <v>85</v>
      </c>
      <c r="I958" s="18" t="n">
        <v>510</v>
      </c>
      <c r="J958" s="19" t="n">
        <v>29</v>
      </c>
      <c r="K958" s="19"/>
      <c r="L958" s="19" t="n">
        <v>5</v>
      </c>
      <c r="M958" s="19"/>
      <c r="N958" s="19"/>
      <c r="O958" s="19"/>
      <c r="P958" s="19"/>
      <c r="Q958" s="19"/>
      <c r="R958" s="19" t="n">
        <v>2</v>
      </c>
      <c r="S958" s="19"/>
      <c r="T958" s="19"/>
      <c r="U958" s="19"/>
      <c r="V958" s="19" t="n">
        <v>49</v>
      </c>
      <c r="W958" s="19"/>
      <c r="X958" s="19"/>
      <c r="Y958" s="19"/>
      <c r="Z958" s="19"/>
      <c r="AA958" s="19"/>
      <c r="AB958" s="19"/>
      <c r="AC958" s="19" t="n">
        <v>17</v>
      </c>
      <c r="AD958" s="19"/>
      <c r="AE958" s="19"/>
      <c r="AF958" s="19"/>
      <c r="AG958" s="19"/>
      <c r="AH958" s="19" t="n">
        <v>68</v>
      </c>
      <c r="AI958" s="19"/>
      <c r="AJ958" s="19"/>
      <c r="AK958" s="19"/>
      <c r="AL958" s="19" t="n">
        <v>15</v>
      </c>
      <c r="AM958" s="19" t="n">
        <v>42</v>
      </c>
      <c r="AN958" s="19" t="n">
        <v>18</v>
      </c>
      <c r="AO958" s="19" t="n">
        <v>7</v>
      </c>
      <c r="AP958" s="19"/>
      <c r="AQ958" s="19"/>
      <c r="AR958" s="19" t="n">
        <v>3</v>
      </c>
      <c r="AS958" s="20" t="str">
        <f aca="false">HYPERLINK("http://www.openstreetmap.org/?mlat=33.2784&amp;mlon=44.3364&amp;zoom=12#map=12/33.2784/44.3364","Maplink1")</f>
        <v>Maplink1</v>
      </c>
      <c r="AT958" s="20" t="str">
        <f aca="false">HYPERLINK("https://www.google.iq/maps/search/+33.2784,44.3364/@33.2784,44.3364,14z?hl=en","Maplink2")</f>
        <v>Maplink2</v>
      </c>
      <c r="AU958" s="20" t="str">
        <f aca="false">HYPERLINK("http://www.bing.com/maps/?lvl=14&amp;sty=h&amp;cp=33.2784~44.3364&amp;sp=point.33.2784_44.3364","Maplink3")</f>
        <v>Maplink3</v>
      </c>
    </row>
    <row r="959" customFormat="false" ht="15" hidden="false" customHeight="true" outlineLevel="0" collapsed="false">
      <c r="A959" s="15" t="n">
        <v>23507</v>
      </c>
      <c r="B959" s="16" t="s">
        <v>17</v>
      </c>
      <c r="C959" s="16" t="s">
        <v>1709</v>
      </c>
      <c r="D959" s="16" t="s">
        <v>1916</v>
      </c>
      <c r="E959" s="17" t="s">
        <v>1917</v>
      </c>
      <c r="F959" s="16" t="n">
        <v>33.2722</v>
      </c>
      <c r="G959" s="16" t="n">
        <v>44.3284</v>
      </c>
      <c r="H959" s="18" t="n">
        <v>31</v>
      </c>
      <c r="I959" s="18" t="n">
        <v>186</v>
      </c>
      <c r="J959" s="19" t="n">
        <v>19</v>
      </c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 t="n">
        <v>7</v>
      </c>
      <c r="W959" s="19"/>
      <c r="X959" s="19" t="n">
        <v>5</v>
      </c>
      <c r="Y959" s="19"/>
      <c r="Z959" s="19"/>
      <c r="AA959" s="19"/>
      <c r="AB959" s="19"/>
      <c r="AC959" s="19" t="n">
        <v>5</v>
      </c>
      <c r="AD959" s="19"/>
      <c r="AE959" s="19"/>
      <c r="AF959" s="19"/>
      <c r="AG959" s="19"/>
      <c r="AH959" s="19" t="n">
        <v>26</v>
      </c>
      <c r="AI959" s="19"/>
      <c r="AJ959" s="19"/>
      <c r="AK959" s="19"/>
      <c r="AL959" s="19" t="n">
        <v>8</v>
      </c>
      <c r="AM959" s="19" t="n">
        <v>7</v>
      </c>
      <c r="AN959" s="19" t="n">
        <v>6</v>
      </c>
      <c r="AO959" s="19" t="n">
        <v>10</v>
      </c>
      <c r="AP959" s="19"/>
      <c r="AQ959" s="19"/>
      <c r="AR959" s="19"/>
      <c r="AS959" s="20" t="str">
        <f aca="false">HYPERLINK("http://www.openstreetmap.org/?mlat=33.2722&amp;mlon=44.3284&amp;zoom=12#map=12/33.2722/44.3284","Maplink1")</f>
        <v>Maplink1</v>
      </c>
      <c r="AT959" s="20" t="str">
        <f aca="false">HYPERLINK("https://www.google.iq/maps/search/+33.2722,44.3284/@33.2722,44.3284,14z?hl=en","Maplink2")</f>
        <v>Maplink2</v>
      </c>
      <c r="AU959" s="20" t="str">
        <f aca="false">HYPERLINK("http://www.bing.com/maps/?lvl=14&amp;sty=h&amp;cp=33.2722~44.3284&amp;sp=point.33.2722_44.3284","Maplink3")</f>
        <v>Maplink3</v>
      </c>
    </row>
    <row r="960" customFormat="false" ht="15" hidden="false" customHeight="true" outlineLevel="0" collapsed="false">
      <c r="A960" s="15" t="n">
        <v>23324</v>
      </c>
      <c r="B960" s="16" t="s">
        <v>17</v>
      </c>
      <c r="C960" s="16" t="s">
        <v>1709</v>
      </c>
      <c r="D960" s="16" t="s">
        <v>1918</v>
      </c>
      <c r="E960" s="17" t="s">
        <v>1919</v>
      </c>
      <c r="F960" s="16" t="n">
        <v>33.28036</v>
      </c>
      <c r="G960" s="16" t="n">
        <v>44.32373</v>
      </c>
      <c r="H960" s="18" t="n">
        <v>40</v>
      </c>
      <c r="I960" s="18" t="n">
        <v>240</v>
      </c>
      <c r="J960" s="19" t="n">
        <v>14</v>
      </c>
      <c r="K960" s="19" t="n">
        <v>1</v>
      </c>
      <c r="L960" s="19" t="n">
        <v>1</v>
      </c>
      <c r="M960" s="19"/>
      <c r="N960" s="19"/>
      <c r="O960" s="19" t="n">
        <v>1</v>
      </c>
      <c r="P960" s="19"/>
      <c r="Q960" s="19"/>
      <c r="R960" s="19"/>
      <c r="S960" s="19"/>
      <c r="T960" s="19"/>
      <c r="U960" s="19"/>
      <c r="V960" s="19" t="n">
        <v>2</v>
      </c>
      <c r="W960" s="19"/>
      <c r="X960" s="19" t="n">
        <v>21</v>
      </c>
      <c r="Y960" s="19"/>
      <c r="Z960" s="19"/>
      <c r="AA960" s="19"/>
      <c r="AB960" s="19"/>
      <c r="AC960" s="19" t="n">
        <v>10</v>
      </c>
      <c r="AD960" s="19"/>
      <c r="AE960" s="19"/>
      <c r="AF960" s="19"/>
      <c r="AG960" s="19"/>
      <c r="AH960" s="19" t="n">
        <v>30</v>
      </c>
      <c r="AI960" s="19"/>
      <c r="AJ960" s="19"/>
      <c r="AK960" s="19"/>
      <c r="AL960" s="19" t="n">
        <v>10</v>
      </c>
      <c r="AM960" s="19" t="n">
        <v>20</v>
      </c>
      <c r="AN960" s="19" t="n">
        <v>10</v>
      </c>
      <c r="AO960" s="19"/>
      <c r="AP960" s="19"/>
      <c r="AQ960" s="19"/>
      <c r="AR960" s="19"/>
      <c r="AS960" s="20" t="str">
        <f aca="false">HYPERLINK("http://www.openstreetmap.org/?mlat=33.2804&amp;mlon=44.3237&amp;zoom=12#map=12/33.2804/44.3237","Maplink1")</f>
        <v>Maplink1</v>
      </c>
      <c r="AT960" s="20" t="str">
        <f aca="false">HYPERLINK("https://www.google.iq/maps/search/+33.2804,44.3237/@33.2804,44.3237,14z?hl=en","Maplink2")</f>
        <v>Maplink2</v>
      </c>
      <c r="AU960" s="20" t="str">
        <f aca="false">HYPERLINK("http://www.bing.com/maps/?lvl=14&amp;sty=h&amp;cp=33.2804~44.3237&amp;sp=point.33.2804_44.3237","Maplink3")</f>
        <v>Maplink3</v>
      </c>
    </row>
    <row r="961" customFormat="false" ht="15" hidden="false" customHeight="true" outlineLevel="0" collapsed="false">
      <c r="A961" s="15" t="n">
        <v>23284</v>
      </c>
      <c r="B961" s="16" t="s">
        <v>17</v>
      </c>
      <c r="C961" s="16" t="s">
        <v>1709</v>
      </c>
      <c r="D961" s="16" t="s">
        <v>1920</v>
      </c>
      <c r="E961" s="17" t="s">
        <v>1921</v>
      </c>
      <c r="F961" s="16" t="n">
        <v>33.28355299</v>
      </c>
      <c r="G961" s="16" t="n">
        <v>44.33797084</v>
      </c>
      <c r="H961" s="18" t="n">
        <v>71</v>
      </c>
      <c r="I961" s="18" t="n">
        <v>426</v>
      </c>
      <c r="J961" s="19" t="n">
        <v>32</v>
      </c>
      <c r="K961" s="19"/>
      <c r="L961" s="19" t="n">
        <v>8</v>
      </c>
      <c r="M961" s="19"/>
      <c r="N961" s="19"/>
      <c r="O961" s="19" t="n">
        <v>6</v>
      </c>
      <c r="P961" s="19"/>
      <c r="Q961" s="19"/>
      <c r="R961" s="19"/>
      <c r="S961" s="19"/>
      <c r="T961" s="19"/>
      <c r="U961" s="19"/>
      <c r="V961" s="19" t="n">
        <v>6</v>
      </c>
      <c r="W961" s="19"/>
      <c r="X961" s="19" t="n">
        <v>19</v>
      </c>
      <c r="Y961" s="19"/>
      <c r="Z961" s="19"/>
      <c r="AA961" s="19"/>
      <c r="AB961" s="19"/>
      <c r="AC961" s="19" t="n">
        <v>20</v>
      </c>
      <c r="AD961" s="19"/>
      <c r="AE961" s="19"/>
      <c r="AF961" s="19"/>
      <c r="AG961" s="19"/>
      <c r="AH961" s="19" t="n">
        <v>51</v>
      </c>
      <c r="AI961" s="19"/>
      <c r="AJ961" s="19"/>
      <c r="AK961" s="19"/>
      <c r="AL961" s="19" t="n">
        <v>20</v>
      </c>
      <c r="AM961" s="19" t="n">
        <v>6</v>
      </c>
      <c r="AN961" s="19"/>
      <c r="AO961" s="19" t="n">
        <v>24</v>
      </c>
      <c r="AP961" s="19" t="n">
        <v>21</v>
      </c>
      <c r="AQ961" s="19"/>
      <c r="AR961" s="19"/>
      <c r="AS961" s="20" t="str">
        <f aca="false">HYPERLINK("http://www.openstreetmap.org/?mlat=33.2836&amp;mlon=44.338&amp;zoom=12#map=12/33.2836/44.338","Maplink1")</f>
        <v>Maplink1</v>
      </c>
      <c r="AT961" s="20" t="str">
        <f aca="false">HYPERLINK("https://www.google.iq/maps/search/+33.2836,44.338/@33.2836,44.338,14z?hl=en","Maplink2")</f>
        <v>Maplink2</v>
      </c>
      <c r="AU961" s="20" t="str">
        <f aca="false">HYPERLINK("http://www.bing.com/maps/?lvl=14&amp;sty=h&amp;cp=33.2836~44.338&amp;sp=point.33.2836_44.338","Maplink3")</f>
        <v>Maplink3</v>
      </c>
    </row>
    <row r="962" customFormat="false" ht="15" hidden="false" customHeight="true" outlineLevel="0" collapsed="false">
      <c r="A962" s="15" t="n">
        <v>25203</v>
      </c>
      <c r="B962" s="16" t="s">
        <v>17</v>
      </c>
      <c r="C962" s="16" t="s">
        <v>1709</v>
      </c>
      <c r="D962" s="16" t="s">
        <v>1922</v>
      </c>
      <c r="E962" s="17" t="s">
        <v>1923</v>
      </c>
      <c r="F962" s="16" t="n">
        <v>33.27561</v>
      </c>
      <c r="G962" s="16" t="n">
        <v>44.32783</v>
      </c>
      <c r="H962" s="18" t="n">
        <v>50</v>
      </c>
      <c r="I962" s="18" t="n">
        <v>300</v>
      </c>
      <c r="J962" s="19" t="n">
        <v>20</v>
      </c>
      <c r="K962" s="19"/>
      <c r="L962" s="19" t="n">
        <v>4</v>
      </c>
      <c r="M962" s="19"/>
      <c r="N962" s="19"/>
      <c r="O962" s="19"/>
      <c r="P962" s="19"/>
      <c r="Q962" s="19"/>
      <c r="R962" s="19" t="n">
        <v>4</v>
      </c>
      <c r="S962" s="19"/>
      <c r="T962" s="19"/>
      <c r="U962" s="19"/>
      <c r="V962" s="19" t="n">
        <v>19</v>
      </c>
      <c r="W962" s="19"/>
      <c r="X962" s="19" t="n">
        <v>3</v>
      </c>
      <c r="Y962" s="19"/>
      <c r="Z962" s="19"/>
      <c r="AA962" s="19"/>
      <c r="AB962" s="19"/>
      <c r="AC962" s="19" t="n">
        <v>13</v>
      </c>
      <c r="AD962" s="19"/>
      <c r="AE962" s="19"/>
      <c r="AF962" s="19"/>
      <c r="AG962" s="19"/>
      <c r="AH962" s="19" t="n">
        <v>37</v>
      </c>
      <c r="AI962" s="19"/>
      <c r="AJ962" s="19"/>
      <c r="AK962" s="19"/>
      <c r="AL962" s="19"/>
      <c r="AM962" s="19" t="n">
        <v>14</v>
      </c>
      <c r="AN962" s="19"/>
      <c r="AO962" s="19" t="n">
        <v>29</v>
      </c>
      <c r="AP962" s="19" t="n">
        <v>7</v>
      </c>
      <c r="AQ962" s="19"/>
      <c r="AR962" s="19"/>
      <c r="AS962" s="20" t="str">
        <f aca="false">HYPERLINK("http://www.openstreetmap.org/?mlat=33.2756&amp;mlon=44.3278&amp;zoom=12#map=12/33.2756/44.3278","Maplink1")</f>
        <v>Maplink1</v>
      </c>
      <c r="AT962" s="20" t="str">
        <f aca="false">HYPERLINK("https://www.google.iq/maps/search/+33.2756,44.3278/@33.2756,44.3278,14z?hl=en","Maplink2")</f>
        <v>Maplink2</v>
      </c>
      <c r="AU962" s="20" t="str">
        <f aca="false">HYPERLINK("http://www.bing.com/maps/?lvl=14&amp;sty=h&amp;cp=33.2756~44.3278&amp;sp=point.33.2756_44.3278","Maplink3")</f>
        <v>Maplink3</v>
      </c>
    </row>
    <row r="963" customFormat="false" ht="15" hidden="false" customHeight="true" outlineLevel="0" collapsed="false">
      <c r="A963" s="15" t="n">
        <v>25204</v>
      </c>
      <c r="B963" s="16" t="s">
        <v>17</v>
      </c>
      <c r="C963" s="16" t="s">
        <v>1709</v>
      </c>
      <c r="D963" s="16" t="s">
        <v>1924</v>
      </c>
      <c r="E963" s="17" t="s">
        <v>1925</v>
      </c>
      <c r="F963" s="16" t="n">
        <v>33.27726599</v>
      </c>
      <c r="G963" s="16" t="n">
        <v>44.33132275</v>
      </c>
      <c r="H963" s="18" t="n">
        <v>95</v>
      </c>
      <c r="I963" s="18" t="n">
        <v>570</v>
      </c>
      <c r="J963" s="19" t="n">
        <v>15</v>
      </c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 t="n">
        <v>71</v>
      </c>
      <c r="W963" s="19"/>
      <c r="X963" s="19" t="n">
        <v>9</v>
      </c>
      <c r="Y963" s="19"/>
      <c r="Z963" s="19"/>
      <c r="AA963" s="19"/>
      <c r="AB963" s="19"/>
      <c r="AC963" s="19" t="n">
        <v>27</v>
      </c>
      <c r="AD963" s="19"/>
      <c r="AE963" s="19"/>
      <c r="AF963" s="19"/>
      <c r="AG963" s="19"/>
      <c r="AH963" s="19" t="n">
        <v>68</v>
      </c>
      <c r="AI963" s="19"/>
      <c r="AJ963" s="19"/>
      <c r="AK963" s="19"/>
      <c r="AL963" s="19" t="n">
        <v>23</v>
      </c>
      <c r="AM963" s="19"/>
      <c r="AN963" s="19" t="n">
        <v>48</v>
      </c>
      <c r="AO963" s="19" t="n">
        <v>17</v>
      </c>
      <c r="AP963" s="19"/>
      <c r="AQ963" s="19"/>
      <c r="AR963" s="19" t="n">
        <v>7</v>
      </c>
      <c r="AS963" s="20" t="str">
        <f aca="false">HYPERLINK("http://www.openstreetmap.org/?mlat=33.2773&amp;mlon=44.3313&amp;zoom=12#map=12/33.2773/44.3313","Maplink1")</f>
        <v>Maplink1</v>
      </c>
      <c r="AT963" s="20" t="str">
        <f aca="false">HYPERLINK("https://www.google.iq/maps/search/+33.2773,44.3313/@33.2773,44.3313,14z?hl=en","Maplink2")</f>
        <v>Maplink2</v>
      </c>
      <c r="AU963" s="20" t="str">
        <f aca="false">HYPERLINK("http://www.bing.com/maps/?lvl=14&amp;sty=h&amp;cp=33.2773~44.3313&amp;sp=point.33.2773_44.3313","Maplink3")</f>
        <v>Maplink3</v>
      </c>
    </row>
    <row r="964" customFormat="false" ht="15" hidden="false" customHeight="true" outlineLevel="0" collapsed="false">
      <c r="A964" s="15" t="n">
        <v>23285</v>
      </c>
      <c r="B964" s="16" t="s">
        <v>17</v>
      </c>
      <c r="C964" s="16" t="s">
        <v>1709</v>
      </c>
      <c r="D964" s="16" t="s">
        <v>1926</v>
      </c>
      <c r="E964" s="17" t="s">
        <v>1927</v>
      </c>
      <c r="F964" s="16" t="n">
        <v>33.27412207</v>
      </c>
      <c r="G964" s="16" t="n">
        <v>44.32807543</v>
      </c>
      <c r="H964" s="18" t="n">
        <v>54</v>
      </c>
      <c r="I964" s="18" t="n">
        <v>324</v>
      </c>
      <c r="J964" s="19" t="n">
        <v>16</v>
      </c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 t="n">
        <v>29</v>
      </c>
      <c r="W964" s="19"/>
      <c r="X964" s="19" t="n">
        <v>9</v>
      </c>
      <c r="Y964" s="19"/>
      <c r="Z964" s="19"/>
      <c r="AA964" s="19"/>
      <c r="AB964" s="19"/>
      <c r="AC964" s="19" t="n">
        <v>14</v>
      </c>
      <c r="AD964" s="19"/>
      <c r="AE964" s="19"/>
      <c r="AF964" s="19"/>
      <c r="AG964" s="19"/>
      <c r="AH964" s="19" t="n">
        <v>40</v>
      </c>
      <c r="AI964" s="19"/>
      <c r="AJ964" s="19"/>
      <c r="AK964" s="19"/>
      <c r="AL964" s="19"/>
      <c r="AM964" s="19" t="n">
        <v>21</v>
      </c>
      <c r="AN964" s="19"/>
      <c r="AO964" s="19" t="n">
        <v>19</v>
      </c>
      <c r="AP964" s="19" t="n">
        <v>14</v>
      </c>
      <c r="AQ964" s="19"/>
      <c r="AR964" s="19"/>
      <c r="AS964" s="20" t="str">
        <f aca="false">HYPERLINK("http://www.openstreetmap.org/?mlat=33.2741&amp;mlon=44.3281&amp;zoom=12#map=12/33.2741/44.3281","Maplink1")</f>
        <v>Maplink1</v>
      </c>
      <c r="AT964" s="20" t="str">
        <f aca="false">HYPERLINK("https://www.google.iq/maps/search/+33.2741,44.3281/@33.2741,44.3281,14z?hl=en","Maplink2")</f>
        <v>Maplink2</v>
      </c>
      <c r="AU964" s="20" t="str">
        <f aca="false">HYPERLINK("http://www.bing.com/maps/?lvl=14&amp;sty=h&amp;cp=33.2741~44.3281&amp;sp=point.33.2741_44.3281","Maplink3")</f>
        <v>Maplink3</v>
      </c>
    </row>
    <row r="965" customFormat="false" ht="15" hidden="false" customHeight="true" outlineLevel="0" collapsed="false">
      <c r="A965" s="15" t="n">
        <v>25205</v>
      </c>
      <c r="B965" s="16" t="s">
        <v>17</v>
      </c>
      <c r="C965" s="16" t="s">
        <v>1709</v>
      </c>
      <c r="D965" s="16" t="s">
        <v>1928</v>
      </c>
      <c r="E965" s="17" t="s">
        <v>1929</v>
      </c>
      <c r="F965" s="16" t="n">
        <v>33.26962</v>
      </c>
      <c r="G965" s="16" t="n">
        <v>44.32882</v>
      </c>
      <c r="H965" s="18" t="n">
        <v>24</v>
      </c>
      <c r="I965" s="18" t="n">
        <v>144</v>
      </c>
      <c r="J965" s="19" t="n">
        <v>9</v>
      </c>
      <c r="K965" s="19"/>
      <c r="L965" s="19" t="n">
        <v>3</v>
      </c>
      <c r="M965" s="19"/>
      <c r="N965" s="19"/>
      <c r="O965" s="19"/>
      <c r="P965" s="19"/>
      <c r="Q965" s="19"/>
      <c r="R965" s="19"/>
      <c r="S965" s="19"/>
      <c r="T965" s="19"/>
      <c r="U965" s="19"/>
      <c r="V965" s="19" t="n">
        <v>5</v>
      </c>
      <c r="W965" s="19"/>
      <c r="X965" s="19" t="n">
        <v>7</v>
      </c>
      <c r="Y965" s="19"/>
      <c r="Z965" s="19"/>
      <c r="AA965" s="19"/>
      <c r="AB965" s="19"/>
      <c r="AC965" s="19"/>
      <c r="AD965" s="19"/>
      <c r="AE965" s="19"/>
      <c r="AF965" s="19"/>
      <c r="AG965" s="19"/>
      <c r="AH965" s="19" t="n">
        <v>24</v>
      </c>
      <c r="AI965" s="19"/>
      <c r="AJ965" s="19"/>
      <c r="AK965" s="19"/>
      <c r="AL965" s="19"/>
      <c r="AM965" s="19" t="n">
        <v>4</v>
      </c>
      <c r="AN965" s="19"/>
      <c r="AO965" s="19" t="n">
        <v>11</v>
      </c>
      <c r="AP965" s="19" t="n">
        <v>9</v>
      </c>
      <c r="AQ965" s="19"/>
      <c r="AR965" s="19"/>
      <c r="AS965" s="20" t="str">
        <f aca="false">HYPERLINK("http://www.openstreetmap.org/?mlat=33.2696&amp;mlon=44.3288&amp;zoom=12#map=12/33.2696/44.3288","Maplink1")</f>
        <v>Maplink1</v>
      </c>
      <c r="AT965" s="20" t="str">
        <f aca="false">HYPERLINK("https://www.google.iq/maps/search/+33.2696,44.3288/@33.2696,44.3288,14z?hl=en","Maplink2")</f>
        <v>Maplink2</v>
      </c>
      <c r="AU965" s="20" t="str">
        <f aca="false">HYPERLINK("http://www.bing.com/maps/?lvl=14&amp;sty=h&amp;cp=33.2696~44.3288&amp;sp=point.33.2696_44.3288","Maplink3")</f>
        <v>Maplink3</v>
      </c>
    </row>
    <row r="966" customFormat="false" ht="15" hidden="false" customHeight="true" outlineLevel="0" collapsed="false">
      <c r="A966" s="15" t="n">
        <v>7640</v>
      </c>
      <c r="B966" s="16" t="s">
        <v>17</v>
      </c>
      <c r="C966" s="16" t="s">
        <v>1709</v>
      </c>
      <c r="D966" s="16" t="s">
        <v>1930</v>
      </c>
      <c r="E966" s="17" t="s">
        <v>1931</v>
      </c>
      <c r="F966" s="16" t="n">
        <v>33.25236342</v>
      </c>
      <c r="G966" s="16" t="n">
        <v>44.42301962</v>
      </c>
      <c r="H966" s="18" t="n">
        <v>217</v>
      </c>
      <c r="I966" s="18" t="n">
        <v>1302</v>
      </c>
      <c r="J966" s="19" t="n">
        <v>179</v>
      </c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 t="n">
        <v>4</v>
      </c>
      <c r="W966" s="19"/>
      <c r="X966" s="19" t="n">
        <v>34</v>
      </c>
      <c r="Y966" s="19"/>
      <c r="Z966" s="19"/>
      <c r="AA966" s="19"/>
      <c r="AB966" s="19"/>
      <c r="AC966" s="19" t="n">
        <v>86</v>
      </c>
      <c r="AD966" s="19"/>
      <c r="AE966" s="19"/>
      <c r="AF966" s="19"/>
      <c r="AG966" s="19"/>
      <c r="AH966" s="19" t="n">
        <v>131</v>
      </c>
      <c r="AI966" s="19"/>
      <c r="AJ966" s="19"/>
      <c r="AK966" s="19"/>
      <c r="AL966" s="19" t="n">
        <v>132</v>
      </c>
      <c r="AM966" s="19" t="n">
        <v>43</v>
      </c>
      <c r="AN966" s="19"/>
      <c r="AO966" s="19" t="n">
        <v>24</v>
      </c>
      <c r="AP966" s="19" t="n">
        <v>11</v>
      </c>
      <c r="AQ966" s="19" t="n">
        <v>3</v>
      </c>
      <c r="AR966" s="19" t="n">
        <v>4</v>
      </c>
      <c r="AS966" s="20" t="str">
        <f aca="false">HYPERLINK("http://www.openstreetmap.org/?mlat=33.2524&amp;mlon=44.423&amp;zoom=12#map=12/33.2524/44.423","Maplink1")</f>
        <v>Maplink1</v>
      </c>
      <c r="AT966" s="20" t="str">
        <f aca="false">HYPERLINK("https://www.google.iq/maps/search/+33.2524,44.423/@33.2524,44.423,14z?hl=en","Maplink2")</f>
        <v>Maplink2</v>
      </c>
      <c r="AU966" s="20" t="str">
        <f aca="false">HYPERLINK("http://www.bing.com/maps/?lvl=14&amp;sty=h&amp;cp=33.2524~44.423&amp;sp=point.33.2524_44.423","Maplink3")</f>
        <v>Maplink3</v>
      </c>
    </row>
    <row r="967" customFormat="false" ht="15" hidden="false" customHeight="true" outlineLevel="0" collapsed="false">
      <c r="A967" s="15" t="n">
        <v>27412</v>
      </c>
      <c r="B967" s="16" t="s">
        <v>17</v>
      </c>
      <c r="C967" s="16" t="s">
        <v>1709</v>
      </c>
      <c r="D967" s="16" t="s">
        <v>1932</v>
      </c>
      <c r="E967" s="17" t="s">
        <v>1933</v>
      </c>
      <c r="F967" s="16" t="n">
        <v>33.26259936</v>
      </c>
      <c r="G967" s="16" t="n">
        <v>44.31549368</v>
      </c>
      <c r="H967" s="18" t="n">
        <v>120</v>
      </c>
      <c r="I967" s="18" t="n">
        <v>720</v>
      </c>
      <c r="J967" s="19" t="n">
        <v>77</v>
      </c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 t="n">
        <v>35</v>
      </c>
      <c r="W967" s="19"/>
      <c r="X967" s="19" t="n">
        <v>8</v>
      </c>
      <c r="Y967" s="19"/>
      <c r="Z967" s="19"/>
      <c r="AA967" s="19"/>
      <c r="AB967" s="19"/>
      <c r="AC967" s="19" t="n">
        <v>32</v>
      </c>
      <c r="AD967" s="19"/>
      <c r="AE967" s="19"/>
      <c r="AF967" s="19"/>
      <c r="AG967" s="19"/>
      <c r="AH967" s="19" t="n">
        <v>88</v>
      </c>
      <c r="AI967" s="19"/>
      <c r="AJ967" s="19"/>
      <c r="AK967" s="19"/>
      <c r="AL967" s="19"/>
      <c r="AM967" s="19"/>
      <c r="AN967" s="19" t="n">
        <v>27</v>
      </c>
      <c r="AO967" s="19" t="n">
        <v>60</v>
      </c>
      <c r="AP967" s="19" t="n">
        <v>33</v>
      </c>
      <c r="AQ967" s="19"/>
      <c r="AR967" s="19"/>
      <c r="AS967" s="20" t="str">
        <f aca="false">HYPERLINK("http://www.openstreetmap.org/?mlat=33.2626&amp;mlon=44.3155&amp;zoom=12#map=12/33.2626/44.3155","Maplink1")</f>
        <v>Maplink1</v>
      </c>
      <c r="AT967" s="20" t="str">
        <f aca="false">HYPERLINK("https://www.google.iq/maps/search/+33.2626,44.3155/@33.2626,44.3155,14z?hl=en","Maplink2")</f>
        <v>Maplink2</v>
      </c>
      <c r="AU967" s="20" t="str">
        <f aca="false">HYPERLINK("http://www.bing.com/maps/?lvl=14&amp;sty=h&amp;cp=33.2626~44.3155&amp;sp=point.33.2626_44.3155","Maplink3")</f>
        <v>Maplink3</v>
      </c>
    </row>
    <row r="968" customFormat="false" ht="15" hidden="false" customHeight="true" outlineLevel="0" collapsed="false">
      <c r="A968" s="15" t="n">
        <v>26100</v>
      </c>
      <c r="B968" s="16" t="s">
        <v>17</v>
      </c>
      <c r="C968" s="16" t="s">
        <v>1709</v>
      </c>
      <c r="D968" s="16" t="s">
        <v>1934</v>
      </c>
      <c r="E968" s="17" t="s">
        <v>1935</v>
      </c>
      <c r="F968" s="16" t="n">
        <v>33.27882</v>
      </c>
      <c r="G968" s="16" t="n">
        <v>44.29157</v>
      </c>
      <c r="H968" s="18" t="n">
        <v>138</v>
      </c>
      <c r="I968" s="18" t="n">
        <v>828</v>
      </c>
      <c r="J968" s="19" t="n">
        <v>87</v>
      </c>
      <c r="K968" s="19"/>
      <c r="L968" s="19"/>
      <c r="M968" s="19"/>
      <c r="N968" s="19"/>
      <c r="O968" s="19" t="n">
        <v>20</v>
      </c>
      <c r="P968" s="19"/>
      <c r="Q968" s="19"/>
      <c r="R968" s="19"/>
      <c r="S968" s="19"/>
      <c r="T968" s="19"/>
      <c r="U968" s="19"/>
      <c r="V968" s="19" t="n">
        <v>31</v>
      </c>
      <c r="W968" s="19"/>
      <c r="X968" s="19"/>
      <c r="Y968" s="19"/>
      <c r="Z968" s="19"/>
      <c r="AA968" s="19"/>
      <c r="AB968" s="19"/>
      <c r="AC968" s="19" t="n">
        <v>47</v>
      </c>
      <c r="AD968" s="19"/>
      <c r="AE968" s="19"/>
      <c r="AF968" s="19"/>
      <c r="AG968" s="19"/>
      <c r="AH968" s="19" t="n">
        <v>91</v>
      </c>
      <c r="AI968" s="19"/>
      <c r="AJ968" s="19"/>
      <c r="AK968" s="19"/>
      <c r="AL968" s="19" t="n">
        <v>60</v>
      </c>
      <c r="AM968" s="19"/>
      <c r="AN968" s="19" t="n">
        <v>54</v>
      </c>
      <c r="AO968" s="19"/>
      <c r="AP968" s="19" t="n">
        <v>18</v>
      </c>
      <c r="AQ968" s="19" t="n">
        <v>2</v>
      </c>
      <c r="AR968" s="19" t="n">
        <v>4</v>
      </c>
      <c r="AS968" s="20" t="str">
        <f aca="false">HYPERLINK("http://www.openstreetmap.org/?mlat=33.2788&amp;mlon=44.2916&amp;zoom=12#map=12/33.2788/44.2916","Maplink1")</f>
        <v>Maplink1</v>
      </c>
      <c r="AT968" s="20" t="str">
        <f aca="false">HYPERLINK("https://www.google.iq/maps/search/+33.2788,44.2916/@33.2788,44.2916,14z?hl=en","Maplink2")</f>
        <v>Maplink2</v>
      </c>
      <c r="AU968" s="20" t="str">
        <f aca="false">HYPERLINK("http://www.bing.com/maps/?lvl=14&amp;sty=h&amp;cp=33.2788~44.2916&amp;sp=point.33.2788_44.2916","Maplink3")</f>
        <v>Maplink3</v>
      </c>
    </row>
    <row r="969" customFormat="false" ht="15" hidden="false" customHeight="true" outlineLevel="0" collapsed="false">
      <c r="A969" s="15" t="n">
        <v>21989</v>
      </c>
      <c r="B969" s="16" t="s">
        <v>17</v>
      </c>
      <c r="C969" s="16" t="s">
        <v>1709</v>
      </c>
      <c r="D969" s="16" t="s">
        <v>1936</v>
      </c>
      <c r="E969" s="17" t="s">
        <v>1937</v>
      </c>
      <c r="F969" s="16" t="n">
        <v>33.26642254</v>
      </c>
      <c r="G969" s="16" t="n">
        <v>44.29812115</v>
      </c>
      <c r="H969" s="18" t="n">
        <v>116</v>
      </c>
      <c r="I969" s="18" t="n">
        <v>696</v>
      </c>
      <c r="J969" s="19" t="n">
        <v>42</v>
      </c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 t="n">
        <v>26</v>
      </c>
      <c r="W969" s="19"/>
      <c r="X969" s="19" t="n">
        <v>48</v>
      </c>
      <c r="Y969" s="19"/>
      <c r="Z969" s="19"/>
      <c r="AA969" s="19"/>
      <c r="AB969" s="19"/>
      <c r="AC969" s="19" t="n">
        <v>46</v>
      </c>
      <c r="AD969" s="19"/>
      <c r="AE969" s="19"/>
      <c r="AF969" s="19"/>
      <c r="AG969" s="19"/>
      <c r="AH969" s="19" t="n">
        <v>70</v>
      </c>
      <c r="AI969" s="19"/>
      <c r="AJ969" s="19"/>
      <c r="AK969" s="19"/>
      <c r="AL969" s="19" t="n">
        <v>18</v>
      </c>
      <c r="AM969" s="19"/>
      <c r="AN969" s="19" t="n">
        <v>26</v>
      </c>
      <c r="AO969" s="19" t="n">
        <v>58</v>
      </c>
      <c r="AP969" s="19" t="n">
        <v>14</v>
      </c>
      <c r="AQ969" s="19"/>
      <c r="AR969" s="19"/>
      <c r="AS969" s="20" t="str">
        <f aca="false">HYPERLINK("http://www.openstreetmap.org/?mlat=33.2664&amp;mlon=44.2981&amp;zoom=12#map=12/33.2664/44.2981","Maplink1")</f>
        <v>Maplink1</v>
      </c>
      <c r="AT969" s="20" t="str">
        <f aca="false">HYPERLINK("https://www.google.iq/maps/search/+33.2664,44.2981/@33.2664,44.2981,14z?hl=en","Maplink2")</f>
        <v>Maplink2</v>
      </c>
      <c r="AU969" s="20" t="str">
        <f aca="false">HYPERLINK("http://www.bing.com/maps/?lvl=14&amp;sty=h&amp;cp=33.2664~44.2981&amp;sp=point.33.2664_44.2981","Maplink3")</f>
        <v>Maplink3</v>
      </c>
    </row>
    <row r="970" customFormat="false" ht="15" hidden="false" customHeight="true" outlineLevel="0" collapsed="false">
      <c r="A970" s="15" t="n">
        <v>26101</v>
      </c>
      <c r="B970" s="16" t="s">
        <v>17</v>
      </c>
      <c r="C970" s="16" t="s">
        <v>1709</v>
      </c>
      <c r="D970" s="16" t="s">
        <v>1938</v>
      </c>
      <c r="E970" s="17" t="s">
        <v>1939</v>
      </c>
      <c r="F970" s="16" t="n">
        <v>33.26428169</v>
      </c>
      <c r="G970" s="16" t="n">
        <v>44.30708567</v>
      </c>
      <c r="H970" s="18" t="n">
        <v>139</v>
      </c>
      <c r="I970" s="18" t="n">
        <v>834</v>
      </c>
      <c r="J970" s="19" t="n">
        <v>95</v>
      </c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 t="n">
        <v>26</v>
      </c>
      <c r="W970" s="19"/>
      <c r="X970" s="19" t="n">
        <v>18</v>
      </c>
      <c r="Y970" s="19"/>
      <c r="Z970" s="19"/>
      <c r="AA970" s="19"/>
      <c r="AB970" s="19"/>
      <c r="AC970" s="19" t="n">
        <v>40</v>
      </c>
      <c r="AD970" s="19"/>
      <c r="AE970" s="19"/>
      <c r="AF970" s="19"/>
      <c r="AG970" s="19"/>
      <c r="AH970" s="19" t="n">
        <v>99</v>
      </c>
      <c r="AI970" s="19"/>
      <c r="AJ970" s="19"/>
      <c r="AK970" s="19"/>
      <c r="AL970" s="19" t="n">
        <v>19</v>
      </c>
      <c r="AM970" s="19"/>
      <c r="AN970" s="19" t="n">
        <v>22</v>
      </c>
      <c r="AO970" s="19" t="n">
        <v>44</v>
      </c>
      <c r="AP970" s="19" t="n">
        <v>44</v>
      </c>
      <c r="AQ970" s="19" t="n">
        <v>5</v>
      </c>
      <c r="AR970" s="19" t="n">
        <v>5</v>
      </c>
      <c r="AS970" s="20" t="str">
        <f aca="false">HYPERLINK("http://www.openstreetmap.org/?mlat=33.2643&amp;mlon=44.3071&amp;zoom=12#map=12/33.2643/44.3071","Maplink1")</f>
        <v>Maplink1</v>
      </c>
      <c r="AT970" s="20" t="str">
        <f aca="false">HYPERLINK("https://www.google.iq/maps/search/+33.2643,44.3071/@33.2643,44.3071,14z?hl=en","Maplink2")</f>
        <v>Maplink2</v>
      </c>
      <c r="AU970" s="20" t="str">
        <f aca="false">HYPERLINK("http://www.bing.com/maps/?lvl=14&amp;sty=h&amp;cp=33.2643~44.3071&amp;sp=point.33.2643_44.3071","Maplink3")</f>
        <v>Maplink3</v>
      </c>
    </row>
    <row r="971" customFormat="false" ht="15" hidden="false" customHeight="true" outlineLevel="0" collapsed="false">
      <c r="A971" s="15" t="n">
        <v>27411</v>
      </c>
      <c r="B971" s="16" t="s">
        <v>17</v>
      </c>
      <c r="C971" s="16" t="s">
        <v>1709</v>
      </c>
      <c r="D971" s="16" t="s">
        <v>1940</v>
      </c>
      <c r="E971" s="17" t="s">
        <v>1941</v>
      </c>
      <c r="F971" s="16" t="n">
        <v>33.2796</v>
      </c>
      <c r="G971" s="16" t="n">
        <v>44.2904</v>
      </c>
      <c r="H971" s="18" t="n">
        <v>60</v>
      </c>
      <c r="I971" s="18" t="n">
        <v>360</v>
      </c>
      <c r="J971" s="19" t="n">
        <v>40</v>
      </c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 t="n">
        <v>12</v>
      </c>
      <c r="W971" s="19"/>
      <c r="X971" s="19" t="n">
        <v>8</v>
      </c>
      <c r="Y971" s="19"/>
      <c r="Z971" s="19"/>
      <c r="AA971" s="19"/>
      <c r="AB971" s="19"/>
      <c r="AC971" s="19" t="n">
        <v>23</v>
      </c>
      <c r="AD971" s="19"/>
      <c r="AE971" s="19"/>
      <c r="AF971" s="19"/>
      <c r="AG971" s="19"/>
      <c r="AH971" s="19" t="n">
        <v>37</v>
      </c>
      <c r="AI971" s="19"/>
      <c r="AJ971" s="19"/>
      <c r="AK971" s="19"/>
      <c r="AL971" s="19"/>
      <c r="AM971" s="19"/>
      <c r="AN971" s="19" t="n">
        <v>12</v>
      </c>
      <c r="AO971" s="19" t="n">
        <v>20</v>
      </c>
      <c r="AP971" s="19" t="n">
        <v>28</v>
      </c>
      <c r="AQ971" s="19"/>
      <c r="AR971" s="19"/>
      <c r="AS971" s="20" t="str">
        <f aca="false">HYPERLINK("http://www.openstreetmap.org/?mlat=33.2796&amp;mlon=44.2904&amp;zoom=12#map=12/33.2796/44.2904","Maplink1")</f>
        <v>Maplink1</v>
      </c>
      <c r="AT971" s="20" t="str">
        <f aca="false">HYPERLINK("https://www.google.iq/maps/search/+33.2796,44.2904/@33.2796,44.2904,14z?hl=en","Maplink2")</f>
        <v>Maplink2</v>
      </c>
      <c r="AU971" s="20" t="str">
        <f aca="false">HYPERLINK("http://www.bing.com/maps/?lvl=14&amp;sty=h&amp;cp=33.2796~44.2904&amp;sp=point.33.2796_44.2904","Maplink3")</f>
        <v>Maplink3</v>
      </c>
    </row>
    <row r="972" customFormat="false" ht="15" hidden="false" customHeight="true" outlineLevel="0" collapsed="false">
      <c r="A972" s="15" t="n">
        <v>7583</v>
      </c>
      <c r="B972" s="16" t="s">
        <v>17</v>
      </c>
      <c r="C972" s="16" t="s">
        <v>1709</v>
      </c>
      <c r="D972" s="16" t="s">
        <v>1942</v>
      </c>
      <c r="E972" s="17" t="s">
        <v>1943</v>
      </c>
      <c r="F972" s="16" t="n">
        <v>33.19200319</v>
      </c>
      <c r="G972" s="16" t="n">
        <v>44.41372</v>
      </c>
      <c r="H972" s="18" t="n">
        <v>82</v>
      </c>
      <c r="I972" s="18" t="n">
        <v>492</v>
      </c>
      <c r="J972" s="19" t="n">
        <v>70</v>
      </c>
      <c r="K972" s="19"/>
      <c r="L972" s="19" t="n">
        <v>12</v>
      </c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 t="n">
        <v>33</v>
      </c>
      <c r="AD972" s="19"/>
      <c r="AE972" s="19"/>
      <c r="AF972" s="19"/>
      <c r="AG972" s="19"/>
      <c r="AH972" s="19" t="n">
        <v>29</v>
      </c>
      <c r="AI972" s="19"/>
      <c r="AJ972" s="19" t="n">
        <v>20</v>
      </c>
      <c r="AK972" s="19"/>
      <c r="AL972" s="19"/>
      <c r="AM972" s="19" t="n">
        <v>53</v>
      </c>
      <c r="AN972" s="19"/>
      <c r="AO972" s="19" t="n">
        <v>7</v>
      </c>
      <c r="AP972" s="19"/>
      <c r="AQ972" s="19" t="n">
        <v>22</v>
      </c>
      <c r="AR972" s="19"/>
      <c r="AS972" s="20" t="str">
        <f aca="false">HYPERLINK("http://www.openstreetmap.org/?mlat=33.192&amp;mlon=44.4137&amp;zoom=12#map=12/33.192/44.4137","Maplink1")</f>
        <v>Maplink1</v>
      </c>
      <c r="AT972" s="20" t="str">
        <f aca="false">HYPERLINK("https://www.google.iq/maps/search/+33.192,44.4137/@33.192,44.4137,14z?hl=en","Maplink2")</f>
        <v>Maplink2</v>
      </c>
      <c r="AU972" s="20" t="str">
        <f aca="false">HYPERLINK("http://www.bing.com/maps/?lvl=14&amp;sty=h&amp;cp=33.192~44.4137&amp;sp=point.33.192_44.4137","Maplink3")</f>
        <v>Maplink3</v>
      </c>
    </row>
    <row r="973" customFormat="false" ht="15" hidden="false" customHeight="true" outlineLevel="0" collapsed="false">
      <c r="A973" s="15" t="n">
        <v>25774</v>
      </c>
      <c r="B973" s="16" t="s">
        <v>17</v>
      </c>
      <c r="C973" s="16" t="s">
        <v>1709</v>
      </c>
      <c r="D973" s="16" t="s">
        <v>1944</v>
      </c>
      <c r="E973" s="17" t="s">
        <v>1945</v>
      </c>
      <c r="F973" s="16" t="n">
        <v>33.31738345</v>
      </c>
      <c r="G973" s="16" t="n">
        <v>44.29105318</v>
      </c>
      <c r="H973" s="18" t="n">
        <v>125</v>
      </c>
      <c r="I973" s="18" t="n">
        <v>750</v>
      </c>
      <c r="J973" s="19" t="n">
        <v>115</v>
      </c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 t="n">
        <v>10</v>
      </c>
      <c r="W973" s="19"/>
      <c r="X973" s="19"/>
      <c r="Y973" s="19"/>
      <c r="Z973" s="19"/>
      <c r="AA973" s="19"/>
      <c r="AB973" s="19" t="n">
        <v>125</v>
      </c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 t="n">
        <v>108</v>
      </c>
      <c r="AQ973" s="19" t="n">
        <v>7</v>
      </c>
      <c r="AR973" s="19" t="n">
        <v>10</v>
      </c>
      <c r="AS973" s="20" t="str">
        <f aca="false">HYPERLINK("http://www.openstreetmap.org/?mlat=33.3174&amp;mlon=44.2911&amp;zoom=12#map=12/33.3174/44.2911","Maplink1")</f>
        <v>Maplink1</v>
      </c>
      <c r="AT973" s="20" t="str">
        <f aca="false">HYPERLINK("https://www.google.iq/maps/search/+33.3174,44.2911/@33.3174,44.2911,14z?hl=en","Maplink2")</f>
        <v>Maplink2</v>
      </c>
      <c r="AU973" s="20" t="str">
        <f aca="false">HYPERLINK("http://www.bing.com/maps/?lvl=14&amp;sty=h&amp;cp=33.3174~44.2911&amp;sp=point.33.3174_44.2911","Maplink3")</f>
        <v>Maplink3</v>
      </c>
    </row>
    <row r="974" customFormat="false" ht="15" hidden="false" customHeight="true" outlineLevel="0" collapsed="false">
      <c r="A974" s="15" t="n">
        <v>24069</v>
      </c>
      <c r="B974" s="16" t="s">
        <v>17</v>
      </c>
      <c r="C974" s="16" t="s">
        <v>1709</v>
      </c>
      <c r="D974" s="16" t="s">
        <v>1946</v>
      </c>
      <c r="E974" s="17" t="s">
        <v>1947</v>
      </c>
      <c r="F974" s="16" t="n">
        <v>33.33669</v>
      </c>
      <c r="G974" s="16" t="n">
        <v>44.37695</v>
      </c>
      <c r="H974" s="18" t="n">
        <v>32</v>
      </c>
      <c r="I974" s="18" t="n">
        <v>192</v>
      </c>
      <c r="J974" s="19" t="n">
        <v>30</v>
      </c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 t="n">
        <v>2</v>
      </c>
      <c r="Y974" s="19"/>
      <c r="Z974" s="19"/>
      <c r="AA974" s="19"/>
      <c r="AB974" s="19"/>
      <c r="AC974" s="19" t="n">
        <v>15</v>
      </c>
      <c r="AD974" s="19"/>
      <c r="AE974" s="19"/>
      <c r="AF974" s="19"/>
      <c r="AG974" s="19"/>
      <c r="AH974" s="19" t="n">
        <v>17</v>
      </c>
      <c r="AI974" s="19"/>
      <c r="AJ974" s="19"/>
      <c r="AK974" s="19"/>
      <c r="AL974" s="19"/>
      <c r="AM974" s="19" t="n">
        <v>5</v>
      </c>
      <c r="AN974" s="19"/>
      <c r="AO974" s="19" t="n">
        <v>19</v>
      </c>
      <c r="AP974" s="19" t="n">
        <v>8</v>
      </c>
      <c r="AQ974" s="19"/>
      <c r="AR974" s="19"/>
      <c r="AS974" s="20" t="str">
        <f aca="false">HYPERLINK("http://www.openstreetmap.org/?mlat=33.3367&amp;mlon=44.377&amp;zoom=12#map=12/33.3367/44.377","Maplink1")</f>
        <v>Maplink1</v>
      </c>
      <c r="AT974" s="20" t="str">
        <f aca="false">HYPERLINK("https://www.google.iq/maps/search/+33.3367,44.377/@33.3367,44.377,14z?hl=en","Maplink2")</f>
        <v>Maplink2</v>
      </c>
      <c r="AU974" s="20" t="str">
        <f aca="false">HYPERLINK("http://www.bing.com/maps/?lvl=14&amp;sty=h&amp;cp=33.3367~44.377&amp;sp=point.33.3367_44.377","Maplink3")</f>
        <v>Maplink3</v>
      </c>
    </row>
    <row r="975" customFormat="false" ht="15" hidden="false" customHeight="true" outlineLevel="0" collapsed="false">
      <c r="A975" s="15" t="n">
        <v>27193</v>
      </c>
      <c r="B975" s="16" t="s">
        <v>17</v>
      </c>
      <c r="C975" s="16" t="s">
        <v>1709</v>
      </c>
      <c r="D975" s="16" t="s">
        <v>1948</v>
      </c>
      <c r="E975" s="17" t="s">
        <v>1949</v>
      </c>
      <c r="F975" s="16" t="n">
        <v>33.33812</v>
      </c>
      <c r="G975" s="16" t="n">
        <v>44.37738</v>
      </c>
      <c r="H975" s="18" t="n">
        <v>65</v>
      </c>
      <c r="I975" s="18" t="n">
        <v>390</v>
      </c>
      <c r="J975" s="19" t="n">
        <v>28</v>
      </c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 t="n">
        <v>19</v>
      </c>
      <c r="W975" s="19"/>
      <c r="X975" s="19" t="n">
        <v>18</v>
      </c>
      <c r="Y975" s="19"/>
      <c r="Z975" s="19"/>
      <c r="AA975" s="19"/>
      <c r="AB975" s="19"/>
      <c r="AC975" s="19" t="n">
        <v>25</v>
      </c>
      <c r="AD975" s="19"/>
      <c r="AE975" s="19"/>
      <c r="AF975" s="19"/>
      <c r="AG975" s="19"/>
      <c r="AH975" s="19" t="n">
        <v>40</v>
      </c>
      <c r="AI975" s="19"/>
      <c r="AJ975" s="19"/>
      <c r="AK975" s="19"/>
      <c r="AL975" s="19" t="n">
        <v>7</v>
      </c>
      <c r="AM975" s="19" t="n">
        <v>19</v>
      </c>
      <c r="AN975" s="19"/>
      <c r="AO975" s="19" t="n">
        <v>14</v>
      </c>
      <c r="AP975" s="19" t="n">
        <v>25</v>
      </c>
      <c r="AQ975" s="19"/>
      <c r="AR975" s="19"/>
      <c r="AS975" s="20" t="str">
        <f aca="false">HYPERLINK("http://www.openstreetmap.org/?mlat=33.3381&amp;mlon=44.3774&amp;zoom=12#map=12/33.3381/44.3774","Maplink1")</f>
        <v>Maplink1</v>
      </c>
      <c r="AT975" s="20" t="str">
        <f aca="false">HYPERLINK("https://www.google.iq/maps/search/+33.3381,44.3774/@33.3381,44.3774,14z?hl=en","Maplink2")</f>
        <v>Maplink2</v>
      </c>
      <c r="AU975" s="20" t="str">
        <f aca="false">HYPERLINK("http://www.bing.com/maps/?lvl=14&amp;sty=h&amp;cp=33.3381~44.3774&amp;sp=point.33.3381_44.3774","Maplink3")</f>
        <v>Maplink3</v>
      </c>
    </row>
    <row r="976" customFormat="false" ht="15" hidden="false" customHeight="true" outlineLevel="0" collapsed="false">
      <c r="A976" s="15" t="n">
        <v>25991</v>
      </c>
      <c r="B976" s="16" t="s">
        <v>17</v>
      </c>
      <c r="C976" s="16" t="s">
        <v>1709</v>
      </c>
      <c r="D976" s="16" t="s">
        <v>1950</v>
      </c>
      <c r="E976" s="17" t="s">
        <v>1951</v>
      </c>
      <c r="F976" s="16" t="n">
        <v>33.3376993</v>
      </c>
      <c r="G976" s="16" t="n">
        <v>44.37266586</v>
      </c>
      <c r="H976" s="18" t="n">
        <v>61</v>
      </c>
      <c r="I976" s="18" t="n">
        <v>366</v>
      </c>
      <c r="J976" s="19" t="n">
        <v>32</v>
      </c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 t="n">
        <v>20</v>
      </c>
      <c r="W976" s="19"/>
      <c r="X976" s="19" t="n">
        <v>9</v>
      </c>
      <c r="Y976" s="19"/>
      <c r="Z976" s="19"/>
      <c r="AA976" s="19"/>
      <c r="AB976" s="19"/>
      <c r="AC976" s="19" t="n">
        <v>24</v>
      </c>
      <c r="AD976" s="19"/>
      <c r="AE976" s="19"/>
      <c r="AF976" s="19"/>
      <c r="AG976" s="19"/>
      <c r="AH976" s="19" t="n">
        <v>35</v>
      </c>
      <c r="AI976" s="19"/>
      <c r="AJ976" s="19" t="n">
        <v>2</v>
      </c>
      <c r="AK976" s="19"/>
      <c r="AL976" s="19" t="n">
        <v>10</v>
      </c>
      <c r="AM976" s="19" t="n">
        <v>12</v>
      </c>
      <c r="AN976" s="19"/>
      <c r="AO976" s="19" t="n">
        <v>20</v>
      </c>
      <c r="AP976" s="19" t="n">
        <v>11</v>
      </c>
      <c r="AQ976" s="19"/>
      <c r="AR976" s="19" t="n">
        <v>8</v>
      </c>
      <c r="AS976" s="20" t="str">
        <f aca="false">HYPERLINK("http://www.openstreetmap.org/?mlat=33.3377&amp;mlon=44.3727&amp;zoom=12#map=12/33.3377/44.3727","Maplink1")</f>
        <v>Maplink1</v>
      </c>
      <c r="AT976" s="20" t="str">
        <f aca="false">HYPERLINK("https://www.google.iq/maps/search/+33.3377,44.3727/@33.3377,44.3727,14z?hl=en","Maplink2")</f>
        <v>Maplink2</v>
      </c>
      <c r="AU976" s="20" t="str">
        <f aca="false">HYPERLINK("http://www.bing.com/maps/?lvl=14&amp;sty=h&amp;cp=33.3377~44.3727&amp;sp=point.33.3377_44.3727","Maplink3")</f>
        <v>Maplink3</v>
      </c>
    </row>
    <row r="977" customFormat="false" ht="15" hidden="false" customHeight="true" outlineLevel="0" collapsed="false">
      <c r="A977" s="15" t="n">
        <v>21784</v>
      </c>
      <c r="B977" s="16" t="s">
        <v>17</v>
      </c>
      <c r="C977" s="16" t="s">
        <v>1709</v>
      </c>
      <c r="D977" s="16" t="s">
        <v>1952</v>
      </c>
      <c r="E977" s="17" t="s">
        <v>1953</v>
      </c>
      <c r="F977" s="16" t="n">
        <v>33.33411235</v>
      </c>
      <c r="G977" s="16" t="n">
        <v>44.3758009</v>
      </c>
      <c r="H977" s="18" t="n">
        <v>211</v>
      </c>
      <c r="I977" s="18" t="n">
        <v>1266</v>
      </c>
      <c r="J977" s="19" t="n">
        <v>113</v>
      </c>
      <c r="K977" s="19"/>
      <c r="L977" s="19"/>
      <c r="M977" s="19"/>
      <c r="N977" s="19"/>
      <c r="O977" s="19" t="n">
        <v>12</v>
      </c>
      <c r="P977" s="19"/>
      <c r="Q977" s="19"/>
      <c r="R977" s="19"/>
      <c r="S977" s="19"/>
      <c r="T977" s="19"/>
      <c r="U977" s="19"/>
      <c r="V977" s="19" t="n">
        <v>47</v>
      </c>
      <c r="W977" s="19"/>
      <c r="X977" s="19" t="n">
        <v>39</v>
      </c>
      <c r="Y977" s="19"/>
      <c r="Z977" s="19"/>
      <c r="AA977" s="19"/>
      <c r="AB977" s="19"/>
      <c r="AC977" s="19" t="n">
        <v>51</v>
      </c>
      <c r="AD977" s="19"/>
      <c r="AE977" s="19"/>
      <c r="AF977" s="19"/>
      <c r="AG977" s="19"/>
      <c r="AH977" s="19" t="n">
        <v>148</v>
      </c>
      <c r="AI977" s="19"/>
      <c r="AJ977" s="19" t="n">
        <v>12</v>
      </c>
      <c r="AK977" s="19"/>
      <c r="AL977" s="19" t="n">
        <v>23</v>
      </c>
      <c r="AM977" s="19" t="n">
        <v>25</v>
      </c>
      <c r="AN977" s="19" t="n">
        <v>67</v>
      </c>
      <c r="AO977" s="19" t="n">
        <v>85</v>
      </c>
      <c r="AP977" s="19" t="n">
        <v>4</v>
      </c>
      <c r="AQ977" s="19"/>
      <c r="AR977" s="19" t="n">
        <v>7</v>
      </c>
      <c r="AS977" s="20" t="str">
        <f aca="false">HYPERLINK("http://www.openstreetmap.org/?mlat=33.3341&amp;mlon=44.3758&amp;zoom=12#map=12/33.3341/44.3758","Maplink1")</f>
        <v>Maplink1</v>
      </c>
      <c r="AT977" s="20" t="str">
        <f aca="false">HYPERLINK("https://www.google.iq/maps/search/+33.3341,44.3758/@33.3341,44.3758,14z?hl=en","Maplink2")</f>
        <v>Maplink2</v>
      </c>
      <c r="AU977" s="20" t="str">
        <f aca="false">HYPERLINK("http://www.bing.com/maps/?lvl=14&amp;sty=h&amp;cp=33.3341~44.3758&amp;sp=point.33.3341_44.3758","Maplink3")</f>
        <v>Maplink3</v>
      </c>
    </row>
    <row r="978" customFormat="false" ht="15" hidden="false" customHeight="true" outlineLevel="0" collapsed="false">
      <c r="A978" s="15" t="n">
        <v>27194</v>
      </c>
      <c r="B978" s="16" t="s">
        <v>17</v>
      </c>
      <c r="C978" s="16" t="s">
        <v>1709</v>
      </c>
      <c r="D978" s="16" t="s">
        <v>1954</v>
      </c>
      <c r="E978" s="17" t="s">
        <v>1955</v>
      </c>
      <c r="F978" s="16" t="n">
        <v>33.33317993</v>
      </c>
      <c r="G978" s="16" t="n">
        <v>44.3781348</v>
      </c>
      <c r="H978" s="18" t="n">
        <v>68</v>
      </c>
      <c r="I978" s="18" t="n">
        <v>408</v>
      </c>
      <c r="J978" s="19" t="n">
        <v>46</v>
      </c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 t="n">
        <v>19</v>
      </c>
      <c r="W978" s="19"/>
      <c r="X978" s="19" t="n">
        <v>3</v>
      </c>
      <c r="Y978" s="19"/>
      <c r="Z978" s="19"/>
      <c r="AA978" s="19"/>
      <c r="AB978" s="19"/>
      <c r="AC978" s="19" t="n">
        <v>22</v>
      </c>
      <c r="AD978" s="19"/>
      <c r="AE978" s="19"/>
      <c r="AF978" s="19"/>
      <c r="AG978" s="19"/>
      <c r="AH978" s="19" t="n">
        <v>46</v>
      </c>
      <c r="AI978" s="19"/>
      <c r="AJ978" s="19"/>
      <c r="AK978" s="19"/>
      <c r="AL978" s="19"/>
      <c r="AM978" s="19" t="n">
        <v>19</v>
      </c>
      <c r="AN978" s="19"/>
      <c r="AO978" s="19" t="n">
        <v>28</v>
      </c>
      <c r="AP978" s="19" t="n">
        <v>21</v>
      </c>
      <c r="AQ978" s="19"/>
      <c r="AR978" s="19"/>
      <c r="AS978" s="20" t="str">
        <f aca="false">HYPERLINK("http://www.openstreetmap.org/?mlat=33.3332&amp;mlon=44.3781&amp;zoom=12#map=12/33.3332/44.3781","Maplink1")</f>
        <v>Maplink1</v>
      </c>
      <c r="AT978" s="20" t="str">
        <f aca="false">HYPERLINK("https://www.google.iq/maps/search/+33.3332,44.3781/@33.3332,44.3781,14z?hl=en","Maplink2")</f>
        <v>Maplink2</v>
      </c>
      <c r="AU978" s="20" t="str">
        <f aca="false">HYPERLINK("http://www.bing.com/maps/?lvl=14&amp;sty=h&amp;cp=33.3332~44.3781&amp;sp=point.33.3332_44.3781","Maplink3")</f>
        <v>Maplink3</v>
      </c>
    </row>
    <row r="979" customFormat="false" ht="15" hidden="false" customHeight="true" outlineLevel="0" collapsed="false">
      <c r="A979" s="15" t="n">
        <v>24068</v>
      </c>
      <c r="B979" s="16" t="s">
        <v>17</v>
      </c>
      <c r="C979" s="16" t="s">
        <v>1709</v>
      </c>
      <c r="D979" s="16" t="s">
        <v>1956</v>
      </c>
      <c r="E979" s="17" t="s">
        <v>1957</v>
      </c>
      <c r="F979" s="16" t="n">
        <v>33.34164356</v>
      </c>
      <c r="G979" s="16" t="n">
        <v>44.35707234</v>
      </c>
      <c r="H979" s="18" t="n">
        <v>37</v>
      </c>
      <c r="I979" s="18" t="n">
        <v>222</v>
      </c>
      <c r="J979" s="19" t="n">
        <v>16</v>
      </c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 t="n">
        <v>13</v>
      </c>
      <c r="W979" s="19"/>
      <c r="X979" s="19" t="n">
        <v>8</v>
      </c>
      <c r="Y979" s="19"/>
      <c r="Z979" s="19"/>
      <c r="AA979" s="19"/>
      <c r="AB979" s="19"/>
      <c r="AC979" s="19" t="n">
        <v>14</v>
      </c>
      <c r="AD979" s="19"/>
      <c r="AE979" s="19"/>
      <c r="AF979" s="19"/>
      <c r="AG979" s="19"/>
      <c r="AH979" s="19" t="n">
        <v>23</v>
      </c>
      <c r="AI979" s="19"/>
      <c r="AJ979" s="19"/>
      <c r="AK979" s="19"/>
      <c r="AL979" s="19" t="n">
        <v>5</v>
      </c>
      <c r="AM979" s="19" t="n">
        <v>13</v>
      </c>
      <c r="AN979" s="19"/>
      <c r="AO979" s="19" t="n">
        <v>6</v>
      </c>
      <c r="AP979" s="19" t="n">
        <v>13</v>
      </c>
      <c r="AQ979" s="19"/>
      <c r="AR979" s="19"/>
      <c r="AS979" s="20" t="str">
        <f aca="false">HYPERLINK("http://www.openstreetmap.org/?mlat=33.3416&amp;mlon=44.3571&amp;zoom=12#map=12/33.3416/44.3571","Maplink1")</f>
        <v>Maplink1</v>
      </c>
      <c r="AT979" s="20" t="str">
        <f aca="false">HYPERLINK("https://www.google.iq/maps/search/+33.3416,44.3571/@33.3416,44.3571,14z?hl=en","Maplink2")</f>
        <v>Maplink2</v>
      </c>
      <c r="AU979" s="20" t="str">
        <f aca="false">HYPERLINK("http://www.bing.com/maps/?lvl=14&amp;sty=h&amp;cp=33.3416~44.3571&amp;sp=point.33.3416_44.3571","Maplink3")</f>
        <v>Maplink3</v>
      </c>
    </row>
    <row r="980" customFormat="false" ht="15" hidden="false" customHeight="true" outlineLevel="0" collapsed="false">
      <c r="A980" s="15" t="n">
        <v>24075</v>
      </c>
      <c r="B980" s="16" t="s">
        <v>17</v>
      </c>
      <c r="C980" s="16" t="s">
        <v>1709</v>
      </c>
      <c r="D980" s="16" t="s">
        <v>1958</v>
      </c>
      <c r="E980" s="17" t="s">
        <v>1959</v>
      </c>
      <c r="F980" s="16" t="n">
        <v>33.25092882</v>
      </c>
      <c r="G980" s="16" t="n">
        <v>44.40189688</v>
      </c>
      <c r="H980" s="18" t="n">
        <v>246</v>
      </c>
      <c r="I980" s="18" t="n">
        <v>1476</v>
      </c>
      <c r="J980" s="19" t="n">
        <v>182</v>
      </c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 t="n">
        <v>50</v>
      </c>
      <c r="W980" s="19"/>
      <c r="X980" s="19" t="n">
        <v>14</v>
      </c>
      <c r="Y980" s="19"/>
      <c r="Z980" s="19"/>
      <c r="AA980" s="19"/>
      <c r="AB980" s="19"/>
      <c r="AC980" s="19" t="n">
        <v>57</v>
      </c>
      <c r="AD980" s="19"/>
      <c r="AE980" s="19"/>
      <c r="AF980" s="19"/>
      <c r="AG980" s="19"/>
      <c r="AH980" s="19" t="n">
        <v>189</v>
      </c>
      <c r="AI980" s="19"/>
      <c r="AJ980" s="19"/>
      <c r="AK980" s="19"/>
      <c r="AL980" s="19" t="n">
        <v>34</v>
      </c>
      <c r="AM980" s="19"/>
      <c r="AN980" s="19"/>
      <c r="AO980" s="19" t="n">
        <v>66</v>
      </c>
      <c r="AP980" s="19" t="n">
        <v>136</v>
      </c>
      <c r="AQ980" s="19" t="n">
        <v>10</v>
      </c>
      <c r="AR980" s="19"/>
      <c r="AS980" s="20" t="str">
        <f aca="false">HYPERLINK("http://www.openstreetmap.org/?mlat=33.2509&amp;mlon=44.4019&amp;zoom=12#map=12/33.2509/44.4019","Maplink1")</f>
        <v>Maplink1</v>
      </c>
      <c r="AT980" s="20" t="str">
        <f aca="false">HYPERLINK("https://www.google.iq/maps/search/+33.2509,44.4019/@33.2509,44.4019,14z?hl=en","Maplink2")</f>
        <v>Maplink2</v>
      </c>
      <c r="AU980" s="20" t="str">
        <f aca="false">HYPERLINK("http://www.bing.com/maps/?lvl=14&amp;sty=h&amp;cp=33.2509~44.4019&amp;sp=point.33.2509_44.4019","Maplink3")</f>
        <v>Maplink3</v>
      </c>
    </row>
    <row r="981" customFormat="false" ht="15" hidden="false" customHeight="true" outlineLevel="0" collapsed="false">
      <c r="A981" s="15" t="n">
        <v>24073</v>
      </c>
      <c r="B981" s="16" t="s">
        <v>17</v>
      </c>
      <c r="C981" s="16" t="s">
        <v>1709</v>
      </c>
      <c r="D981" s="16" t="s">
        <v>1960</v>
      </c>
      <c r="E981" s="17" t="s">
        <v>1961</v>
      </c>
      <c r="F981" s="16" t="n">
        <v>33.24272042</v>
      </c>
      <c r="G981" s="16" t="n">
        <v>44.40846087</v>
      </c>
      <c r="H981" s="18" t="n">
        <v>90</v>
      </c>
      <c r="I981" s="18" t="n">
        <v>540</v>
      </c>
      <c r="J981" s="19" t="n">
        <v>6</v>
      </c>
      <c r="K981" s="19" t="n">
        <v>56</v>
      </c>
      <c r="L981" s="19"/>
      <c r="M981" s="19"/>
      <c r="N981" s="19"/>
      <c r="O981" s="19" t="n">
        <v>20</v>
      </c>
      <c r="P981" s="19"/>
      <c r="Q981" s="19"/>
      <c r="R981" s="19"/>
      <c r="S981" s="19"/>
      <c r="T981" s="19"/>
      <c r="U981" s="19"/>
      <c r="V981" s="19"/>
      <c r="W981" s="19"/>
      <c r="X981" s="19" t="n">
        <v>8</v>
      </c>
      <c r="Y981" s="19"/>
      <c r="Z981" s="19"/>
      <c r="AA981" s="19"/>
      <c r="AB981" s="19"/>
      <c r="AC981" s="19" t="n">
        <v>82</v>
      </c>
      <c r="AD981" s="19"/>
      <c r="AE981" s="19"/>
      <c r="AF981" s="19"/>
      <c r="AG981" s="19"/>
      <c r="AH981" s="19" t="n">
        <v>8</v>
      </c>
      <c r="AI981" s="19"/>
      <c r="AJ981" s="19"/>
      <c r="AK981" s="19"/>
      <c r="AL981" s="19" t="n">
        <v>23</v>
      </c>
      <c r="AM981" s="19" t="n">
        <v>33</v>
      </c>
      <c r="AN981" s="19" t="n">
        <v>20</v>
      </c>
      <c r="AO981" s="19" t="n">
        <v>14</v>
      </c>
      <c r="AP981" s="19"/>
      <c r="AQ981" s="19"/>
      <c r="AR981" s="19"/>
      <c r="AS981" s="20" t="str">
        <f aca="false">HYPERLINK("http://www.openstreetmap.org/?mlat=33.2427&amp;mlon=44.4085&amp;zoom=12#map=12/33.2427/44.4085","Maplink1")</f>
        <v>Maplink1</v>
      </c>
      <c r="AT981" s="20" t="str">
        <f aca="false">HYPERLINK("https://www.google.iq/maps/search/+33.2427,44.4085/@33.2427,44.4085,14z?hl=en","Maplink2")</f>
        <v>Maplink2</v>
      </c>
      <c r="AU981" s="20" t="str">
        <f aca="false">HYPERLINK("http://www.bing.com/maps/?lvl=14&amp;sty=h&amp;cp=33.2427~44.4085&amp;sp=point.33.2427_44.4085","Maplink3")</f>
        <v>Maplink3</v>
      </c>
    </row>
    <row r="982" customFormat="false" ht="15" hidden="false" customHeight="true" outlineLevel="0" collapsed="false">
      <c r="A982" s="15" t="n">
        <v>25222</v>
      </c>
      <c r="B982" s="16" t="s">
        <v>17</v>
      </c>
      <c r="C982" s="16" t="s">
        <v>1709</v>
      </c>
      <c r="D982" s="16" t="s">
        <v>1962</v>
      </c>
      <c r="E982" s="17" t="s">
        <v>1963</v>
      </c>
      <c r="F982" s="16" t="n">
        <v>33.23122639</v>
      </c>
      <c r="G982" s="16" t="n">
        <v>44.30436225</v>
      </c>
      <c r="H982" s="18" t="n">
        <v>66</v>
      </c>
      <c r="I982" s="18" t="n">
        <v>396</v>
      </c>
      <c r="J982" s="19" t="n">
        <v>20</v>
      </c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 t="n">
        <v>40</v>
      </c>
      <c r="W982" s="19"/>
      <c r="X982" s="19" t="n">
        <v>6</v>
      </c>
      <c r="Y982" s="19"/>
      <c r="Z982" s="19"/>
      <c r="AA982" s="19"/>
      <c r="AB982" s="19"/>
      <c r="AC982" s="19" t="n">
        <v>14</v>
      </c>
      <c r="AD982" s="19"/>
      <c r="AE982" s="19"/>
      <c r="AF982" s="19"/>
      <c r="AG982" s="19"/>
      <c r="AH982" s="19" t="n">
        <v>40</v>
      </c>
      <c r="AI982" s="19"/>
      <c r="AJ982" s="19" t="n">
        <v>12</v>
      </c>
      <c r="AK982" s="19"/>
      <c r="AL982" s="19" t="n">
        <v>1</v>
      </c>
      <c r="AM982" s="19" t="n">
        <v>39</v>
      </c>
      <c r="AN982" s="19"/>
      <c r="AO982" s="19" t="n">
        <v>6</v>
      </c>
      <c r="AP982" s="19" t="n">
        <v>20</v>
      </c>
      <c r="AQ982" s="19"/>
      <c r="AR982" s="19"/>
      <c r="AS982" s="20" t="str">
        <f aca="false">HYPERLINK("http://www.openstreetmap.org/?mlat=33.2312&amp;mlon=44.3044&amp;zoom=12#map=12/33.2312/44.3044","Maplink1")</f>
        <v>Maplink1</v>
      </c>
      <c r="AT982" s="20" t="str">
        <f aca="false">HYPERLINK("https://www.google.iq/maps/search/+33.2312,44.3044/@33.2312,44.3044,14z?hl=en","Maplink2")</f>
        <v>Maplink2</v>
      </c>
      <c r="AU982" s="20" t="str">
        <f aca="false">HYPERLINK("http://www.bing.com/maps/?lvl=14&amp;sty=h&amp;cp=33.2312~44.3044&amp;sp=point.33.2312_44.3044","Maplink3")</f>
        <v>Maplink3</v>
      </c>
    </row>
    <row r="983" customFormat="false" ht="15" hidden="false" customHeight="true" outlineLevel="0" collapsed="false">
      <c r="A983" s="15" t="n">
        <v>7410</v>
      </c>
      <c r="B983" s="16" t="s">
        <v>17</v>
      </c>
      <c r="C983" s="16" t="s">
        <v>1709</v>
      </c>
      <c r="D983" s="16" t="s">
        <v>1964</v>
      </c>
      <c r="E983" s="17" t="s">
        <v>1965</v>
      </c>
      <c r="F983" s="16" t="n">
        <v>33.19969823</v>
      </c>
      <c r="G983" s="16" t="n">
        <v>44.38517474</v>
      </c>
      <c r="H983" s="18" t="n">
        <v>141</v>
      </c>
      <c r="I983" s="18" t="n">
        <v>846</v>
      </c>
      <c r="J983" s="19" t="n">
        <v>125</v>
      </c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 t="n">
        <v>16</v>
      </c>
      <c r="Y983" s="19"/>
      <c r="Z983" s="19"/>
      <c r="AA983" s="19"/>
      <c r="AB983" s="19"/>
      <c r="AC983" s="19" t="n">
        <v>79</v>
      </c>
      <c r="AD983" s="19"/>
      <c r="AE983" s="19"/>
      <c r="AF983" s="19"/>
      <c r="AG983" s="19"/>
      <c r="AH983" s="19" t="n">
        <v>40</v>
      </c>
      <c r="AI983" s="19"/>
      <c r="AJ983" s="19" t="n">
        <v>22</v>
      </c>
      <c r="AK983" s="19"/>
      <c r="AL983" s="19" t="n">
        <v>17</v>
      </c>
      <c r="AM983" s="19" t="n">
        <v>15</v>
      </c>
      <c r="AN983" s="19"/>
      <c r="AO983" s="19" t="n">
        <v>16</v>
      </c>
      <c r="AP983" s="19" t="n">
        <v>32</v>
      </c>
      <c r="AQ983" s="19" t="n">
        <v>61</v>
      </c>
      <c r="AR983" s="19"/>
      <c r="AS983" s="20" t="str">
        <f aca="false">HYPERLINK("http://www.openstreetmap.org/?mlat=33.1997&amp;mlon=44.3852&amp;zoom=12#map=12/33.1997/44.3852","Maplink1")</f>
        <v>Maplink1</v>
      </c>
      <c r="AT983" s="20" t="str">
        <f aca="false">HYPERLINK("https://www.google.iq/maps/search/+33.1997,44.3852/@33.1997,44.3852,14z?hl=en","Maplink2")</f>
        <v>Maplink2</v>
      </c>
      <c r="AU983" s="20" t="str">
        <f aca="false">HYPERLINK("http://www.bing.com/maps/?lvl=14&amp;sty=h&amp;cp=33.1997~44.3852&amp;sp=point.33.1997_44.3852","Maplink3")</f>
        <v>Maplink3</v>
      </c>
    </row>
    <row r="984" customFormat="false" ht="15" hidden="false" customHeight="true" outlineLevel="0" collapsed="false">
      <c r="A984" s="15" t="n">
        <v>26120</v>
      </c>
      <c r="B984" s="16" t="s">
        <v>17</v>
      </c>
      <c r="C984" s="16" t="s">
        <v>1709</v>
      </c>
      <c r="D984" s="16" t="s">
        <v>1966</v>
      </c>
      <c r="E984" s="17" t="s">
        <v>1967</v>
      </c>
      <c r="F984" s="16" t="n">
        <v>33.17167881</v>
      </c>
      <c r="G984" s="16" t="n">
        <v>44.36383157</v>
      </c>
      <c r="H984" s="18" t="n">
        <v>255</v>
      </c>
      <c r="I984" s="18" t="n">
        <v>1530</v>
      </c>
      <c r="J984" s="19" t="n">
        <v>156</v>
      </c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 t="n">
        <v>99</v>
      </c>
      <c r="W984" s="19"/>
      <c r="X984" s="19"/>
      <c r="Y984" s="19"/>
      <c r="Z984" s="19"/>
      <c r="AA984" s="19"/>
      <c r="AB984" s="19" t="n">
        <v>255</v>
      </c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 t="n">
        <v>51</v>
      </c>
      <c r="AN984" s="19" t="n">
        <v>37</v>
      </c>
      <c r="AO984" s="19"/>
      <c r="AP984" s="19" t="n">
        <v>142</v>
      </c>
      <c r="AQ984" s="19"/>
      <c r="AR984" s="19" t="n">
        <v>25</v>
      </c>
      <c r="AS984" s="20" t="str">
        <f aca="false">HYPERLINK("http://www.openstreetmap.org/?mlat=33.1717&amp;mlon=44.3638&amp;zoom=12#map=12/33.1717/44.3638","Maplink1")</f>
        <v>Maplink1</v>
      </c>
      <c r="AT984" s="20" t="str">
        <f aca="false">HYPERLINK("https://www.google.iq/maps/search/+33.1717,44.3638/@33.1717,44.3638,14z?hl=en","Maplink2")</f>
        <v>Maplink2</v>
      </c>
      <c r="AU984" s="20" t="str">
        <f aca="false">HYPERLINK("http://www.bing.com/maps/?lvl=14&amp;sty=h&amp;cp=33.1717~44.3638&amp;sp=point.33.1717_44.3638","Maplink3")</f>
        <v>Maplink3</v>
      </c>
    </row>
    <row r="985" customFormat="false" ht="15" hidden="false" customHeight="true" outlineLevel="0" collapsed="false">
      <c r="A985" s="15" t="n">
        <v>24070</v>
      </c>
      <c r="B985" s="16" t="s">
        <v>17</v>
      </c>
      <c r="C985" s="16" t="s">
        <v>1709</v>
      </c>
      <c r="D985" s="16" t="s">
        <v>1968</v>
      </c>
      <c r="E985" s="17" t="s">
        <v>1969</v>
      </c>
      <c r="F985" s="16" t="n">
        <v>33.20324066</v>
      </c>
      <c r="G985" s="16" t="n">
        <v>44.37504483</v>
      </c>
      <c r="H985" s="18" t="n">
        <v>23</v>
      </c>
      <c r="I985" s="18" t="n">
        <v>138</v>
      </c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 t="n">
        <v>23</v>
      </c>
      <c r="W985" s="19"/>
      <c r="X985" s="19"/>
      <c r="Y985" s="19"/>
      <c r="Z985" s="19"/>
      <c r="AA985" s="19"/>
      <c r="AB985" s="19"/>
      <c r="AC985" s="19" t="n">
        <v>16</v>
      </c>
      <c r="AD985" s="19"/>
      <c r="AE985" s="19"/>
      <c r="AF985" s="19"/>
      <c r="AG985" s="19"/>
      <c r="AH985" s="19"/>
      <c r="AI985" s="19"/>
      <c r="AJ985" s="19" t="n">
        <v>7</v>
      </c>
      <c r="AK985" s="19"/>
      <c r="AL985" s="19" t="n">
        <v>8</v>
      </c>
      <c r="AM985" s="19"/>
      <c r="AN985" s="19"/>
      <c r="AO985" s="19" t="n">
        <v>15</v>
      </c>
      <c r="AP985" s="19"/>
      <c r="AQ985" s="19"/>
      <c r="AR985" s="19"/>
      <c r="AS985" s="20" t="str">
        <f aca="false">HYPERLINK("http://www.openstreetmap.org/?mlat=33.2032&amp;mlon=44.375&amp;zoom=12#map=12/33.2032/44.375","Maplink1")</f>
        <v>Maplink1</v>
      </c>
      <c r="AT985" s="20" t="str">
        <f aca="false">HYPERLINK("https://www.google.iq/maps/search/+33.2032,44.375/@33.2032,44.375,14z?hl=en","Maplink2")</f>
        <v>Maplink2</v>
      </c>
      <c r="AU985" s="20" t="str">
        <f aca="false">HYPERLINK("http://www.bing.com/maps/?lvl=14&amp;sty=h&amp;cp=33.2032~44.375&amp;sp=point.33.2032_44.375","Maplink3")</f>
        <v>Maplink3</v>
      </c>
    </row>
    <row r="986" customFormat="false" ht="15" hidden="false" customHeight="true" outlineLevel="0" collapsed="false">
      <c r="A986" s="15" t="n">
        <v>25005</v>
      </c>
      <c r="B986" s="16" t="s">
        <v>17</v>
      </c>
      <c r="C986" s="16" t="s">
        <v>1970</v>
      </c>
      <c r="D986" s="16" t="s">
        <v>1971</v>
      </c>
      <c r="E986" s="16" t="s">
        <v>1972</v>
      </c>
      <c r="F986" s="16" t="n">
        <v>33.31389759</v>
      </c>
      <c r="G986" s="16" t="n">
        <v>44.67742315</v>
      </c>
      <c r="H986" s="18" t="n">
        <v>33</v>
      </c>
      <c r="I986" s="18" t="n">
        <v>198</v>
      </c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 t="n">
        <v>33</v>
      </c>
      <c r="W986" s="19"/>
      <c r="X986" s="19"/>
      <c r="Y986" s="19"/>
      <c r="Z986" s="19"/>
      <c r="AA986" s="19"/>
      <c r="AB986" s="19"/>
      <c r="AC986" s="19" t="n">
        <v>8</v>
      </c>
      <c r="AD986" s="19"/>
      <c r="AE986" s="19"/>
      <c r="AF986" s="19"/>
      <c r="AG986" s="19"/>
      <c r="AH986" s="19" t="n">
        <v>25</v>
      </c>
      <c r="AI986" s="19"/>
      <c r="AJ986" s="19"/>
      <c r="AK986" s="19"/>
      <c r="AL986" s="19"/>
      <c r="AM986" s="19" t="n">
        <v>33</v>
      </c>
      <c r="AN986" s="19"/>
      <c r="AO986" s="19"/>
      <c r="AP986" s="19"/>
      <c r="AQ986" s="19"/>
      <c r="AR986" s="19"/>
      <c r="AS986" s="20" t="str">
        <f aca="false">HYPERLINK("http://www.openstreetmap.org/?mlat=33.3139&amp;mlon=44.6774&amp;zoom=12#map=12/33.3139/44.6774","Maplink1")</f>
        <v>Maplink1</v>
      </c>
      <c r="AT986" s="20" t="str">
        <f aca="false">HYPERLINK("https://www.google.iq/maps/search/+33.3139,44.6774/@33.3139,44.6774,14z?hl=en","Maplink2")</f>
        <v>Maplink2</v>
      </c>
      <c r="AU986" s="20" t="str">
        <f aca="false">HYPERLINK("http://www.bing.com/maps/?lvl=14&amp;sty=h&amp;cp=33.3139~44.6774&amp;sp=point.33.3139_44.6774","Maplink3")</f>
        <v>Maplink3</v>
      </c>
    </row>
    <row r="987" customFormat="false" ht="15" hidden="false" customHeight="true" outlineLevel="0" collapsed="false">
      <c r="A987" s="15" t="n">
        <v>25140</v>
      </c>
      <c r="B987" s="16" t="s">
        <v>17</v>
      </c>
      <c r="C987" s="16" t="s">
        <v>1970</v>
      </c>
      <c r="D987" s="16" t="s">
        <v>1973</v>
      </c>
      <c r="E987" s="17" t="s">
        <v>1974</v>
      </c>
      <c r="F987" s="16" t="n">
        <v>33.22866276</v>
      </c>
      <c r="G987" s="16" t="n">
        <v>44.59771373</v>
      </c>
      <c r="H987" s="18" t="n">
        <v>8</v>
      </c>
      <c r="I987" s="18" t="n">
        <v>48</v>
      </c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 t="n">
        <v>8</v>
      </c>
      <c r="W987" s="19"/>
      <c r="X987" s="19"/>
      <c r="Y987" s="19"/>
      <c r="Z987" s="19"/>
      <c r="AA987" s="19"/>
      <c r="AB987" s="19"/>
      <c r="AC987" s="19" t="n">
        <v>8</v>
      </c>
      <c r="AD987" s="19"/>
      <c r="AE987" s="19"/>
      <c r="AF987" s="19"/>
      <c r="AG987" s="19"/>
      <c r="AH987" s="19"/>
      <c r="AI987" s="19"/>
      <c r="AJ987" s="19"/>
      <c r="AK987" s="19"/>
      <c r="AL987" s="19"/>
      <c r="AM987" s="19" t="n">
        <v>8</v>
      </c>
      <c r="AN987" s="19"/>
      <c r="AO987" s="19"/>
      <c r="AP987" s="19"/>
      <c r="AQ987" s="19"/>
      <c r="AR987" s="19"/>
      <c r="AS987" s="20" t="str">
        <f aca="false">HYPERLINK("http://www.openstreetmap.org/?mlat=33.2287&amp;mlon=44.5977&amp;zoom=12#map=12/33.2287/44.5977","Maplink1")</f>
        <v>Maplink1</v>
      </c>
      <c r="AT987" s="20" t="str">
        <f aca="false">HYPERLINK("https://www.google.iq/maps/search/+33.2287,44.5977/@33.2287,44.5977,14z?hl=en","Maplink2")</f>
        <v>Maplink2</v>
      </c>
      <c r="AU987" s="20" t="str">
        <f aca="false">HYPERLINK("http://www.bing.com/maps/?lvl=14&amp;sty=h&amp;cp=33.2287~44.5977&amp;sp=point.33.2287_44.5977","Maplink3")</f>
        <v>Maplink3</v>
      </c>
    </row>
    <row r="988" customFormat="false" ht="15" hidden="false" customHeight="true" outlineLevel="0" collapsed="false">
      <c r="A988" s="15" t="n">
        <v>25832</v>
      </c>
      <c r="B988" s="16" t="s">
        <v>17</v>
      </c>
      <c r="C988" s="16" t="s">
        <v>1970</v>
      </c>
      <c r="D988" s="16" t="s">
        <v>1975</v>
      </c>
      <c r="E988" s="17" t="s">
        <v>1976</v>
      </c>
      <c r="F988" s="16" t="n">
        <v>33.22259012</v>
      </c>
      <c r="G988" s="16" t="n">
        <v>44.5225994</v>
      </c>
      <c r="H988" s="18" t="n">
        <v>18</v>
      </c>
      <c r="I988" s="18" t="n">
        <v>108</v>
      </c>
      <c r="J988" s="19" t="n">
        <v>6</v>
      </c>
      <c r="K988" s="19"/>
      <c r="L988" s="19"/>
      <c r="M988" s="19"/>
      <c r="N988" s="19"/>
      <c r="O988" s="19" t="n">
        <v>2</v>
      </c>
      <c r="P988" s="19"/>
      <c r="Q988" s="19"/>
      <c r="R988" s="19" t="n">
        <v>1</v>
      </c>
      <c r="S988" s="19"/>
      <c r="T988" s="19"/>
      <c r="U988" s="19"/>
      <c r="V988" s="19"/>
      <c r="W988" s="19"/>
      <c r="X988" s="19" t="n">
        <v>9</v>
      </c>
      <c r="Y988" s="19"/>
      <c r="Z988" s="19"/>
      <c r="AA988" s="19"/>
      <c r="AB988" s="19"/>
      <c r="AC988" s="19" t="n">
        <v>8</v>
      </c>
      <c r="AD988" s="19"/>
      <c r="AE988" s="19"/>
      <c r="AF988" s="19"/>
      <c r="AG988" s="19"/>
      <c r="AH988" s="19" t="n">
        <v>10</v>
      </c>
      <c r="AI988" s="19"/>
      <c r="AJ988" s="19"/>
      <c r="AK988" s="19"/>
      <c r="AL988" s="19"/>
      <c r="AM988" s="19" t="n">
        <v>2</v>
      </c>
      <c r="AN988" s="19" t="n">
        <v>7</v>
      </c>
      <c r="AO988" s="19" t="n">
        <v>3</v>
      </c>
      <c r="AP988" s="19" t="n">
        <v>6</v>
      </c>
      <c r="AQ988" s="19"/>
      <c r="AR988" s="19"/>
      <c r="AS988" s="20" t="str">
        <f aca="false">HYPERLINK("http://www.openstreetmap.org/?mlat=33.2226&amp;mlon=44.5226&amp;zoom=12#map=12/33.2226/44.5226","Maplink1")</f>
        <v>Maplink1</v>
      </c>
      <c r="AT988" s="20" t="str">
        <f aca="false">HYPERLINK("https://www.google.iq/maps/search/+33.2226,44.5226/@33.2226,44.5226,14z?hl=en","Maplink2")</f>
        <v>Maplink2</v>
      </c>
      <c r="AU988" s="20" t="str">
        <f aca="false">HYPERLINK("http://www.bing.com/maps/?lvl=14&amp;sty=h&amp;cp=33.2226~44.5226&amp;sp=point.33.2226_44.5226","Maplink3")</f>
        <v>Maplink3</v>
      </c>
    </row>
    <row r="989" customFormat="false" ht="15" hidden="false" customHeight="true" outlineLevel="0" collapsed="false">
      <c r="A989" s="15" t="n">
        <v>25010</v>
      </c>
      <c r="B989" s="16" t="s">
        <v>17</v>
      </c>
      <c r="C989" s="16" t="s">
        <v>1970</v>
      </c>
      <c r="D989" s="16" t="s">
        <v>1977</v>
      </c>
      <c r="E989" s="17" t="s">
        <v>1978</v>
      </c>
      <c r="F989" s="16" t="n">
        <v>33.27671882</v>
      </c>
      <c r="G989" s="16" t="n">
        <v>44.62147568</v>
      </c>
      <c r="H989" s="18" t="n">
        <v>11</v>
      </c>
      <c r="I989" s="18" t="n">
        <v>66</v>
      </c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 t="n">
        <v>11</v>
      </c>
      <c r="W989" s="19"/>
      <c r="X989" s="19"/>
      <c r="Y989" s="19"/>
      <c r="Z989" s="19"/>
      <c r="AA989" s="19"/>
      <c r="AB989" s="19"/>
      <c r="AC989" s="19" t="n">
        <v>11</v>
      </c>
      <c r="AD989" s="19"/>
      <c r="AE989" s="19"/>
      <c r="AF989" s="19"/>
      <c r="AG989" s="19"/>
      <c r="AH989" s="19"/>
      <c r="AI989" s="19"/>
      <c r="AJ989" s="19"/>
      <c r="AK989" s="19"/>
      <c r="AL989" s="19"/>
      <c r="AM989" s="19" t="n">
        <v>11</v>
      </c>
      <c r="AN989" s="19"/>
      <c r="AO989" s="19"/>
      <c r="AP989" s="19"/>
      <c r="AQ989" s="19"/>
      <c r="AR989" s="19"/>
      <c r="AS989" s="20" t="str">
        <f aca="false">HYPERLINK("http://www.openstreetmap.org/?mlat=33.2767&amp;mlon=44.6215&amp;zoom=12#map=12/33.2767/44.6215","Maplink1")</f>
        <v>Maplink1</v>
      </c>
      <c r="AT989" s="20" t="str">
        <f aca="false">HYPERLINK("https://www.google.iq/maps/search/+33.2767,44.6215/@33.2767,44.6215,14z?hl=en","Maplink2")</f>
        <v>Maplink2</v>
      </c>
      <c r="AU989" s="20" t="str">
        <f aca="false">HYPERLINK("http://www.bing.com/maps/?lvl=14&amp;sty=h&amp;cp=33.2767~44.6215&amp;sp=point.33.2767_44.6215","Maplink3")</f>
        <v>Maplink3</v>
      </c>
    </row>
    <row r="990" customFormat="false" ht="15" hidden="false" customHeight="true" outlineLevel="0" collapsed="false">
      <c r="A990" s="15" t="n">
        <v>25011</v>
      </c>
      <c r="B990" s="16" t="s">
        <v>17</v>
      </c>
      <c r="C990" s="16" t="s">
        <v>1970</v>
      </c>
      <c r="D990" s="16" t="s">
        <v>1979</v>
      </c>
      <c r="E990" s="17" t="s">
        <v>1980</v>
      </c>
      <c r="F990" s="16" t="n">
        <v>33.21610088</v>
      </c>
      <c r="G990" s="16" t="n">
        <v>44.60173863</v>
      </c>
      <c r="H990" s="18" t="n">
        <v>95</v>
      </c>
      <c r="I990" s="18" t="n">
        <v>570</v>
      </c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 t="n">
        <v>95</v>
      </c>
      <c r="W990" s="19"/>
      <c r="X990" s="19"/>
      <c r="Y990" s="19"/>
      <c r="Z990" s="19"/>
      <c r="AA990" s="19"/>
      <c r="AB990" s="19"/>
      <c r="AC990" s="19" t="n">
        <v>23</v>
      </c>
      <c r="AD990" s="19"/>
      <c r="AE990" s="19"/>
      <c r="AF990" s="19"/>
      <c r="AG990" s="19"/>
      <c r="AH990" s="19" t="n">
        <v>72</v>
      </c>
      <c r="AI990" s="19"/>
      <c r="AJ990" s="19"/>
      <c r="AK990" s="19"/>
      <c r="AL990" s="19" t="n">
        <v>34</v>
      </c>
      <c r="AM990" s="19" t="n">
        <v>25</v>
      </c>
      <c r="AN990" s="19"/>
      <c r="AO990" s="19" t="n">
        <v>36</v>
      </c>
      <c r="AP990" s="19"/>
      <c r="AQ990" s="19"/>
      <c r="AR990" s="19"/>
      <c r="AS990" s="20" t="str">
        <f aca="false">HYPERLINK("http://www.openstreetmap.org/?mlat=33.2161&amp;mlon=44.6017&amp;zoom=12#map=12/33.2161/44.6017","Maplink1")</f>
        <v>Maplink1</v>
      </c>
      <c r="AT990" s="20" t="str">
        <f aca="false">HYPERLINK("https://www.google.iq/maps/search/+33.2161,44.6017/@33.2161,44.6017,14z?hl=en","Maplink2")</f>
        <v>Maplink2</v>
      </c>
      <c r="AU990" s="20" t="str">
        <f aca="false">HYPERLINK("http://www.bing.com/maps/?lvl=14&amp;sty=h&amp;cp=33.2161~44.6017&amp;sp=point.33.2161_44.6017","Maplink3")</f>
        <v>Maplink3</v>
      </c>
    </row>
    <row r="991" customFormat="false" ht="15" hidden="false" customHeight="true" outlineLevel="0" collapsed="false">
      <c r="A991" s="15" t="n">
        <v>25004</v>
      </c>
      <c r="B991" s="16" t="s">
        <v>17</v>
      </c>
      <c r="C991" s="16" t="s">
        <v>1970</v>
      </c>
      <c r="D991" s="16" t="s">
        <v>1981</v>
      </c>
      <c r="E991" s="17" t="s">
        <v>1982</v>
      </c>
      <c r="F991" s="16" t="n">
        <v>33.29698199</v>
      </c>
      <c r="G991" s="16" t="n">
        <v>44.67281601</v>
      </c>
      <c r="H991" s="18" t="n">
        <v>6</v>
      </c>
      <c r="I991" s="18" t="n">
        <v>36</v>
      </c>
      <c r="J991" s="19"/>
      <c r="K991" s="19"/>
      <c r="L991" s="19"/>
      <c r="M991" s="19"/>
      <c r="N991" s="19"/>
      <c r="O991" s="19" t="n">
        <v>2</v>
      </c>
      <c r="P991" s="19"/>
      <c r="Q991" s="19"/>
      <c r="R991" s="19"/>
      <c r="S991" s="19"/>
      <c r="T991" s="19"/>
      <c r="U991" s="19"/>
      <c r="V991" s="19" t="n">
        <v>2</v>
      </c>
      <c r="W991" s="19"/>
      <c r="X991" s="19" t="n">
        <v>2</v>
      </c>
      <c r="Y991" s="19"/>
      <c r="Z991" s="19"/>
      <c r="AA991" s="19"/>
      <c r="AB991" s="19"/>
      <c r="AC991" s="19" t="n">
        <v>2</v>
      </c>
      <c r="AD991" s="19"/>
      <c r="AE991" s="19"/>
      <c r="AF991" s="19"/>
      <c r="AG991" s="19"/>
      <c r="AH991" s="19" t="n">
        <v>4</v>
      </c>
      <c r="AI991" s="19"/>
      <c r="AJ991" s="19"/>
      <c r="AK991" s="19"/>
      <c r="AL991" s="19"/>
      <c r="AM991" s="19" t="n">
        <v>3</v>
      </c>
      <c r="AN991" s="19"/>
      <c r="AO991" s="19" t="n">
        <v>3</v>
      </c>
      <c r="AP991" s="19"/>
      <c r="AQ991" s="19"/>
      <c r="AR991" s="19"/>
      <c r="AS991" s="20" t="str">
        <f aca="false">HYPERLINK("http://www.openstreetmap.org/?mlat=33.297&amp;mlon=44.6728&amp;zoom=12#map=12/33.297/44.6728","Maplink1")</f>
        <v>Maplink1</v>
      </c>
      <c r="AT991" s="20" t="str">
        <f aca="false">HYPERLINK("https://www.google.iq/maps/search/+33.297,44.6728/@33.297,44.6728,14z?hl=en","Maplink2")</f>
        <v>Maplink2</v>
      </c>
      <c r="AU991" s="20" t="str">
        <f aca="false">HYPERLINK("http://www.bing.com/maps/?lvl=14&amp;sty=h&amp;cp=33.297~44.6728&amp;sp=point.33.297_44.6728","Maplink3")</f>
        <v>Maplink3</v>
      </c>
    </row>
    <row r="992" customFormat="false" ht="15" hidden="false" customHeight="true" outlineLevel="0" collapsed="false">
      <c r="A992" s="15" t="n">
        <v>25006</v>
      </c>
      <c r="B992" s="16" t="s">
        <v>17</v>
      </c>
      <c r="C992" s="16" t="s">
        <v>1970</v>
      </c>
      <c r="D992" s="16" t="s">
        <v>1983</v>
      </c>
      <c r="E992" s="17" t="s">
        <v>1984</v>
      </c>
      <c r="F992" s="16" t="n">
        <v>33.37246144</v>
      </c>
      <c r="G992" s="16" t="n">
        <v>44.68601525</v>
      </c>
      <c r="H992" s="18" t="n">
        <v>12</v>
      </c>
      <c r="I992" s="18" t="n">
        <v>72</v>
      </c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 t="n">
        <v>12</v>
      </c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 t="n">
        <v>12</v>
      </c>
      <c r="AI992" s="19"/>
      <c r="AJ992" s="19"/>
      <c r="AK992" s="19"/>
      <c r="AL992" s="19"/>
      <c r="AM992" s="19" t="n">
        <v>12</v>
      </c>
      <c r="AN992" s="19"/>
      <c r="AO992" s="19"/>
      <c r="AP992" s="19"/>
      <c r="AQ992" s="19"/>
      <c r="AR992" s="19"/>
      <c r="AS992" s="20" t="str">
        <f aca="false">HYPERLINK("http://www.openstreetmap.org/?mlat=33.3725&amp;mlon=44.686&amp;zoom=12#map=12/33.3725/44.686","Maplink1")</f>
        <v>Maplink1</v>
      </c>
      <c r="AT992" s="20" t="str">
        <f aca="false">HYPERLINK("https://www.google.iq/maps/search/+33.3725,44.686/@33.3725,44.686,14z?hl=en","Maplink2")</f>
        <v>Maplink2</v>
      </c>
      <c r="AU992" s="20" t="str">
        <f aca="false">HYPERLINK("http://www.bing.com/maps/?lvl=14&amp;sty=h&amp;cp=33.3725~44.686&amp;sp=point.33.3725_44.686","Maplink3")</f>
        <v>Maplink3</v>
      </c>
    </row>
    <row r="993" customFormat="false" ht="15" hidden="false" customHeight="true" outlineLevel="0" collapsed="false">
      <c r="A993" s="15" t="n">
        <v>25834</v>
      </c>
      <c r="B993" s="16" t="s">
        <v>17</v>
      </c>
      <c r="C993" s="16" t="s">
        <v>1970</v>
      </c>
      <c r="D993" s="16" t="s">
        <v>1985</v>
      </c>
      <c r="E993" s="17" t="s">
        <v>1986</v>
      </c>
      <c r="F993" s="16" t="n">
        <v>33.28900597</v>
      </c>
      <c r="G993" s="16" t="n">
        <v>44.59065147</v>
      </c>
      <c r="H993" s="18" t="n">
        <v>86</v>
      </c>
      <c r="I993" s="18" t="n">
        <v>516</v>
      </c>
      <c r="J993" s="19" t="n">
        <v>3</v>
      </c>
      <c r="K993" s="19"/>
      <c r="L993" s="19"/>
      <c r="M993" s="19"/>
      <c r="N993" s="19"/>
      <c r="O993" s="19" t="n">
        <v>10</v>
      </c>
      <c r="P993" s="19"/>
      <c r="Q993" s="19"/>
      <c r="R993" s="19" t="n">
        <v>4</v>
      </c>
      <c r="S993" s="19"/>
      <c r="T993" s="19"/>
      <c r="U993" s="19"/>
      <c r="V993" s="19" t="n">
        <v>50</v>
      </c>
      <c r="W993" s="19"/>
      <c r="X993" s="19" t="n">
        <v>19</v>
      </c>
      <c r="Y993" s="19"/>
      <c r="Z993" s="19"/>
      <c r="AA993" s="19"/>
      <c r="AB993" s="19"/>
      <c r="AC993" s="19" t="n">
        <v>63</v>
      </c>
      <c r="AD993" s="19"/>
      <c r="AE993" s="19"/>
      <c r="AF993" s="19"/>
      <c r="AG993" s="19"/>
      <c r="AH993" s="19" t="n">
        <v>23</v>
      </c>
      <c r="AI993" s="19"/>
      <c r="AJ993" s="19"/>
      <c r="AK993" s="19"/>
      <c r="AL993" s="19"/>
      <c r="AM993" s="19" t="n">
        <v>66</v>
      </c>
      <c r="AN993" s="19" t="n">
        <v>17</v>
      </c>
      <c r="AO993" s="19"/>
      <c r="AP993" s="19" t="n">
        <v>3</v>
      </c>
      <c r="AQ993" s="19"/>
      <c r="AR993" s="19"/>
      <c r="AS993" s="20" t="str">
        <f aca="false">HYPERLINK("http://www.openstreetmap.org/?mlat=33.289&amp;mlon=44.5907&amp;zoom=12#map=12/33.289/44.5907","Maplink1")</f>
        <v>Maplink1</v>
      </c>
      <c r="AT993" s="20" t="str">
        <f aca="false">HYPERLINK("https://www.google.iq/maps/search/+33.289,44.5907/@33.289,44.5907,14z?hl=en","Maplink2")</f>
        <v>Maplink2</v>
      </c>
      <c r="AU993" s="20" t="str">
        <f aca="false">HYPERLINK("http://www.bing.com/maps/?lvl=14&amp;sty=h&amp;cp=33.289~44.5907&amp;sp=point.33.289_44.5907","Maplink3")</f>
        <v>Maplink3</v>
      </c>
    </row>
    <row r="994" customFormat="false" ht="15" hidden="false" customHeight="true" outlineLevel="0" collapsed="false">
      <c r="A994" s="15" t="n">
        <v>7546</v>
      </c>
      <c r="B994" s="16" t="s">
        <v>17</v>
      </c>
      <c r="C994" s="16" t="s">
        <v>1970</v>
      </c>
      <c r="D994" s="16" t="s">
        <v>1987</v>
      </c>
      <c r="E994" s="17" t="s">
        <v>1988</v>
      </c>
      <c r="F994" s="16" t="n">
        <v>33.20888654</v>
      </c>
      <c r="G994" s="16" t="n">
        <v>44.55072907</v>
      </c>
      <c r="H994" s="18" t="n">
        <v>71</v>
      </c>
      <c r="I994" s="18" t="n">
        <v>426</v>
      </c>
      <c r="J994" s="19" t="n">
        <v>4</v>
      </c>
      <c r="K994" s="19" t="n">
        <v>2</v>
      </c>
      <c r="L994" s="19"/>
      <c r="M994" s="19"/>
      <c r="N994" s="19"/>
      <c r="O994" s="19" t="n">
        <v>5</v>
      </c>
      <c r="P994" s="19"/>
      <c r="Q994" s="19"/>
      <c r="R994" s="19"/>
      <c r="S994" s="19"/>
      <c r="T994" s="19"/>
      <c r="U994" s="19"/>
      <c r="V994" s="19" t="n">
        <v>46</v>
      </c>
      <c r="W994" s="19"/>
      <c r="X994" s="19" t="n">
        <v>14</v>
      </c>
      <c r="Y994" s="19"/>
      <c r="Z994" s="19"/>
      <c r="AA994" s="19"/>
      <c r="AB994" s="19"/>
      <c r="AC994" s="19" t="n">
        <v>18</v>
      </c>
      <c r="AD994" s="19"/>
      <c r="AE994" s="19"/>
      <c r="AF994" s="19"/>
      <c r="AG994" s="19"/>
      <c r="AH994" s="19" t="n">
        <v>53</v>
      </c>
      <c r="AI994" s="19"/>
      <c r="AJ994" s="19"/>
      <c r="AK994" s="19"/>
      <c r="AL994" s="19"/>
      <c r="AM994" s="19" t="n">
        <v>53</v>
      </c>
      <c r="AN994" s="19" t="n">
        <v>14</v>
      </c>
      <c r="AO994" s="19" t="n">
        <v>1</v>
      </c>
      <c r="AP994" s="19" t="n">
        <v>3</v>
      </c>
      <c r="AQ994" s="19"/>
      <c r="AR994" s="19"/>
      <c r="AS994" s="20" t="str">
        <f aca="false">HYPERLINK("http://www.openstreetmap.org/?mlat=33.2089&amp;mlon=44.5507&amp;zoom=12#map=12/33.2089/44.5507","Maplink1")</f>
        <v>Maplink1</v>
      </c>
      <c r="AT994" s="20" t="str">
        <f aca="false">HYPERLINK("https://www.google.iq/maps/search/+33.2089,44.5507/@33.2089,44.5507,14z?hl=en","Maplink2")</f>
        <v>Maplink2</v>
      </c>
      <c r="AU994" s="20" t="str">
        <f aca="false">HYPERLINK("http://www.bing.com/maps/?lvl=14&amp;sty=h&amp;cp=33.2089~44.5507&amp;sp=point.33.2089_44.5507","Maplink3")</f>
        <v>Maplink3</v>
      </c>
    </row>
    <row r="995" customFormat="false" ht="15" hidden="false" customHeight="true" outlineLevel="0" collapsed="false">
      <c r="A995" s="15" t="n">
        <v>7668</v>
      </c>
      <c r="B995" s="16" t="s">
        <v>17</v>
      </c>
      <c r="C995" s="16" t="s">
        <v>1970</v>
      </c>
      <c r="D995" s="16" t="s">
        <v>1989</v>
      </c>
      <c r="E995" s="17" t="s">
        <v>1990</v>
      </c>
      <c r="F995" s="16" t="n">
        <v>33.2099725</v>
      </c>
      <c r="G995" s="16" t="n">
        <v>44.55056076</v>
      </c>
      <c r="H995" s="18" t="n">
        <v>10</v>
      </c>
      <c r="I995" s="18" t="n">
        <v>60</v>
      </c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 t="n">
        <v>3</v>
      </c>
      <c r="W995" s="19"/>
      <c r="X995" s="19" t="n">
        <v>7</v>
      </c>
      <c r="Y995" s="19"/>
      <c r="Z995" s="19"/>
      <c r="AA995" s="19"/>
      <c r="AB995" s="19"/>
      <c r="AC995" s="19" t="n">
        <v>10</v>
      </c>
      <c r="AD995" s="19"/>
      <c r="AE995" s="19"/>
      <c r="AF995" s="19"/>
      <c r="AG995" s="19"/>
      <c r="AH995" s="19"/>
      <c r="AI995" s="19"/>
      <c r="AJ995" s="19"/>
      <c r="AK995" s="19"/>
      <c r="AL995" s="19"/>
      <c r="AM995" s="19" t="n">
        <v>3</v>
      </c>
      <c r="AN995" s="19"/>
      <c r="AO995" s="19" t="n">
        <v>7</v>
      </c>
      <c r="AP995" s="19"/>
      <c r="AQ995" s="19"/>
      <c r="AR995" s="19"/>
      <c r="AS995" s="20" t="str">
        <f aca="false">HYPERLINK("http://www.openstreetmap.org/?mlat=33.21&amp;mlon=44.5506&amp;zoom=12#map=12/33.21/44.5506","Maplink1")</f>
        <v>Maplink1</v>
      </c>
      <c r="AT995" s="20" t="str">
        <f aca="false">HYPERLINK("https://www.google.iq/maps/search/+33.21,44.5506/@33.21,44.5506,14z?hl=en","Maplink2")</f>
        <v>Maplink2</v>
      </c>
      <c r="AU995" s="20" t="str">
        <f aca="false">HYPERLINK("http://www.bing.com/maps/?lvl=14&amp;sty=h&amp;cp=33.21~44.5506&amp;sp=point.33.21_44.5506","Maplink3")</f>
        <v>Maplink3</v>
      </c>
    </row>
    <row r="996" customFormat="false" ht="15" hidden="false" customHeight="true" outlineLevel="0" collapsed="false">
      <c r="A996" s="15" t="n">
        <v>25833</v>
      </c>
      <c r="B996" s="16" t="s">
        <v>17</v>
      </c>
      <c r="C996" s="16" t="s">
        <v>1970</v>
      </c>
      <c r="D996" s="16" t="s">
        <v>1991</v>
      </c>
      <c r="E996" s="17" t="s">
        <v>1992</v>
      </c>
      <c r="F996" s="16" t="n">
        <v>33.22001218</v>
      </c>
      <c r="G996" s="16" t="n">
        <v>44.52493594</v>
      </c>
      <c r="H996" s="18" t="n">
        <v>19</v>
      </c>
      <c r="I996" s="18" t="n">
        <v>114</v>
      </c>
      <c r="J996" s="19" t="n">
        <v>6</v>
      </c>
      <c r="K996" s="19"/>
      <c r="L996" s="19" t="n">
        <v>1</v>
      </c>
      <c r="M996" s="19"/>
      <c r="N996" s="19"/>
      <c r="O996" s="19" t="n">
        <v>8</v>
      </c>
      <c r="P996" s="19"/>
      <c r="Q996" s="19"/>
      <c r="R996" s="19" t="n">
        <v>1</v>
      </c>
      <c r="S996" s="19"/>
      <c r="T996" s="19"/>
      <c r="U996" s="19"/>
      <c r="V996" s="19"/>
      <c r="W996" s="19"/>
      <c r="X996" s="19" t="n">
        <v>3</v>
      </c>
      <c r="Y996" s="19"/>
      <c r="Z996" s="19"/>
      <c r="AA996" s="19"/>
      <c r="AB996" s="19"/>
      <c r="AC996" s="19" t="n">
        <v>9</v>
      </c>
      <c r="AD996" s="19"/>
      <c r="AE996" s="19"/>
      <c r="AF996" s="19"/>
      <c r="AG996" s="19"/>
      <c r="AH996" s="19" t="n">
        <v>10</v>
      </c>
      <c r="AI996" s="19"/>
      <c r="AJ996" s="19"/>
      <c r="AK996" s="19"/>
      <c r="AL996" s="19"/>
      <c r="AM996" s="19" t="n">
        <v>11</v>
      </c>
      <c r="AN996" s="19"/>
      <c r="AO996" s="19" t="n">
        <v>4</v>
      </c>
      <c r="AP996" s="19" t="n">
        <v>4</v>
      </c>
      <c r="AQ996" s="19"/>
      <c r="AR996" s="19"/>
      <c r="AS996" s="20" t="str">
        <f aca="false">HYPERLINK("http://www.openstreetmap.org/?mlat=33.22&amp;mlon=44.5249&amp;zoom=12#map=12/33.22/44.5249","Maplink1")</f>
        <v>Maplink1</v>
      </c>
      <c r="AT996" s="20" t="str">
        <f aca="false">HYPERLINK("https://www.google.iq/maps/search/+33.22,44.5249/@33.22,44.5249,14z?hl=en","Maplink2")</f>
        <v>Maplink2</v>
      </c>
      <c r="AU996" s="20" t="str">
        <f aca="false">HYPERLINK("http://www.bing.com/maps/?lvl=14&amp;sty=h&amp;cp=33.22~44.5249&amp;sp=point.33.22_44.5249","Maplink3")</f>
        <v>Maplink3</v>
      </c>
    </row>
    <row r="997" customFormat="false" ht="15" hidden="false" customHeight="true" outlineLevel="0" collapsed="false">
      <c r="A997" s="15" t="n">
        <v>7547</v>
      </c>
      <c r="B997" s="16" t="s">
        <v>17</v>
      </c>
      <c r="C997" s="16" t="s">
        <v>1970</v>
      </c>
      <c r="D997" s="16" t="s">
        <v>1993</v>
      </c>
      <c r="E997" s="17" t="s">
        <v>1994</v>
      </c>
      <c r="F997" s="16" t="n">
        <v>33.21071531</v>
      </c>
      <c r="G997" s="16" t="n">
        <v>44.55000035</v>
      </c>
      <c r="H997" s="18" t="n">
        <v>29</v>
      </c>
      <c r="I997" s="18" t="n">
        <v>174</v>
      </c>
      <c r="J997" s="19" t="n">
        <v>3</v>
      </c>
      <c r="K997" s="19"/>
      <c r="L997" s="19"/>
      <c r="M997" s="19"/>
      <c r="N997" s="19"/>
      <c r="O997" s="19" t="n">
        <v>10</v>
      </c>
      <c r="P997" s="19"/>
      <c r="Q997" s="19"/>
      <c r="R997" s="19"/>
      <c r="S997" s="19"/>
      <c r="T997" s="19"/>
      <c r="U997" s="19"/>
      <c r="V997" s="19" t="n">
        <v>7</v>
      </c>
      <c r="W997" s="19"/>
      <c r="X997" s="19" t="n">
        <v>9</v>
      </c>
      <c r="Y997" s="19"/>
      <c r="Z997" s="19"/>
      <c r="AA997" s="19"/>
      <c r="AB997" s="19"/>
      <c r="AC997" s="19" t="n">
        <v>10</v>
      </c>
      <c r="AD997" s="19"/>
      <c r="AE997" s="19"/>
      <c r="AF997" s="19"/>
      <c r="AG997" s="19"/>
      <c r="AH997" s="19" t="n">
        <v>19</v>
      </c>
      <c r="AI997" s="19"/>
      <c r="AJ997" s="19"/>
      <c r="AK997" s="19"/>
      <c r="AL997" s="19"/>
      <c r="AM997" s="19" t="n">
        <v>7</v>
      </c>
      <c r="AN997" s="19" t="n">
        <v>10</v>
      </c>
      <c r="AO997" s="19" t="n">
        <v>8</v>
      </c>
      <c r="AP997" s="19" t="n">
        <v>4</v>
      </c>
      <c r="AQ997" s="19"/>
      <c r="AR997" s="19"/>
      <c r="AS997" s="20" t="str">
        <f aca="false">HYPERLINK("http://www.openstreetmap.org/?mlat=33.2107&amp;mlon=44.55&amp;zoom=12#map=12/33.2107/44.55","Maplink1")</f>
        <v>Maplink1</v>
      </c>
      <c r="AT997" s="20" t="str">
        <f aca="false">HYPERLINK("https://www.google.iq/maps/search/+33.2107,44.55/@33.2107,44.55,14z?hl=en","Maplink2")</f>
        <v>Maplink2</v>
      </c>
      <c r="AU997" s="20" t="str">
        <f aca="false">HYPERLINK("http://www.bing.com/maps/?lvl=14&amp;sty=h&amp;cp=33.2107~44.55&amp;sp=point.33.2107_44.55","Maplink3")</f>
        <v>Maplink3</v>
      </c>
    </row>
    <row r="998" customFormat="false" ht="15" hidden="false" customHeight="true" outlineLevel="0" collapsed="false">
      <c r="A998" s="15" t="n">
        <v>25130</v>
      </c>
      <c r="B998" s="16" t="s">
        <v>17</v>
      </c>
      <c r="C998" s="16" t="s">
        <v>1970</v>
      </c>
      <c r="D998" s="16" t="s">
        <v>1995</v>
      </c>
      <c r="E998" s="17" t="s">
        <v>1996</v>
      </c>
      <c r="F998" s="16" t="n">
        <v>33.2553512</v>
      </c>
      <c r="G998" s="16" t="n">
        <v>44.60309969</v>
      </c>
      <c r="H998" s="18" t="n">
        <v>65</v>
      </c>
      <c r="I998" s="18" t="n">
        <v>390</v>
      </c>
      <c r="J998" s="19" t="n">
        <v>2</v>
      </c>
      <c r="K998" s="19"/>
      <c r="L998" s="19"/>
      <c r="M998" s="19"/>
      <c r="N998" s="19"/>
      <c r="O998" s="19" t="n">
        <v>7</v>
      </c>
      <c r="P998" s="19"/>
      <c r="Q998" s="19"/>
      <c r="R998" s="19" t="n">
        <v>1</v>
      </c>
      <c r="S998" s="19"/>
      <c r="T998" s="19"/>
      <c r="U998" s="19"/>
      <c r="V998" s="19" t="n">
        <v>53</v>
      </c>
      <c r="W998" s="19"/>
      <c r="X998" s="19" t="n">
        <v>2</v>
      </c>
      <c r="Y998" s="19"/>
      <c r="Z998" s="19"/>
      <c r="AA998" s="19"/>
      <c r="AB998" s="19"/>
      <c r="AC998" s="19" t="n">
        <v>10</v>
      </c>
      <c r="AD998" s="19"/>
      <c r="AE998" s="19"/>
      <c r="AF998" s="19"/>
      <c r="AG998" s="19"/>
      <c r="AH998" s="19"/>
      <c r="AI998" s="19"/>
      <c r="AJ998" s="19" t="n">
        <v>55</v>
      </c>
      <c r="AK998" s="19"/>
      <c r="AL998" s="19" t="n">
        <v>5</v>
      </c>
      <c r="AM998" s="19" t="n">
        <v>40</v>
      </c>
      <c r="AN998" s="19"/>
      <c r="AO998" s="19" t="n">
        <v>18</v>
      </c>
      <c r="AP998" s="19" t="n">
        <v>2</v>
      </c>
      <c r="AQ998" s="19"/>
      <c r="AR998" s="19"/>
      <c r="AS998" s="20" t="str">
        <f aca="false">HYPERLINK("http://www.openstreetmap.org/?mlat=33.2554&amp;mlon=44.6031&amp;zoom=12#map=12/33.2554/44.6031","Maplink1")</f>
        <v>Maplink1</v>
      </c>
      <c r="AT998" s="20" t="str">
        <f aca="false">HYPERLINK("https://www.google.iq/maps/search/+33.2554,44.6031/@33.2554,44.6031,14z?hl=en","Maplink2")</f>
        <v>Maplink2</v>
      </c>
      <c r="AU998" s="20" t="str">
        <f aca="false">HYPERLINK("http://www.bing.com/maps/?lvl=14&amp;sty=h&amp;cp=33.2554~44.6031&amp;sp=point.33.2554_44.6031","Maplink3")</f>
        <v>Maplink3</v>
      </c>
    </row>
    <row r="999" customFormat="false" ht="15" hidden="false" customHeight="true" outlineLevel="0" collapsed="false">
      <c r="A999" s="15" t="n">
        <v>25139</v>
      </c>
      <c r="B999" s="16" t="s">
        <v>17</v>
      </c>
      <c r="C999" s="16" t="s">
        <v>1970</v>
      </c>
      <c r="D999" s="16" t="s">
        <v>1997</v>
      </c>
      <c r="E999" s="17" t="s">
        <v>1998</v>
      </c>
      <c r="F999" s="16" t="n">
        <v>33.14619</v>
      </c>
      <c r="G999" s="16" t="n">
        <v>44.6594</v>
      </c>
      <c r="H999" s="18" t="n">
        <v>12</v>
      </c>
      <c r="I999" s="18" t="n">
        <v>72</v>
      </c>
      <c r="J999" s="19"/>
      <c r="K999" s="19"/>
      <c r="L999" s="19"/>
      <c r="M999" s="19"/>
      <c r="N999" s="19"/>
      <c r="O999" s="19" t="n">
        <v>4</v>
      </c>
      <c r="P999" s="19"/>
      <c r="Q999" s="19"/>
      <c r="R999" s="19"/>
      <c r="S999" s="19"/>
      <c r="T999" s="19"/>
      <c r="U999" s="19"/>
      <c r="V999" s="19" t="n">
        <v>3</v>
      </c>
      <c r="W999" s="19"/>
      <c r="X999" s="19" t="n">
        <v>5</v>
      </c>
      <c r="Y999" s="19"/>
      <c r="Z999" s="19"/>
      <c r="AA999" s="19"/>
      <c r="AB999" s="19"/>
      <c r="AC999" s="19"/>
      <c r="AD999" s="19"/>
      <c r="AE999" s="19"/>
      <c r="AF999" s="19"/>
      <c r="AG999" s="19"/>
      <c r="AH999" s="19" t="n">
        <v>12</v>
      </c>
      <c r="AI999" s="19"/>
      <c r="AJ999" s="19"/>
      <c r="AK999" s="19"/>
      <c r="AL999" s="19"/>
      <c r="AM999" s="19" t="n">
        <v>10</v>
      </c>
      <c r="AN999" s="19"/>
      <c r="AO999" s="19" t="n">
        <v>2</v>
      </c>
      <c r="AP999" s="19"/>
      <c r="AQ999" s="19"/>
      <c r="AR999" s="19"/>
      <c r="AS999" s="20" t="str">
        <f aca="false">HYPERLINK("http://www.openstreetmap.org/?mlat=33.1462&amp;mlon=44.6594&amp;zoom=12#map=12/33.1462/44.6594","Maplink1")</f>
        <v>Maplink1</v>
      </c>
      <c r="AT999" s="20" t="str">
        <f aca="false">HYPERLINK("https://www.google.iq/maps/search/+33.1462,44.6594/@33.1462,44.6594,14z?hl=en","Maplink2")</f>
        <v>Maplink2</v>
      </c>
      <c r="AU999" s="20" t="str">
        <f aca="false">HYPERLINK("http://www.bing.com/maps/?lvl=14&amp;sty=h&amp;cp=33.1462~44.6594&amp;sp=point.33.1462_44.6594","Maplink3")</f>
        <v>Maplink3</v>
      </c>
    </row>
    <row r="1000" customFormat="false" ht="15" hidden="false" customHeight="true" outlineLevel="0" collapsed="false">
      <c r="A1000" s="15" t="n">
        <v>25138</v>
      </c>
      <c r="B1000" s="16" t="s">
        <v>17</v>
      </c>
      <c r="C1000" s="16" t="s">
        <v>1970</v>
      </c>
      <c r="D1000" s="16" t="s">
        <v>1999</v>
      </c>
      <c r="E1000" s="17" t="s">
        <v>2000</v>
      </c>
      <c r="F1000" s="16" t="n">
        <v>33.25014185</v>
      </c>
      <c r="G1000" s="16" t="n">
        <v>44.60206663</v>
      </c>
      <c r="H1000" s="18" t="n">
        <v>15</v>
      </c>
      <c r="I1000" s="18" t="n">
        <v>90</v>
      </c>
      <c r="J1000" s="19" t="n">
        <v>5</v>
      </c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 t="n">
        <v>10</v>
      </c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 t="n">
        <v>8</v>
      </c>
      <c r="AI1000" s="19"/>
      <c r="AJ1000" s="19" t="n">
        <v>7</v>
      </c>
      <c r="AK1000" s="19"/>
      <c r="AL1000" s="19" t="n">
        <v>5</v>
      </c>
      <c r="AM1000" s="19" t="n">
        <v>4</v>
      </c>
      <c r="AN1000" s="19"/>
      <c r="AO1000" s="19" t="n">
        <v>6</v>
      </c>
      <c r="AP1000" s="19"/>
      <c r="AQ1000" s="19"/>
      <c r="AR1000" s="19"/>
      <c r="AS1000" s="20" t="str">
        <f aca="false">HYPERLINK("http://www.openstreetmap.org/?mlat=33.2501&amp;mlon=44.6021&amp;zoom=12#map=12/33.2501/44.6021","Maplink1")</f>
        <v>Maplink1</v>
      </c>
      <c r="AT1000" s="20" t="str">
        <f aca="false">HYPERLINK("https://www.google.iq/maps/search/+33.2501,44.6021/@33.2501,44.6021,14z?hl=en","Maplink2")</f>
        <v>Maplink2</v>
      </c>
      <c r="AU1000" s="20" t="str">
        <f aca="false">HYPERLINK("http://www.bing.com/maps/?lvl=14&amp;sty=h&amp;cp=33.2501~44.6021&amp;sp=point.33.2501_44.6021","Maplink3")</f>
        <v>Maplink3</v>
      </c>
    </row>
    <row r="1001" customFormat="false" ht="15" hidden="false" customHeight="true" outlineLevel="0" collapsed="false">
      <c r="A1001" s="15" t="n">
        <v>24760</v>
      </c>
      <c r="B1001" s="16" t="s">
        <v>17</v>
      </c>
      <c r="C1001" s="16" t="s">
        <v>1970</v>
      </c>
      <c r="D1001" s="16" t="s">
        <v>2001</v>
      </c>
      <c r="E1001" s="17" t="s">
        <v>2002</v>
      </c>
      <c r="F1001" s="16" t="n">
        <v>33.36313552</v>
      </c>
      <c r="G1001" s="16" t="n">
        <v>44.66226286</v>
      </c>
      <c r="H1001" s="18" t="n">
        <v>634</v>
      </c>
      <c r="I1001" s="18" t="n">
        <v>3804</v>
      </c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 t="n">
        <v>634</v>
      </c>
      <c r="W1001" s="19"/>
      <c r="X1001" s="19"/>
      <c r="Y1001" s="19"/>
      <c r="Z1001" s="19"/>
      <c r="AA1001" s="19"/>
      <c r="AB1001" s="19" t="n">
        <v>634</v>
      </c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 t="n">
        <v>634</v>
      </c>
      <c r="AN1001" s="19"/>
      <c r="AO1001" s="19"/>
      <c r="AP1001" s="19"/>
      <c r="AQ1001" s="19"/>
      <c r="AR1001" s="19"/>
      <c r="AS1001" s="20" t="str">
        <f aca="false">HYPERLINK("http://www.openstreetmap.org/?mlat=33.3631&amp;mlon=44.6623&amp;zoom=12#map=12/33.3631/44.6623","Maplink1")</f>
        <v>Maplink1</v>
      </c>
      <c r="AT1001" s="20" t="str">
        <f aca="false">HYPERLINK("https://www.google.iq/maps/search/+33.3631,44.6623/@33.3631,44.6623,14z?hl=en","Maplink2")</f>
        <v>Maplink2</v>
      </c>
      <c r="AU1001" s="20" t="str">
        <f aca="false">HYPERLINK("http://www.bing.com/maps/?lvl=14&amp;sty=h&amp;cp=33.3631~44.6623&amp;sp=point.33.3631_44.6623","Maplink3")</f>
        <v>Maplink3</v>
      </c>
    </row>
    <row r="1002" customFormat="false" ht="15" hidden="false" customHeight="true" outlineLevel="0" collapsed="false">
      <c r="A1002" s="15" t="n">
        <v>25837</v>
      </c>
      <c r="B1002" s="16" t="s">
        <v>17</v>
      </c>
      <c r="C1002" s="16" t="s">
        <v>1970</v>
      </c>
      <c r="D1002" s="16" t="s">
        <v>2003</v>
      </c>
      <c r="E1002" s="17" t="s">
        <v>2004</v>
      </c>
      <c r="F1002" s="16" t="n">
        <v>33.21531819</v>
      </c>
      <c r="G1002" s="16" t="n">
        <v>44.54424877</v>
      </c>
      <c r="H1002" s="18" t="n">
        <v>7</v>
      </c>
      <c r="I1002" s="18" t="n">
        <v>42</v>
      </c>
      <c r="J1002" s="19"/>
      <c r="K1002" s="19"/>
      <c r="L1002" s="19"/>
      <c r="M1002" s="19"/>
      <c r="N1002" s="19"/>
      <c r="O1002" s="19" t="n">
        <v>7</v>
      </c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 t="n">
        <v>5</v>
      </c>
      <c r="AD1002" s="19"/>
      <c r="AE1002" s="19"/>
      <c r="AF1002" s="19"/>
      <c r="AG1002" s="19"/>
      <c r="AH1002" s="19" t="n">
        <v>2</v>
      </c>
      <c r="AI1002" s="19"/>
      <c r="AJ1002" s="19"/>
      <c r="AK1002" s="19"/>
      <c r="AL1002" s="19"/>
      <c r="AM1002" s="19"/>
      <c r="AN1002" s="19" t="n">
        <v>7</v>
      </c>
      <c r="AO1002" s="19"/>
      <c r="AP1002" s="19"/>
      <c r="AQ1002" s="19"/>
      <c r="AR1002" s="19"/>
      <c r="AS1002" s="20" t="str">
        <f aca="false">HYPERLINK("http://www.openstreetmap.org/?mlat=33.2153&amp;mlon=44.5442&amp;zoom=12#map=12/33.2153/44.5442","Maplink1")</f>
        <v>Maplink1</v>
      </c>
      <c r="AT1002" s="20" t="str">
        <f aca="false">HYPERLINK("https://www.google.iq/maps/search/+33.2153,44.5442/@33.2153,44.5442,14z?hl=en","Maplink2")</f>
        <v>Maplink2</v>
      </c>
      <c r="AU1002" s="20" t="str">
        <f aca="false">HYPERLINK("http://www.bing.com/maps/?lvl=14&amp;sty=h&amp;cp=33.2153~44.5442&amp;sp=point.33.2153_44.5442","Maplink3")</f>
        <v>Maplink3</v>
      </c>
    </row>
    <row r="1003" customFormat="false" ht="15" hidden="false" customHeight="true" outlineLevel="0" collapsed="false">
      <c r="A1003" s="15" t="n">
        <v>25008</v>
      </c>
      <c r="B1003" s="16" t="s">
        <v>17</v>
      </c>
      <c r="C1003" s="16" t="s">
        <v>1970</v>
      </c>
      <c r="D1003" s="16" t="s">
        <v>2005</v>
      </c>
      <c r="E1003" s="17" t="s">
        <v>2006</v>
      </c>
      <c r="F1003" s="16" t="n">
        <v>33.37152044</v>
      </c>
      <c r="G1003" s="16" t="n">
        <v>44.679083</v>
      </c>
      <c r="H1003" s="18" t="n">
        <v>10</v>
      </c>
      <c r="I1003" s="18" t="n">
        <v>60</v>
      </c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 t="n">
        <v>10</v>
      </c>
      <c r="W1003" s="19"/>
      <c r="X1003" s="19"/>
      <c r="Y1003" s="19"/>
      <c r="Z1003" s="19"/>
      <c r="AA1003" s="19"/>
      <c r="AB1003" s="19"/>
      <c r="AC1003" s="19" t="n">
        <v>10</v>
      </c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 t="n">
        <v>10</v>
      </c>
      <c r="AN1003" s="19"/>
      <c r="AO1003" s="19"/>
      <c r="AP1003" s="19"/>
      <c r="AQ1003" s="19"/>
      <c r="AR1003" s="19"/>
      <c r="AS1003" s="20" t="str">
        <f aca="false">HYPERLINK("http://www.openstreetmap.org/?mlat=33.3715&amp;mlon=44.6791&amp;zoom=12#map=12/33.3715/44.6791","Maplink1")</f>
        <v>Maplink1</v>
      </c>
      <c r="AT1003" s="20" t="str">
        <f aca="false">HYPERLINK("https://www.google.iq/maps/search/+33.3715,44.6791/@33.3715,44.6791,14z?hl=en","Maplink2")</f>
        <v>Maplink2</v>
      </c>
      <c r="AU1003" s="20" t="str">
        <f aca="false">HYPERLINK("http://www.bing.com/maps/?lvl=14&amp;sty=h&amp;cp=33.3715~44.6791&amp;sp=point.33.3715_44.6791","Maplink3")</f>
        <v>Maplink3</v>
      </c>
    </row>
    <row r="1004" customFormat="false" ht="15" hidden="false" customHeight="true" outlineLevel="0" collapsed="false">
      <c r="A1004" s="15" t="n">
        <v>25838</v>
      </c>
      <c r="B1004" s="16" t="s">
        <v>17</v>
      </c>
      <c r="C1004" s="16" t="s">
        <v>1970</v>
      </c>
      <c r="D1004" s="16" t="s">
        <v>2007</v>
      </c>
      <c r="E1004" s="17" t="s">
        <v>2008</v>
      </c>
      <c r="F1004" s="16" t="n">
        <v>33.2698883</v>
      </c>
      <c r="G1004" s="16" t="n">
        <v>44.60634402</v>
      </c>
      <c r="H1004" s="18" t="n">
        <v>17</v>
      </c>
      <c r="I1004" s="18" t="n">
        <v>102</v>
      </c>
      <c r="J1004" s="19"/>
      <c r="K1004" s="19"/>
      <c r="L1004" s="19"/>
      <c r="M1004" s="19"/>
      <c r="N1004" s="19"/>
      <c r="O1004" s="19" t="n">
        <v>3</v>
      </c>
      <c r="P1004" s="19"/>
      <c r="Q1004" s="19"/>
      <c r="R1004" s="19"/>
      <c r="S1004" s="19"/>
      <c r="T1004" s="19"/>
      <c r="U1004" s="19"/>
      <c r="V1004" s="19" t="n">
        <v>10</v>
      </c>
      <c r="W1004" s="19"/>
      <c r="X1004" s="19" t="n">
        <v>4</v>
      </c>
      <c r="Y1004" s="19"/>
      <c r="Z1004" s="19"/>
      <c r="AA1004" s="19"/>
      <c r="AB1004" s="19"/>
      <c r="AC1004" s="19" t="n">
        <v>17</v>
      </c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 t="n">
        <v>12</v>
      </c>
      <c r="AN1004" s="19" t="n">
        <v>5</v>
      </c>
      <c r="AO1004" s="19"/>
      <c r="AP1004" s="19"/>
      <c r="AQ1004" s="19"/>
      <c r="AR1004" s="19"/>
      <c r="AS1004" s="20" t="str">
        <f aca="false">HYPERLINK("http://www.openstreetmap.org/?mlat=33.2699&amp;mlon=44.6063&amp;zoom=12#map=12/33.2699/44.6063","Maplink1")</f>
        <v>Maplink1</v>
      </c>
      <c r="AT1004" s="20" t="str">
        <f aca="false">HYPERLINK("https://www.google.iq/maps/search/+33.2699,44.6063/@33.2699,44.6063,14z?hl=en","Maplink2")</f>
        <v>Maplink2</v>
      </c>
      <c r="AU1004" s="20" t="str">
        <f aca="false">HYPERLINK("http://www.bing.com/maps/?lvl=14&amp;sty=h&amp;cp=33.2699~44.6063&amp;sp=point.33.2699_44.6063","Maplink3")</f>
        <v>Maplink3</v>
      </c>
    </row>
    <row r="1005" customFormat="false" ht="15" hidden="false" customHeight="true" outlineLevel="0" collapsed="false">
      <c r="A1005" s="15" t="n">
        <v>27417</v>
      </c>
      <c r="B1005" s="16" t="s">
        <v>17</v>
      </c>
      <c r="C1005" s="16" t="s">
        <v>1970</v>
      </c>
      <c r="D1005" s="16" t="s">
        <v>2009</v>
      </c>
      <c r="E1005" s="17" t="s">
        <v>2010</v>
      </c>
      <c r="F1005" s="16" t="n">
        <v>33.18551071</v>
      </c>
      <c r="G1005" s="16" t="n">
        <v>44.53073278</v>
      </c>
      <c r="H1005" s="18" t="n">
        <v>67</v>
      </c>
      <c r="I1005" s="18" t="n">
        <v>402</v>
      </c>
      <c r="J1005" s="19" t="n">
        <v>16</v>
      </c>
      <c r="K1005" s="19"/>
      <c r="L1005" s="19" t="n">
        <v>6</v>
      </c>
      <c r="M1005" s="19"/>
      <c r="N1005" s="19"/>
      <c r="O1005" s="19" t="n">
        <v>3</v>
      </c>
      <c r="P1005" s="19"/>
      <c r="Q1005" s="19"/>
      <c r="R1005" s="19"/>
      <c r="S1005" s="19"/>
      <c r="T1005" s="19"/>
      <c r="U1005" s="19"/>
      <c r="V1005" s="19" t="n">
        <v>36</v>
      </c>
      <c r="W1005" s="19"/>
      <c r="X1005" s="19" t="n">
        <v>6</v>
      </c>
      <c r="Y1005" s="19"/>
      <c r="Z1005" s="19"/>
      <c r="AA1005" s="19"/>
      <c r="AB1005" s="19"/>
      <c r="AC1005" s="19" t="n">
        <v>31</v>
      </c>
      <c r="AD1005" s="19"/>
      <c r="AE1005" s="19"/>
      <c r="AF1005" s="19"/>
      <c r="AG1005" s="19"/>
      <c r="AH1005" s="19" t="n">
        <v>36</v>
      </c>
      <c r="AI1005" s="19"/>
      <c r="AJ1005" s="19"/>
      <c r="AK1005" s="19"/>
      <c r="AL1005" s="19"/>
      <c r="AM1005" s="19" t="n">
        <v>28</v>
      </c>
      <c r="AN1005" s="19"/>
      <c r="AO1005" s="19" t="n">
        <v>30</v>
      </c>
      <c r="AP1005" s="19" t="n">
        <v>6</v>
      </c>
      <c r="AQ1005" s="19"/>
      <c r="AR1005" s="19" t="n">
        <v>3</v>
      </c>
      <c r="AS1005" s="20" t="str">
        <f aca="false">HYPERLINK("http://www.openstreetmap.org/?mlat=33.1855&amp;mlon=44.5307&amp;zoom=12#map=12/33.1855/44.5307","Maplink1")</f>
        <v>Maplink1</v>
      </c>
      <c r="AT1005" s="20" t="str">
        <f aca="false">HYPERLINK("https://www.google.iq/maps/search/+33.1855,44.5307/@33.1855,44.5307,14z?hl=en","Maplink2")</f>
        <v>Maplink2</v>
      </c>
      <c r="AU1005" s="20" t="str">
        <f aca="false">HYPERLINK("http://www.bing.com/maps/?lvl=14&amp;sty=h&amp;cp=33.1855~44.5307&amp;sp=point.33.1855_44.5307","Maplink3")</f>
        <v>Maplink3</v>
      </c>
    </row>
    <row r="1006" customFormat="false" ht="15" hidden="false" customHeight="true" outlineLevel="0" collapsed="false">
      <c r="A1006" s="15" t="n">
        <v>27393</v>
      </c>
      <c r="B1006" s="16" t="s">
        <v>17</v>
      </c>
      <c r="C1006" s="16" t="s">
        <v>1970</v>
      </c>
      <c r="D1006" s="16" t="s">
        <v>2011</v>
      </c>
      <c r="E1006" s="17" t="s">
        <v>93</v>
      </c>
      <c r="F1006" s="16" t="n">
        <v>33.21231872</v>
      </c>
      <c r="G1006" s="16" t="n">
        <v>44.55417797</v>
      </c>
      <c r="H1006" s="18" t="n">
        <v>12</v>
      </c>
      <c r="I1006" s="18" t="n">
        <v>72</v>
      </c>
      <c r="J1006" s="19" t="n">
        <v>4</v>
      </c>
      <c r="K1006" s="19"/>
      <c r="L1006" s="19"/>
      <c r="M1006" s="19"/>
      <c r="N1006" s="19"/>
      <c r="O1006" s="19" t="n">
        <v>3</v>
      </c>
      <c r="P1006" s="19"/>
      <c r="Q1006" s="19"/>
      <c r="R1006" s="19"/>
      <c r="S1006" s="19"/>
      <c r="T1006" s="19"/>
      <c r="U1006" s="19"/>
      <c r="V1006" s="19" t="n">
        <v>5</v>
      </c>
      <c r="W1006" s="19"/>
      <c r="X1006" s="19"/>
      <c r="Y1006" s="19"/>
      <c r="Z1006" s="19"/>
      <c r="AA1006" s="19"/>
      <c r="AB1006" s="19"/>
      <c r="AC1006" s="19" t="n">
        <v>5</v>
      </c>
      <c r="AD1006" s="19"/>
      <c r="AE1006" s="19"/>
      <c r="AF1006" s="19"/>
      <c r="AG1006" s="19"/>
      <c r="AH1006" s="19" t="n">
        <v>7</v>
      </c>
      <c r="AI1006" s="19"/>
      <c r="AJ1006" s="19"/>
      <c r="AK1006" s="19"/>
      <c r="AL1006" s="19"/>
      <c r="AM1006" s="19" t="n">
        <v>10</v>
      </c>
      <c r="AN1006" s="19"/>
      <c r="AO1006" s="19" t="n">
        <v>2</v>
      </c>
      <c r="AP1006" s="19"/>
      <c r="AQ1006" s="19"/>
      <c r="AR1006" s="19"/>
      <c r="AS1006" s="20" t="str">
        <f aca="false">HYPERLINK("http://www.openstreetmap.org/?mlat=33.2123&amp;mlon=44.5542&amp;zoom=12#map=12/33.2123/44.5542","Maplink1")</f>
        <v>Maplink1</v>
      </c>
      <c r="AT1006" s="20" t="str">
        <f aca="false">HYPERLINK("https://www.google.iq/maps/search/+33.2123,44.5542/@33.2123,44.5542,14z?hl=en","Maplink2")</f>
        <v>Maplink2</v>
      </c>
      <c r="AU1006" s="20" t="str">
        <f aca="false">HYPERLINK("http://www.bing.com/maps/?lvl=14&amp;sty=h&amp;cp=33.2123~44.5542&amp;sp=point.33.2123_44.5542","Maplink3")</f>
        <v>Maplink3</v>
      </c>
    </row>
    <row r="1007" customFormat="false" ht="15" hidden="false" customHeight="true" outlineLevel="0" collapsed="false">
      <c r="A1007" s="15" t="n">
        <v>25133</v>
      </c>
      <c r="B1007" s="16" t="s">
        <v>17</v>
      </c>
      <c r="C1007" s="16" t="s">
        <v>1970</v>
      </c>
      <c r="D1007" s="16" t="s">
        <v>2012</v>
      </c>
      <c r="E1007" s="17" t="s">
        <v>2013</v>
      </c>
      <c r="F1007" s="16" t="n">
        <v>33.10002751</v>
      </c>
      <c r="G1007" s="16" t="n">
        <v>44.69790865</v>
      </c>
      <c r="H1007" s="18" t="n">
        <v>4</v>
      </c>
      <c r="I1007" s="18" t="n">
        <v>24</v>
      </c>
      <c r="J1007" s="19"/>
      <c r="K1007" s="19"/>
      <c r="L1007" s="19"/>
      <c r="M1007" s="19"/>
      <c r="N1007" s="19"/>
      <c r="O1007" s="19" t="n">
        <v>2</v>
      </c>
      <c r="P1007" s="19"/>
      <c r="Q1007" s="19"/>
      <c r="R1007" s="19"/>
      <c r="S1007" s="19"/>
      <c r="T1007" s="19"/>
      <c r="U1007" s="19"/>
      <c r="V1007" s="19" t="n">
        <v>2</v>
      </c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 t="n">
        <v>4</v>
      </c>
      <c r="AI1007" s="19"/>
      <c r="AJ1007" s="19"/>
      <c r="AK1007" s="19"/>
      <c r="AL1007" s="19"/>
      <c r="AM1007" s="19" t="n">
        <v>2</v>
      </c>
      <c r="AN1007" s="19"/>
      <c r="AO1007" s="19" t="n">
        <v>2</v>
      </c>
      <c r="AP1007" s="19"/>
      <c r="AQ1007" s="19"/>
      <c r="AR1007" s="19"/>
      <c r="AS1007" s="20" t="str">
        <f aca="false">HYPERLINK("http://www.openstreetmap.org/?mlat=33.1&amp;mlon=44.6979&amp;zoom=12#map=12/33.1/44.6979","Maplink1")</f>
        <v>Maplink1</v>
      </c>
      <c r="AT1007" s="20" t="str">
        <f aca="false">HYPERLINK("https://www.google.iq/maps/search/+33.1,44.6979/@33.1,44.6979,14z?hl=en","Maplink2")</f>
        <v>Maplink2</v>
      </c>
      <c r="AU1007" s="20" t="str">
        <f aca="false">HYPERLINK("http://www.bing.com/maps/?lvl=14&amp;sty=h&amp;cp=33.1~44.6979&amp;sp=point.33.1_44.6979","Maplink3")</f>
        <v>Maplink3</v>
      </c>
    </row>
    <row r="1008" customFormat="false" ht="15" hidden="false" customHeight="true" outlineLevel="0" collapsed="false">
      <c r="A1008" s="15" t="n">
        <v>27418</v>
      </c>
      <c r="B1008" s="16" t="s">
        <v>17</v>
      </c>
      <c r="C1008" s="16" t="s">
        <v>1970</v>
      </c>
      <c r="D1008" s="16" t="s">
        <v>2014</v>
      </c>
      <c r="E1008" s="17" t="s">
        <v>2015</v>
      </c>
      <c r="F1008" s="16" t="n">
        <v>33.18685802</v>
      </c>
      <c r="G1008" s="16" t="n">
        <v>44.53977551</v>
      </c>
      <c r="H1008" s="18" t="n">
        <v>67</v>
      </c>
      <c r="I1008" s="18" t="n">
        <v>402</v>
      </c>
      <c r="J1008" s="19" t="n">
        <v>33</v>
      </c>
      <c r="K1008" s="19"/>
      <c r="L1008" s="19" t="n">
        <v>9</v>
      </c>
      <c r="M1008" s="19"/>
      <c r="N1008" s="19"/>
      <c r="O1008" s="19" t="n">
        <v>5</v>
      </c>
      <c r="P1008" s="19"/>
      <c r="Q1008" s="19"/>
      <c r="R1008" s="19"/>
      <c r="S1008" s="19"/>
      <c r="T1008" s="19"/>
      <c r="U1008" s="19"/>
      <c r="V1008" s="19" t="n">
        <v>10</v>
      </c>
      <c r="W1008" s="19"/>
      <c r="X1008" s="19" t="n">
        <v>10</v>
      </c>
      <c r="Y1008" s="19"/>
      <c r="Z1008" s="19"/>
      <c r="AA1008" s="19"/>
      <c r="AB1008" s="19"/>
      <c r="AC1008" s="19" t="n">
        <v>21</v>
      </c>
      <c r="AD1008" s="19"/>
      <c r="AE1008" s="19"/>
      <c r="AF1008" s="19"/>
      <c r="AG1008" s="19"/>
      <c r="AH1008" s="19" t="n">
        <v>46</v>
      </c>
      <c r="AI1008" s="19"/>
      <c r="AJ1008" s="19"/>
      <c r="AK1008" s="19"/>
      <c r="AL1008" s="19"/>
      <c r="AM1008" s="19" t="n">
        <v>14</v>
      </c>
      <c r="AN1008" s="19"/>
      <c r="AO1008" s="19" t="n">
        <v>28</v>
      </c>
      <c r="AP1008" s="19" t="n">
        <v>25</v>
      </c>
      <c r="AQ1008" s="19"/>
      <c r="AR1008" s="19"/>
      <c r="AS1008" s="20" t="str">
        <f aca="false">HYPERLINK("http://www.openstreetmap.org/?mlat=33.1869&amp;mlon=44.5398&amp;zoom=12#map=12/33.1869/44.5398","Maplink1")</f>
        <v>Maplink1</v>
      </c>
      <c r="AT1008" s="20" t="str">
        <f aca="false">HYPERLINK("https://www.google.iq/maps/search/+33.1869,44.5398/@33.1869,44.5398,14z?hl=en","Maplink2")</f>
        <v>Maplink2</v>
      </c>
      <c r="AU1008" s="20" t="str">
        <f aca="false">HYPERLINK("http://www.bing.com/maps/?lvl=14&amp;sty=h&amp;cp=33.1869~44.5398&amp;sp=point.33.1869_44.5398","Maplink3")</f>
        <v>Maplink3</v>
      </c>
    </row>
    <row r="1009" customFormat="false" ht="15" hidden="false" customHeight="true" outlineLevel="0" collapsed="false">
      <c r="A1009" s="15" t="n">
        <v>24998</v>
      </c>
      <c r="B1009" s="16" t="s">
        <v>17</v>
      </c>
      <c r="C1009" s="16" t="s">
        <v>1970</v>
      </c>
      <c r="D1009" s="16" t="s">
        <v>2016</v>
      </c>
      <c r="E1009" s="17" t="s">
        <v>2017</v>
      </c>
      <c r="F1009" s="16" t="n">
        <v>33.372515</v>
      </c>
      <c r="G1009" s="16" t="n">
        <v>44.69445247</v>
      </c>
      <c r="H1009" s="18" t="n">
        <v>10</v>
      </c>
      <c r="I1009" s="18" t="n">
        <v>60</v>
      </c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 t="n">
        <v>10</v>
      </c>
      <c r="W1009" s="19"/>
      <c r="X1009" s="19"/>
      <c r="Y1009" s="19"/>
      <c r="Z1009" s="19"/>
      <c r="AA1009" s="19"/>
      <c r="AB1009" s="19"/>
      <c r="AC1009" s="19" t="n">
        <v>10</v>
      </c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 t="n">
        <v>10</v>
      </c>
      <c r="AN1009" s="19"/>
      <c r="AO1009" s="19"/>
      <c r="AP1009" s="19"/>
      <c r="AQ1009" s="19"/>
      <c r="AR1009" s="19"/>
      <c r="AS1009" s="20" t="str">
        <f aca="false">HYPERLINK("http://www.openstreetmap.org/?mlat=33.3725&amp;mlon=44.6945&amp;zoom=12#map=12/33.3725/44.6945","Maplink1")</f>
        <v>Maplink1</v>
      </c>
      <c r="AT1009" s="20" t="str">
        <f aca="false">HYPERLINK("https://www.google.iq/maps/search/+33.3725,44.6945/@33.3725,44.6945,14z?hl=en","Maplink2")</f>
        <v>Maplink2</v>
      </c>
      <c r="AU1009" s="20" t="str">
        <f aca="false">HYPERLINK("http://www.bing.com/maps/?lvl=14&amp;sty=h&amp;cp=33.3725~44.6945&amp;sp=point.33.3725_44.6945","Maplink3")</f>
        <v>Maplink3</v>
      </c>
    </row>
    <row r="1010" customFormat="false" ht="15" hidden="false" customHeight="true" outlineLevel="0" collapsed="false">
      <c r="A1010" s="15" t="n">
        <v>24996</v>
      </c>
      <c r="B1010" s="16" t="s">
        <v>17</v>
      </c>
      <c r="C1010" s="16" t="s">
        <v>1970</v>
      </c>
      <c r="D1010" s="16" t="s">
        <v>2018</v>
      </c>
      <c r="E1010" s="17" t="s">
        <v>459</v>
      </c>
      <c r="F1010" s="16" t="n">
        <v>33.37254538</v>
      </c>
      <c r="G1010" s="16" t="n">
        <v>44.68974243</v>
      </c>
      <c r="H1010" s="18" t="n">
        <v>8</v>
      </c>
      <c r="I1010" s="18" t="n">
        <v>48</v>
      </c>
      <c r="J1010" s="19"/>
      <c r="K1010" s="19"/>
      <c r="L1010" s="19"/>
      <c r="M1010" s="19"/>
      <c r="N1010" s="19"/>
      <c r="O1010" s="19" t="n">
        <v>8</v>
      </c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 t="n">
        <v>8</v>
      </c>
      <c r="AI1010" s="19"/>
      <c r="AJ1010" s="19"/>
      <c r="AK1010" s="19"/>
      <c r="AL1010" s="19"/>
      <c r="AM1010" s="19"/>
      <c r="AN1010" s="19" t="n">
        <v>8</v>
      </c>
      <c r="AO1010" s="19"/>
      <c r="AP1010" s="19"/>
      <c r="AQ1010" s="19"/>
      <c r="AR1010" s="19"/>
      <c r="AS1010" s="20" t="str">
        <f aca="false">HYPERLINK("http://www.openstreetmap.org/?mlat=33.3725&amp;mlon=44.6897&amp;zoom=12#map=12/33.3725/44.6897","Maplink1")</f>
        <v>Maplink1</v>
      </c>
      <c r="AT1010" s="20" t="str">
        <f aca="false">HYPERLINK("https://www.google.iq/maps/search/+33.3725,44.6897/@33.3725,44.6897,14z?hl=en","Maplink2")</f>
        <v>Maplink2</v>
      </c>
      <c r="AU1010" s="20" t="str">
        <f aca="false">HYPERLINK("http://www.bing.com/maps/?lvl=14&amp;sty=h&amp;cp=33.3725~44.6897&amp;sp=point.33.3725_44.6897","Maplink3")</f>
        <v>Maplink3</v>
      </c>
    </row>
    <row r="1011" customFormat="false" ht="15" hidden="false" customHeight="true" outlineLevel="0" collapsed="false">
      <c r="A1011" s="15" t="n">
        <v>22878</v>
      </c>
      <c r="B1011" s="16" t="s">
        <v>17</v>
      </c>
      <c r="C1011" s="16" t="s">
        <v>1970</v>
      </c>
      <c r="D1011" s="16" t="s">
        <v>2019</v>
      </c>
      <c r="E1011" s="17" t="s">
        <v>575</v>
      </c>
      <c r="F1011" s="16" t="n">
        <v>33.12636469</v>
      </c>
      <c r="G1011" s="16" t="n">
        <v>44.67863308</v>
      </c>
      <c r="H1011" s="18" t="n">
        <v>2</v>
      </c>
      <c r="I1011" s="18" t="n">
        <v>12</v>
      </c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 t="n">
        <v>2</v>
      </c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 t="n">
        <v>2</v>
      </c>
      <c r="AI1011" s="19"/>
      <c r="AJ1011" s="19"/>
      <c r="AK1011" s="19"/>
      <c r="AL1011" s="19"/>
      <c r="AM1011" s="19"/>
      <c r="AN1011" s="19"/>
      <c r="AO1011" s="19" t="n">
        <v>2</v>
      </c>
      <c r="AP1011" s="19"/>
      <c r="AQ1011" s="19"/>
      <c r="AR1011" s="19"/>
      <c r="AS1011" s="20" t="str">
        <f aca="false">HYPERLINK("http://www.openstreetmap.org/?mlat=33.1264&amp;mlon=44.6786&amp;zoom=12#map=12/33.1264/44.6786","Maplink1")</f>
        <v>Maplink1</v>
      </c>
      <c r="AT1011" s="20" t="str">
        <f aca="false">HYPERLINK("https://www.google.iq/maps/search/+33.1264,44.6786/@33.1264,44.6786,14z?hl=en","Maplink2")</f>
        <v>Maplink2</v>
      </c>
      <c r="AU1011" s="20" t="str">
        <f aca="false">HYPERLINK("http://www.bing.com/maps/?lvl=14&amp;sty=h&amp;cp=33.1264~44.6786&amp;sp=point.33.1264_44.6786","Maplink3")</f>
        <v>Maplink3</v>
      </c>
    </row>
    <row r="1012" customFormat="false" ht="15" hidden="false" customHeight="true" outlineLevel="0" collapsed="false">
      <c r="A1012" s="15" t="n">
        <v>7680</v>
      </c>
      <c r="B1012" s="16" t="s">
        <v>17</v>
      </c>
      <c r="C1012" s="16" t="s">
        <v>1970</v>
      </c>
      <c r="D1012" s="16" t="s">
        <v>2020</v>
      </c>
      <c r="E1012" s="17" t="s">
        <v>135</v>
      </c>
      <c r="F1012" s="16" t="n">
        <v>33.1895005</v>
      </c>
      <c r="G1012" s="16" t="n">
        <v>44.54422614</v>
      </c>
      <c r="H1012" s="18" t="n">
        <v>71</v>
      </c>
      <c r="I1012" s="18" t="n">
        <v>426</v>
      </c>
      <c r="J1012" s="19" t="n">
        <v>20</v>
      </c>
      <c r="K1012" s="19"/>
      <c r="L1012" s="19"/>
      <c r="M1012" s="19"/>
      <c r="N1012" s="19"/>
      <c r="O1012" s="19" t="n">
        <v>7</v>
      </c>
      <c r="P1012" s="19"/>
      <c r="Q1012" s="19"/>
      <c r="R1012" s="19"/>
      <c r="S1012" s="19"/>
      <c r="T1012" s="19"/>
      <c r="U1012" s="19"/>
      <c r="V1012" s="19" t="n">
        <v>22</v>
      </c>
      <c r="W1012" s="19"/>
      <c r="X1012" s="19" t="n">
        <v>22</v>
      </c>
      <c r="Y1012" s="19"/>
      <c r="Z1012" s="19"/>
      <c r="AA1012" s="19"/>
      <c r="AB1012" s="19"/>
      <c r="AC1012" s="19" t="n">
        <v>22</v>
      </c>
      <c r="AD1012" s="19"/>
      <c r="AE1012" s="19"/>
      <c r="AF1012" s="19"/>
      <c r="AG1012" s="19"/>
      <c r="AH1012" s="19" t="n">
        <v>49</v>
      </c>
      <c r="AI1012" s="19"/>
      <c r="AJ1012" s="19"/>
      <c r="AK1012" s="19"/>
      <c r="AL1012" s="19"/>
      <c r="AM1012" s="19" t="n">
        <v>28</v>
      </c>
      <c r="AN1012" s="19"/>
      <c r="AO1012" s="19" t="n">
        <v>36</v>
      </c>
      <c r="AP1012" s="19" t="n">
        <v>7</v>
      </c>
      <c r="AQ1012" s="19"/>
      <c r="AR1012" s="19"/>
      <c r="AS1012" s="20" t="str">
        <f aca="false">HYPERLINK("http://www.openstreetmap.org/?mlat=33.1895&amp;mlon=44.5442&amp;zoom=12#map=12/33.1895/44.5442","Maplink1")</f>
        <v>Maplink1</v>
      </c>
      <c r="AT1012" s="20" t="str">
        <f aca="false">HYPERLINK("https://www.google.iq/maps/search/+33.1895,44.5442/@33.1895,44.5442,14z?hl=en","Maplink2")</f>
        <v>Maplink2</v>
      </c>
      <c r="AU1012" s="20" t="str">
        <f aca="false">HYPERLINK("http://www.bing.com/maps/?lvl=14&amp;sty=h&amp;cp=33.1895~44.5442&amp;sp=point.33.1895_44.5442","Maplink3")</f>
        <v>Maplink3</v>
      </c>
    </row>
    <row r="1013" customFormat="false" ht="15" hidden="false" customHeight="true" outlineLevel="0" collapsed="false">
      <c r="A1013" s="15" t="n">
        <v>25132</v>
      </c>
      <c r="B1013" s="16" t="s">
        <v>17</v>
      </c>
      <c r="C1013" s="16" t="s">
        <v>1970</v>
      </c>
      <c r="D1013" s="16" t="s">
        <v>441</v>
      </c>
      <c r="E1013" s="17" t="s">
        <v>442</v>
      </c>
      <c r="F1013" s="16" t="n">
        <v>33.12007998</v>
      </c>
      <c r="G1013" s="16" t="n">
        <v>44.69171221</v>
      </c>
      <c r="H1013" s="18" t="n">
        <v>10</v>
      </c>
      <c r="I1013" s="18" t="n">
        <v>60</v>
      </c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 t="n">
        <v>10</v>
      </c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 t="n">
        <v>10</v>
      </c>
      <c r="AI1013" s="19"/>
      <c r="AJ1013" s="19"/>
      <c r="AK1013" s="19"/>
      <c r="AL1013" s="19"/>
      <c r="AM1013" s="19" t="n">
        <v>6</v>
      </c>
      <c r="AN1013" s="19"/>
      <c r="AO1013" s="19" t="n">
        <v>4</v>
      </c>
      <c r="AP1013" s="19"/>
      <c r="AQ1013" s="19"/>
      <c r="AR1013" s="19"/>
      <c r="AS1013" s="20" t="str">
        <f aca="false">HYPERLINK("http://www.openstreetmap.org/?mlat=33.1201&amp;mlon=44.6917&amp;zoom=12#map=12/33.1201/44.6917","Maplink1")</f>
        <v>Maplink1</v>
      </c>
      <c r="AT1013" s="20" t="str">
        <f aca="false">HYPERLINK("https://www.google.iq/maps/search/+33.1201,44.6917/@33.1201,44.6917,14z?hl=en","Maplink2")</f>
        <v>Maplink2</v>
      </c>
      <c r="AU1013" s="20" t="str">
        <f aca="false">HYPERLINK("http://www.bing.com/maps/?lvl=14&amp;sty=h&amp;cp=33.1201~44.6917&amp;sp=point.33.1201_44.6917","Maplink3")</f>
        <v>Maplink3</v>
      </c>
    </row>
    <row r="1014" customFormat="false" ht="15" hidden="false" customHeight="true" outlineLevel="0" collapsed="false">
      <c r="A1014" s="15" t="n">
        <v>24993</v>
      </c>
      <c r="B1014" s="16" t="s">
        <v>17</v>
      </c>
      <c r="C1014" s="16" t="s">
        <v>1970</v>
      </c>
      <c r="D1014" s="16" t="s">
        <v>2021</v>
      </c>
      <c r="E1014" s="17" t="s">
        <v>724</v>
      </c>
      <c r="F1014" s="16" t="n">
        <v>33.36942312</v>
      </c>
      <c r="G1014" s="16" t="n">
        <v>44.67170415</v>
      </c>
      <c r="H1014" s="18" t="n">
        <v>16</v>
      </c>
      <c r="I1014" s="18" t="n">
        <v>96</v>
      </c>
      <c r="J1014" s="19"/>
      <c r="K1014" s="19"/>
      <c r="L1014" s="19"/>
      <c r="M1014" s="19"/>
      <c r="N1014" s="19"/>
      <c r="O1014" s="19" t="n">
        <v>16</v>
      </c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 t="n">
        <v>16</v>
      </c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 t="n">
        <v>16</v>
      </c>
      <c r="AP1014" s="19"/>
      <c r="AQ1014" s="19"/>
      <c r="AR1014" s="19"/>
      <c r="AS1014" s="20" t="str">
        <f aca="false">HYPERLINK("http://www.openstreetmap.org/?mlat=33.3694&amp;mlon=44.6717&amp;zoom=12#map=12/33.3694/44.6717","Maplink1")</f>
        <v>Maplink1</v>
      </c>
      <c r="AT1014" s="20" t="str">
        <f aca="false">HYPERLINK("https://www.google.iq/maps/search/+33.3694,44.6717/@33.3694,44.6717,14z?hl=en","Maplink2")</f>
        <v>Maplink2</v>
      </c>
      <c r="AU1014" s="20" t="str">
        <f aca="false">HYPERLINK("http://www.bing.com/maps/?lvl=14&amp;sty=h&amp;cp=33.3694~44.6717&amp;sp=point.33.3694_44.6717","Maplink3")</f>
        <v>Maplink3</v>
      </c>
    </row>
    <row r="1015" customFormat="false" ht="15" hidden="false" customHeight="true" outlineLevel="0" collapsed="false">
      <c r="A1015" s="15" t="n">
        <v>24995</v>
      </c>
      <c r="B1015" s="16" t="s">
        <v>17</v>
      </c>
      <c r="C1015" s="16" t="s">
        <v>1970</v>
      </c>
      <c r="D1015" s="16" t="s">
        <v>2022</v>
      </c>
      <c r="E1015" s="17" t="s">
        <v>2023</v>
      </c>
      <c r="F1015" s="16" t="n">
        <v>33.37227393</v>
      </c>
      <c r="G1015" s="16" t="n">
        <v>44.68303272</v>
      </c>
      <c r="H1015" s="18" t="n">
        <v>6</v>
      </c>
      <c r="I1015" s="18" t="n">
        <v>36</v>
      </c>
      <c r="J1015" s="19"/>
      <c r="K1015" s="19"/>
      <c r="L1015" s="19"/>
      <c r="M1015" s="19"/>
      <c r="N1015" s="19"/>
      <c r="O1015" s="19" t="n">
        <v>6</v>
      </c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 t="n">
        <v>6</v>
      </c>
      <c r="AI1015" s="19"/>
      <c r="AJ1015" s="19"/>
      <c r="AK1015" s="19"/>
      <c r="AL1015" s="19"/>
      <c r="AM1015" s="19"/>
      <c r="AN1015" s="19" t="n">
        <v>6</v>
      </c>
      <c r="AO1015" s="19"/>
      <c r="AP1015" s="19"/>
      <c r="AQ1015" s="19"/>
      <c r="AR1015" s="19"/>
      <c r="AS1015" s="20" t="str">
        <f aca="false">HYPERLINK("http://www.openstreetmap.org/?mlat=33.3723&amp;mlon=44.683&amp;zoom=12#map=12/33.3723/44.683","Maplink1")</f>
        <v>Maplink1</v>
      </c>
      <c r="AT1015" s="20" t="str">
        <f aca="false">HYPERLINK("https://www.google.iq/maps/search/+33.3723,44.683/@33.3723,44.683,14z?hl=en","Maplink2")</f>
        <v>Maplink2</v>
      </c>
      <c r="AU1015" s="20" t="str">
        <f aca="false">HYPERLINK("http://www.bing.com/maps/?lvl=14&amp;sty=h&amp;cp=33.3723~44.683&amp;sp=point.33.3723_44.683","Maplink3")</f>
        <v>Maplink3</v>
      </c>
    </row>
    <row r="1016" customFormat="false" ht="15" hidden="false" customHeight="true" outlineLevel="0" collapsed="false">
      <c r="A1016" s="15" t="n">
        <v>25839</v>
      </c>
      <c r="B1016" s="16" t="s">
        <v>17</v>
      </c>
      <c r="C1016" s="16" t="s">
        <v>1970</v>
      </c>
      <c r="D1016" s="16" t="s">
        <v>136</v>
      </c>
      <c r="E1016" s="17" t="s">
        <v>97</v>
      </c>
      <c r="F1016" s="16" t="n">
        <v>33.23698138</v>
      </c>
      <c r="G1016" s="16" t="n">
        <v>44.52421342</v>
      </c>
      <c r="H1016" s="18" t="n">
        <v>16</v>
      </c>
      <c r="I1016" s="18" t="n">
        <v>96</v>
      </c>
      <c r="J1016" s="19"/>
      <c r="K1016" s="19"/>
      <c r="L1016" s="19"/>
      <c r="M1016" s="19"/>
      <c r="N1016" s="19"/>
      <c r="O1016" s="19" t="n">
        <v>3</v>
      </c>
      <c r="P1016" s="19"/>
      <c r="Q1016" s="19"/>
      <c r="R1016" s="19" t="n">
        <v>1</v>
      </c>
      <c r="S1016" s="19"/>
      <c r="T1016" s="19"/>
      <c r="U1016" s="19"/>
      <c r="V1016" s="19" t="n">
        <v>5</v>
      </c>
      <c r="W1016" s="19"/>
      <c r="X1016" s="19" t="n">
        <v>7</v>
      </c>
      <c r="Y1016" s="19"/>
      <c r="Z1016" s="19"/>
      <c r="AA1016" s="19"/>
      <c r="AB1016" s="19"/>
      <c r="AC1016" s="19" t="n">
        <v>16</v>
      </c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 t="n">
        <v>14</v>
      </c>
      <c r="AO1016" s="19" t="n">
        <v>2</v>
      </c>
      <c r="AP1016" s="19"/>
      <c r="AQ1016" s="19"/>
      <c r="AR1016" s="19"/>
      <c r="AS1016" s="20" t="str">
        <f aca="false">HYPERLINK("http://www.openstreetmap.org/?mlat=33.237&amp;mlon=44.5242&amp;zoom=12#map=12/33.237/44.5242","Maplink1")</f>
        <v>Maplink1</v>
      </c>
      <c r="AT1016" s="20" t="str">
        <f aca="false">HYPERLINK("https://www.google.iq/maps/search/+33.237,44.5242/@33.237,44.5242,14z?hl=en","Maplink2")</f>
        <v>Maplink2</v>
      </c>
      <c r="AU1016" s="20" t="str">
        <f aca="false">HYPERLINK("http://www.bing.com/maps/?lvl=14&amp;sty=h&amp;cp=33.237~44.5242&amp;sp=point.33.237_44.5242","Maplink3")</f>
        <v>Maplink3</v>
      </c>
    </row>
    <row r="1017" customFormat="false" ht="15" hidden="false" customHeight="true" outlineLevel="0" collapsed="false">
      <c r="A1017" s="15" t="n">
        <v>25134</v>
      </c>
      <c r="B1017" s="16" t="s">
        <v>17</v>
      </c>
      <c r="C1017" s="16" t="s">
        <v>1970</v>
      </c>
      <c r="D1017" s="16" t="s">
        <v>136</v>
      </c>
      <c r="E1017" s="17" t="s">
        <v>97</v>
      </c>
      <c r="F1017" s="16" t="n">
        <v>33.12659039</v>
      </c>
      <c r="G1017" s="16" t="n">
        <v>44.69063904</v>
      </c>
      <c r="H1017" s="18" t="n">
        <v>10</v>
      </c>
      <c r="I1017" s="18" t="n">
        <v>60</v>
      </c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 t="n">
        <v>2</v>
      </c>
      <c r="W1017" s="19"/>
      <c r="X1017" s="19" t="n">
        <v>8</v>
      </c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 t="n">
        <v>10</v>
      </c>
      <c r="AI1017" s="19"/>
      <c r="AJ1017" s="19"/>
      <c r="AK1017" s="19"/>
      <c r="AL1017" s="19"/>
      <c r="AM1017" s="19" t="n">
        <v>10</v>
      </c>
      <c r="AN1017" s="19"/>
      <c r="AO1017" s="19"/>
      <c r="AP1017" s="19"/>
      <c r="AQ1017" s="19"/>
      <c r="AR1017" s="19"/>
      <c r="AS1017" s="20" t="str">
        <f aca="false">HYPERLINK("http://www.openstreetmap.org/?mlat=33.1266&amp;mlon=44.6906&amp;zoom=12#map=12/33.1266/44.6906","Maplink1")</f>
        <v>Maplink1</v>
      </c>
      <c r="AT1017" s="20" t="str">
        <f aca="false">HYPERLINK("https://www.google.iq/maps/search/+33.1266,44.6906/@33.1266,44.6906,14z?hl=en","Maplink2")</f>
        <v>Maplink2</v>
      </c>
      <c r="AU1017" s="20" t="str">
        <f aca="false">HYPERLINK("http://www.bing.com/maps/?lvl=14&amp;sty=h&amp;cp=33.1266~44.6906&amp;sp=point.33.1266_44.6906","Maplink3")</f>
        <v>Maplink3</v>
      </c>
    </row>
    <row r="1018" customFormat="false" ht="15" hidden="false" customHeight="true" outlineLevel="0" collapsed="false">
      <c r="A1018" s="15" t="n">
        <v>24997</v>
      </c>
      <c r="B1018" s="16" t="s">
        <v>17</v>
      </c>
      <c r="C1018" s="16" t="s">
        <v>1970</v>
      </c>
      <c r="D1018" s="16" t="s">
        <v>2024</v>
      </c>
      <c r="E1018" s="17" t="s">
        <v>2025</v>
      </c>
      <c r="F1018" s="16" t="n">
        <v>33.37443714</v>
      </c>
      <c r="G1018" s="16" t="n">
        <v>44.6982043</v>
      </c>
      <c r="H1018" s="18" t="n">
        <v>7</v>
      </c>
      <c r="I1018" s="18" t="n">
        <v>42</v>
      </c>
      <c r="J1018" s="19"/>
      <c r="K1018" s="19"/>
      <c r="L1018" s="19"/>
      <c r="M1018" s="19"/>
      <c r="N1018" s="19"/>
      <c r="O1018" s="19" t="n">
        <v>7</v>
      </c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 t="n">
        <v>7</v>
      </c>
      <c r="AI1018" s="19"/>
      <c r="AJ1018" s="19"/>
      <c r="AK1018" s="19"/>
      <c r="AL1018" s="19"/>
      <c r="AM1018" s="19"/>
      <c r="AN1018" s="19"/>
      <c r="AO1018" s="19" t="n">
        <v>7</v>
      </c>
      <c r="AP1018" s="19"/>
      <c r="AQ1018" s="19"/>
      <c r="AR1018" s="19"/>
      <c r="AS1018" s="20" t="str">
        <f aca="false">HYPERLINK("http://www.openstreetmap.org/?mlat=33.3744&amp;mlon=44.6982&amp;zoom=12#map=12/33.3744/44.6982","Maplink1")</f>
        <v>Maplink1</v>
      </c>
      <c r="AT1018" s="20" t="str">
        <f aca="false">HYPERLINK("https://www.google.iq/maps/search/+33.3744,44.6982/@33.3744,44.6982,14z?hl=en","Maplink2")</f>
        <v>Maplink2</v>
      </c>
      <c r="AU1018" s="20" t="str">
        <f aca="false">HYPERLINK("http://www.bing.com/maps/?lvl=14&amp;sty=h&amp;cp=33.3744~44.6982&amp;sp=point.33.3744_44.6982","Maplink3")</f>
        <v>Maplink3</v>
      </c>
    </row>
    <row r="1019" customFormat="false" ht="15" hidden="false" customHeight="true" outlineLevel="0" collapsed="false">
      <c r="A1019" s="15" t="n">
        <v>23010</v>
      </c>
      <c r="B1019" s="16" t="s">
        <v>17</v>
      </c>
      <c r="C1019" s="16" t="s">
        <v>1970</v>
      </c>
      <c r="D1019" s="16" t="s">
        <v>2026</v>
      </c>
      <c r="E1019" s="17" t="s">
        <v>2027</v>
      </c>
      <c r="F1019" s="16" t="n">
        <v>33.12384224</v>
      </c>
      <c r="G1019" s="16" t="n">
        <v>44.68526625</v>
      </c>
      <c r="H1019" s="18" t="n">
        <v>4</v>
      </c>
      <c r="I1019" s="18" t="n">
        <v>24</v>
      </c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 t="n">
        <v>4</v>
      </c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 t="n">
        <v>4</v>
      </c>
      <c r="AI1019" s="19"/>
      <c r="AJ1019" s="19"/>
      <c r="AK1019" s="19"/>
      <c r="AL1019" s="19"/>
      <c r="AM1019" s="19" t="n">
        <v>4</v>
      </c>
      <c r="AN1019" s="19"/>
      <c r="AO1019" s="19"/>
      <c r="AP1019" s="19"/>
      <c r="AQ1019" s="19"/>
      <c r="AR1019" s="19"/>
      <c r="AS1019" s="20" t="str">
        <f aca="false">HYPERLINK("http://www.openstreetmap.org/?mlat=33.1238&amp;mlon=44.6853&amp;zoom=12#map=12/33.1238/44.6853","Maplink1")</f>
        <v>Maplink1</v>
      </c>
      <c r="AT1019" s="20" t="str">
        <f aca="false">HYPERLINK("https://www.google.iq/maps/search/+33.1238,44.6853/@33.1238,44.6853,14z?hl=en","Maplink2")</f>
        <v>Maplink2</v>
      </c>
      <c r="AU1019" s="20" t="str">
        <f aca="false">HYPERLINK("http://www.bing.com/maps/?lvl=14&amp;sty=h&amp;cp=33.1238~44.6853&amp;sp=point.33.1238_44.6853","Maplink3")</f>
        <v>Maplink3</v>
      </c>
    </row>
    <row r="1020" customFormat="false" ht="15" hidden="false" customHeight="true" outlineLevel="0" collapsed="false">
      <c r="A1020" s="15" t="n">
        <v>24994</v>
      </c>
      <c r="B1020" s="16" t="s">
        <v>17</v>
      </c>
      <c r="C1020" s="16" t="s">
        <v>1970</v>
      </c>
      <c r="D1020" s="16" t="s">
        <v>445</v>
      </c>
      <c r="E1020" s="17" t="s">
        <v>2027</v>
      </c>
      <c r="F1020" s="16" t="n">
        <v>33.36655085</v>
      </c>
      <c r="G1020" s="16" t="n">
        <v>44.66702839</v>
      </c>
      <c r="H1020" s="18" t="n">
        <v>7</v>
      </c>
      <c r="I1020" s="18" t="n">
        <v>42</v>
      </c>
      <c r="J1020" s="19" t="n">
        <v>7</v>
      </c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 t="n">
        <v>7</v>
      </c>
      <c r="AD1020" s="19"/>
      <c r="AE1020" s="19"/>
      <c r="AF1020" s="19"/>
      <c r="AG1020" s="19"/>
      <c r="AH1020" s="19"/>
      <c r="AI1020" s="19"/>
      <c r="AJ1020" s="19"/>
      <c r="AK1020" s="19"/>
      <c r="AL1020" s="19" t="n">
        <v>7</v>
      </c>
      <c r="AM1020" s="19"/>
      <c r="AN1020" s="19"/>
      <c r="AO1020" s="19"/>
      <c r="AP1020" s="19"/>
      <c r="AQ1020" s="19"/>
      <c r="AR1020" s="19"/>
      <c r="AS1020" s="20" t="str">
        <f aca="false">HYPERLINK("http://www.openstreetmap.org/?mlat=33.3666&amp;mlon=44.667&amp;zoom=12#map=12/33.3666/44.667","Maplink1")</f>
        <v>Maplink1</v>
      </c>
      <c r="AT1020" s="20" t="str">
        <f aca="false">HYPERLINK("https://www.google.iq/maps/search/+33.3666,44.667/@33.3666,44.667,14z?hl=en","Maplink2")</f>
        <v>Maplink2</v>
      </c>
      <c r="AU1020" s="20" t="str">
        <f aca="false">HYPERLINK("http://www.bing.com/maps/?lvl=14&amp;sty=h&amp;cp=33.3666~44.667&amp;sp=point.33.3666_44.667","Maplink3")</f>
        <v>Maplink3</v>
      </c>
    </row>
    <row r="1021" customFormat="false" ht="15" hidden="false" customHeight="true" outlineLevel="0" collapsed="false">
      <c r="A1021" s="15" t="n">
        <v>21298</v>
      </c>
      <c r="B1021" s="16" t="s">
        <v>17</v>
      </c>
      <c r="C1021" s="16" t="s">
        <v>1970</v>
      </c>
      <c r="D1021" s="16" t="s">
        <v>2028</v>
      </c>
      <c r="E1021" s="17" t="s">
        <v>2029</v>
      </c>
      <c r="F1021" s="16" t="n">
        <v>33.23123919</v>
      </c>
      <c r="G1021" s="16" t="n">
        <v>44.51789732</v>
      </c>
      <c r="H1021" s="18" t="n">
        <v>10</v>
      </c>
      <c r="I1021" s="18" t="n">
        <v>60</v>
      </c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 t="n">
        <v>10</v>
      </c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 t="n">
        <v>10</v>
      </c>
      <c r="AI1021" s="19"/>
      <c r="AJ1021" s="19"/>
      <c r="AK1021" s="19"/>
      <c r="AL1021" s="19"/>
      <c r="AM1021" s="19" t="n">
        <v>10</v>
      </c>
      <c r="AN1021" s="19"/>
      <c r="AO1021" s="19"/>
      <c r="AP1021" s="19"/>
      <c r="AQ1021" s="19"/>
      <c r="AR1021" s="19"/>
      <c r="AS1021" s="20" t="str">
        <f aca="false">HYPERLINK("http://www.openstreetmap.org/?mlat=33.2312&amp;mlon=44.5179&amp;zoom=12#map=12/33.2312/44.5179","Maplink1")</f>
        <v>Maplink1</v>
      </c>
      <c r="AT1021" s="20" t="str">
        <f aca="false">HYPERLINK("https://www.google.iq/maps/search/+33.2312,44.5179/@33.2312,44.5179,14z?hl=en","Maplink2")</f>
        <v>Maplink2</v>
      </c>
      <c r="AU1021" s="20" t="str">
        <f aca="false">HYPERLINK("http://www.bing.com/maps/?lvl=14&amp;sty=h&amp;cp=33.2312~44.5179&amp;sp=point.33.2312_44.5179","Maplink3")</f>
        <v>Maplink3</v>
      </c>
    </row>
    <row r="1022" customFormat="false" ht="15" hidden="false" customHeight="true" outlineLevel="0" collapsed="false">
      <c r="A1022" s="15" t="n">
        <v>25835</v>
      </c>
      <c r="B1022" s="16" t="s">
        <v>17</v>
      </c>
      <c r="C1022" s="16" t="s">
        <v>1970</v>
      </c>
      <c r="D1022" s="16" t="s">
        <v>2030</v>
      </c>
      <c r="E1022" s="17" t="s">
        <v>2031</v>
      </c>
      <c r="F1022" s="16" t="n">
        <v>33.2262551</v>
      </c>
      <c r="G1022" s="16" t="n">
        <v>44.52045045</v>
      </c>
      <c r="H1022" s="18" t="n">
        <v>15</v>
      </c>
      <c r="I1022" s="18" t="n">
        <v>90</v>
      </c>
      <c r="J1022" s="19"/>
      <c r="K1022" s="19"/>
      <c r="L1022" s="19"/>
      <c r="M1022" s="19"/>
      <c r="N1022" s="19"/>
      <c r="O1022" s="19" t="n">
        <v>2</v>
      </c>
      <c r="P1022" s="19"/>
      <c r="Q1022" s="19"/>
      <c r="R1022" s="19"/>
      <c r="S1022" s="19"/>
      <c r="T1022" s="19"/>
      <c r="U1022" s="19"/>
      <c r="V1022" s="19" t="n">
        <v>3</v>
      </c>
      <c r="W1022" s="19"/>
      <c r="X1022" s="19" t="n">
        <v>10</v>
      </c>
      <c r="Y1022" s="19"/>
      <c r="Z1022" s="19"/>
      <c r="AA1022" s="19"/>
      <c r="AB1022" s="19"/>
      <c r="AC1022" s="19" t="n">
        <v>5</v>
      </c>
      <c r="AD1022" s="19"/>
      <c r="AE1022" s="19"/>
      <c r="AF1022" s="19"/>
      <c r="AG1022" s="19"/>
      <c r="AH1022" s="19" t="n">
        <v>10</v>
      </c>
      <c r="AI1022" s="19"/>
      <c r="AJ1022" s="19"/>
      <c r="AK1022" s="19"/>
      <c r="AL1022" s="19"/>
      <c r="AM1022" s="19" t="n">
        <v>3</v>
      </c>
      <c r="AN1022" s="19"/>
      <c r="AO1022" s="19" t="n">
        <v>9</v>
      </c>
      <c r="AP1022" s="19" t="n">
        <v>3</v>
      </c>
      <c r="AQ1022" s="19"/>
      <c r="AR1022" s="19"/>
      <c r="AS1022" s="20" t="str">
        <f aca="false">HYPERLINK("http://www.openstreetmap.org/?mlat=33.2263&amp;mlon=44.5205&amp;zoom=12#map=12/33.2263/44.5205","Maplink1")</f>
        <v>Maplink1</v>
      </c>
      <c r="AT1022" s="20" t="str">
        <f aca="false">HYPERLINK("https://www.google.iq/maps/search/+33.2263,44.5205/@33.2263,44.5205,14z?hl=en","Maplink2")</f>
        <v>Maplink2</v>
      </c>
      <c r="AU1022" s="20" t="str">
        <f aca="false">HYPERLINK("http://www.bing.com/maps/?lvl=14&amp;sty=h&amp;cp=33.2263~44.5205&amp;sp=point.33.2263_44.5205","Maplink3")</f>
        <v>Maplink3</v>
      </c>
    </row>
    <row r="1023" customFormat="false" ht="15" hidden="false" customHeight="true" outlineLevel="0" collapsed="false">
      <c r="A1023" s="15" t="n">
        <v>24992</v>
      </c>
      <c r="B1023" s="16" t="s">
        <v>17</v>
      </c>
      <c r="C1023" s="16" t="s">
        <v>1970</v>
      </c>
      <c r="D1023" s="16" t="s">
        <v>2032</v>
      </c>
      <c r="E1023" s="17" t="s">
        <v>2033</v>
      </c>
      <c r="F1023" s="16" t="n">
        <v>33.37067622</v>
      </c>
      <c r="G1023" s="16" t="n">
        <v>44.67533469</v>
      </c>
      <c r="H1023" s="18" t="n">
        <v>9</v>
      </c>
      <c r="I1023" s="18" t="n">
        <v>54</v>
      </c>
      <c r="J1023" s="19" t="n">
        <v>9</v>
      </c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 t="n">
        <v>9</v>
      </c>
      <c r="AD1023" s="19"/>
      <c r="AE1023" s="19"/>
      <c r="AF1023" s="19"/>
      <c r="AG1023" s="19"/>
      <c r="AH1023" s="19"/>
      <c r="AI1023" s="19"/>
      <c r="AJ1023" s="19"/>
      <c r="AK1023" s="19"/>
      <c r="AL1023" s="19" t="n">
        <v>9</v>
      </c>
      <c r="AM1023" s="19"/>
      <c r="AN1023" s="19"/>
      <c r="AO1023" s="19"/>
      <c r="AP1023" s="19"/>
      <c r="AQ1023" s="19"/>
      <c r="AR1023" s="19"/>
      <c r="AS1023" s="20" t="str">
        <f aca="false">HYPERLINK("http://www.openstreetmap.org/?mlat=33.3707&amp;mlon=44.6753&amp;zoom=12#map=12/33.3707/44.6753","Maplink1")</f>
        <v>Maplink1</v>
      </c>
      <c r="AT1023" s="20" t="str">
        <f aca="false">HYPERLINK("https://www.google.iq/maps/search/+33.3707,44.6753/@33.3707,44.6753,14z?hl=en","Maplink2")</f>
        <v>Maplink2</v>
      </c>
      <c r="AU1023" s="20" t="str">
        <f aca="false">HYPERLINK("http://www.bing.com/maps/?lvl=14&amp;sty=h&amp;cp=33.3707~44.6753&amp;sp=point.33.3707_44.6753","Maplink3")</f>
        <v>Maplink3</v>
      </c>
    </row>
    <row r="1024" customFormat="false" ht="15" hidden="false" customHeight="true" outlineLevel="0" collapsed="false">
      <c r="A1024" s="15" t="n">
        <v>24999</v>
      </c>
      <c r="B1024" s="16" t="s">
        <v>17</v>
      </c>
      <c r="C1024" s="16" t="s">
        <v>1970</v>
      </c>
      <c r="D1024" s="16" t="s">
        <v>2034</v>
      </c>
      <c r="E1024" s="17" t="s">
        <v>2035</v>
      </c>
      <c r="F1024" s="16" t="n">
        <v>33.37228336</v>
      </c>
      <c r="G1024" s="16" t="n">
        <v>44.68762483</v>
      </c>
      <c r="H1024" s="18" t="n">
        <v>16</v>
      </c>
      <c r="I1024" s="18" t="n">
        <v>96</v>
      </c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 t="n">
        <v>16</v>
      </c>
      <c r="W1024" s="19"/>
      <c r="X1024" s="19"/>
      <c r="Y1024" s="19"/>
      <c r="Z1024" s="19"/>
      <c r="AA1024" s="19"/>
      <c r="AB1024" s="19"/>
      <c r="AC1024" s="19" t="n">
        <v>16</v>
      </c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 t="n">
        <v>16</v>
      </c>
      <c r="AN1024" s="19"/>
      <c r="AO1024" s="19"/>
      <c r="AP1024" s="19"/>
      <c r="AQ1024" s="19"/>
      <c r="AR1024" s="19"/>
      <c r="AS1024" s="20" t="str">
        <f aca="false">HYPERLINK("http://www.openstreetmap.org/?mlat=33.3723&amp;mlon=44.6876&amp;zoom=12#map=12/33.3723/44.6876","Maplink1")</f>
        <v>Maplink1</v>
      </c>
      <c r="AT1024" s="20" t="str">
        <f aca="false">HYPERLINK("https://www.google.iq/maps/search/+33.3723,44.6876/@33.3723,44.6876,14z?hl=en","Maplink2")</f>
        <v>Maplink2</v>
      </c>
      <c r="AU1024" s="20" t="str">
        <f aca="false">HYPERLINK("http://www.bing.com/maps/?lvl=14&amp;sty=h&amp;cp=33.3723~44.6876&amp;sp=point.33.3723_44.6876","Maplink3")</f>
        <v>Maplink3</v>
      </c>
    </row>
    <row r="1025" customFormat="false" ht="15" hidden="false" customHeight="true" outlineLevel="0" collapsed="false">
      <c r="A1025" s="15" t="n">
        <v>27416</v>
      </c>
      <c r="B1025" s="16" t="s">
        <v>17</v>
      </c>
      <c r="C1025" s="16" t="s">
        <v>1970</v>
      </c>
      <c r="D1025" s="16" t="s">
        <v>2036</v>
      </c>
      <c r="E1025" s="17" t="s">
        <v>2037</v>
      </c>
      <c r="F1025" s="16" t="n">
        <v>33.18484364</v>
      </c>
      <c r="G1025" s="16" t="n">
        <v>44.52297868</v>
      </c>
      <c r="H1025" s="18" t="n">
        <v>68</v>
      </c>
      <c r="I1025" s="18" t="n">
        <v>408</v>
      </c>
      <c r="J1025" s="19" t="n">
        <v>26</v>
      </c>
      <c r="K1025" s="19"/>
      <c r="L1025" s="19"/>
      <c r="M1025" s="19"/>
      <c r="N1025" s="19"/>
      <c r="O1025" s="19" t="n">
        <v>4</v>
      </c>
      <c r="P1025" s="19"/>
      <c r="Q1025" s="19"/>
      <c r="R1025" s="19"/>
      <c r="S1025" s="19"/>
      <c r="T1025" s="19"/>
      <c r="U1025" s="19"/>
      <c r="V1025" s="19" t="n">
        <v>18</v>
      </c>
      <c r="W1025" s="19"/>
      <c r="X1025" s="19" t="n">
        <v>20</v>
      </c>
      <c r="Y1025" s="19"/>
      <c r="Z1025" s="19"/>
      <c r="AA1025" s="19"/>
      <c r="AB1025" s="19"/>
      <c r="AC1025" s="19" t="n">
        <v>23</v>
      </c>
      <c r="AD1025" s="19"/>
      <c r="AE1025" s="19"/>
      <c r="AF1025" s="19"/>
      <c r="AG1025" s="19"/>
      <c r="AH1025" s="19" t="n">
        <v>45</v>
      </c>
      <c r="AI1025" s="19"/>
      <c r="AJ1025" s="19"/>
      <c r="AK1025" s="19"/>
      <c r="AL1025" s="19"/>
      <c r="AM1025" s="19" t="n">
        <v>12</v>
      </c>
      <c r="AN1025" s="19"/>
      <c r="AO1025" s="19" t="n">
        <v>43</v>
      </c>
      <c r="AP1025" s="19" t="n">
        <v>13</v>
      </c>
      <c r="AQ1025" s="19"/>
      <c r="AR1025" s="19"/>
      <c r="AS1025" s="20" t="str">
        <f aca="false">HYPERLINK("http://www.openstreetmap.org/?mlat=33.1848&amp;mlon=44.523&amp;zoom=12#map=12/33.1848/44.523","Maplink1")</f>
        <v>Maplink1</v>
      </c>
      <c r="AT1025" s="20" t="str">
        <f aca="false">HYPERLINK("https://www.google.iq/maps/search/+33.1848,44.523/@33.1848,44.523,14z?hl=en","Maplink2")</f>
        <v>Maplink2</v>
      </c>
      <c r="AU1025" s="20" t="str">
        <f aca="false">HYPERLINK("http://www.bing.com/maps/?lvl=14&amp;sty=h&amp;cp=33.1848~44.523&amp;sp=point.33.1848_44.523","Maplink3")</f>
        <v>Maplink3</v>
      </c>
    </row>
    <row r="1026" customFormat="false" ht="15" hidden="false" customHeight="true" outlineLevel="0" collapsed="false">
      <c r="A1026" s="15" t="n">
        <v>25836</v>
      </c>
      <c r="B1026" s="16" t="s">
        <v>17</v>
      </c>
      <c r="C1026" s="16" t="s">
        <v>1970</v>
      </c>
      <c r="D1026" s="16" t="s">
        <v>2038</v>
      </c>
      <c r="E1026" s="17" t="s">
        <v>2039</v>
      </c>
      <c r="F1026" s="16" t="n">
        <v>33.21361603</v>
      </c>
      <c r="G1026" s="16" t="n">
        <v>44.55246018</v>
      </c>
      <c r="H1026" s="18" t="n">
        <v>16</v>
      </c>
      <c r="I1026" s="18" t="n">
        <v>96</v>
      </c>
      <c r="J1026" s="19"/>
      <c r="K1026" s="19"/>
      <c r="L1026" s="19"/>
      <c r="M1026" s="19"/>
      <c r="N1026" s="19"/>
      <c r="O1026" s="19" t="n">
        <v>2</v>
      </c>
      <c r="P1026" s="19"/>
      <c r="Q1026" s="19"/>
      <c r="R1026" s="19"/>
      <c r="S1026" s="19"/>
      <c r="T1026" s="19"/>
      <c r="U1026" s="19"/>
      <c r="V1026" s="19" t="n">
        <v>14</v>
      </c>
      <c r="W1026" s="19"/>
      <c r="X1026" s="19"/>
      <c r="Y1026" s="19"/>
      <c r="Z1026" s="19"/>
      <c r="AA1026" s="19"/>
      <c r="AB1026" s="19"/>
      <c r="AC1026" s="19" t="n">
        <v>16</v>
      </c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 t="n">
        <v>16</v>
      </c>
      <c r="AN1026" s="19"/>
      <c r="AO1026" s="19"/>
      <c r="AP1026" s="19"/>
      <c r="AQ1026" s="19"/>
      <c r="AR1026" s="19"/>
      <c r="AS1026" s="20" t="str">
        <f aca="false">HYPERLINK("http://www.openstreetmap.org/?mlat=33.2136&amp;mlon=44.5525&amp;zoom=12#map=12/33.2136/44.5525","Maplink1")</f>
        <v>Maplink1</v>
      </c>
      <c r="AT1026" s="20" t="str">
        <f aca="false">HYPERLINK("https://www.google.iq/maps/search/+33.2136,44.5525/@33.2136,44.5525,14z?hl=en","Maplink2")</f>
        <v>Maplink2</v>
      </c>
      <c r="AU1026" s="20" t="str">
        <f aca="false">HYPERLINK("http://www.bing.com/maps/?lvl=14&amp;sty=h&amp;cp=33.2136~44.5525&amp;sp=point.33.2136_44.5525","Maplink3")</f>
        <v>Maplink3</v>
      </c>
    </row>
    <row r="1027" customFormat="false" ht="15" hidden="false" customHeight="true" outlineLevel="0" collapsed="false">
      <c r="A1027" s="15" t="n">
        <v>25009</v>
      </c>
      <c r="B1027" s="16" t="s">
        <v>17</v>
      </c>
      <c r="C1027" s="16" t="s">
        <v>1970</v>
      </c>
      <c r="D1027" s="16" t="s">
        <v>2040</v>
      </c>
      <c r="E1027" s="17" t="s">
        <v>2041</v>
      </c>
      <c r="F1027" s="16" t="n">
        <v>33.32171383</v>
      </c>
      <c r="G1027" s="16" t="n">
        <v>44.6149896</v>
      </c>
      <c r="H1027" s="18" t="n">
        <v>13</v>
      </c>
      <c r="I1027" s="18" t="n">
        <v>78</v>
      </c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 t="n">
        <v>13</v>
      </c>
      <c r="W1027" s="19"/>
      <c r="X1027" s="19"/>
      <c r="Y1027" s="19"/>
      <c r="Z1027" s="19"/>
      <c r="AA1027" s="19"/>
      <c r="AB1027" s="19"/>
      <c r="AC1027" s="19" t="n">
        <v>13</v>
      </c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 t="n">
        <v>13</v>
      </c>
      <c r="AN1027" s="19"/>
      <c r="AO1027" s="19"/>
      <c r="AP1027" s="19"/>
      <c r="AQ1027" s="19"/>
      <c r="AR1027" s="19"/>
      <c r="AS1027" s="20" t="str">
        <f aca="false">HYPERLINK("http://www.openstreetmap.org/?mlat=33.3217&amp;mlon=44.615&amp;zoom=12#map=12/33.3217/44.615","Maplink1")</f>
        <v>Maplink1</v>
      </c>
      <c r="AT1027" s="20" t="str">
        <f aca="false">HYPERLINK("https://www.google.iq/maps/search/+33.3217,44.615/@33.3217,44.615,14z?hl=en","Maplink2")</f>
        <v>Maplink2</v>
      </c>
      <c r="AU1027" s="20" t="str">
        <f aca="false">HYPERLINK("http://www.bing.com/maps/?lvl=14&amp;sty=h&amp;cp=33.3217~44.615&amp;sp=point.33.3217_44.615","Maplink3")</f>
        <v>Maplink3</v>
      </c>
    </row>
    <row r="1028" customFormat="false" ht="15" hidden="false" customHeight="true" outlineLevel="0" collapsed="false">
      <c r="A1028" s="15" t="n">
        <v>25438</v>
      </c>
      <c r="B1028" s="16" t="s">
        <v>17</v>
      </c>
      <c r="C1028" s="16" t="s">
        <v>1970</v>
      </c>
      <c r="D1028" s="16" t="s">
        <v>2042</v>
      </c>
      <c r="E1028" s="17" t="s">
        <v>2043</v>
      </c>
      <c r="F1028" s="16" t="n">
        <v>33.30419089</v>
      </c>
      <c r="G1028" s="16" t="n">
        <v>44.6172501</v>
      </c>
      <c r="H1028" s="18" t="n">
        <v>20</v>
      </c>
      <c r="I1028" s="18" t="n">
        <v>120</v>
      </c>
      <c r="J1028" s="19" t="n">
        <v>2</v>
      </c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 t="n">
        <v>18</v>
      </c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 t="n">
        <v>20</v>
      </c>
      <c r="AI1028" s="19"/>
      <c r="AJ1028" s="19"/>
      <c r="AK1028" s="19"/>
      <c r="AL1028" s="19"/>
      <c r="AM1028" s="19" t="n">
        <v>18</v>
      </c>
      <c r="AN1028" s="19"/>
      <c r="AO1028" s="19"/>
      <c r="AP1028" s="19" t="n">
        <v>2</v>
      </c>
      <c r="AQ1028" s="19"/>
      <c r="AR1028" s="19"/>
      <c r="AS1028" s="20" t="str">
        <f aca="false">HYPERLINK("http://www.openstreetmap.org/?mlat=33.3042&amp;mlon=44.6173&amp;zoom=12#map=12/33.3042/44.6173","Maplink1")</f>
        <v>Maplink1</v>
      </c>
      <c r="AT1028" s="20" t="str">
        <f aca="false">HYPERLINK("https://www.google.iq/maps/search/+33.3042,44.6173/@33.3042,44.6173,14z?hl=en","Maplink2")</f>
        <v>Maplink2</v>
      </c>
      <c r="AU1028" s="20" t="str">
        <f aca="false">HYPERLINK("http://www.bing.com/maps/?lvl=14&amp;sty=h&amp;cp=33.3042~44.6173&amp;sp=point.33.3042_44.6173","Maplink3")</f>
        <v>Maplink3</v>
      </c>
    </row>
    <row r="1029" customFormat="false" ht="15" hidden="false" customHeight="true" outlineLevel="0" collapsed="false">
      <c r="A1029" s="15" t="n">
        <v>25831</v>
      </c>
      <c r="B1029" s="16" t="s">
        <v>17</v>
      </c>
      <c r="C1029" s="16" t="s">
        <v>2044</v>
      </c>
      <c r="D1029" s="16" t="s">
        <v>2045</v>
      </c>
      <c r="E1029" s="17" t="s">
        <v>2046</v>
      </c>
      <c r="F1029" s="16" t="n">
        <v>33.12936386</v>
      </c>
      <c r="G1029" s="16" t="n">
        <v>44.3585688</v>
      </c>
      <c r="H1029" s="18" t="n">
        <v>8</v>
      </c>
      <c r="I1029" s="18" t="n">
        <v>48</v>
      </c>
      <c r="J1029" s="19" t="n">
        <v>8</v>
      </c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 t="n">
        <v>8</v>
      </c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 t="n">
        <v>8</v>
      </c>
      <c r="AQ1029" s="19"/>
      <c r="AR1029" s="19"/>
      <c r="AS1029" s="20" t="str">
        <f aca="false">HYPERLINK("http://www.openstreetmap.org/?mlat=33.1294&amp;mlon=44.3586&amp;zoom=12#map=12/33.1294/44.3586","Maplink1")</f>
        <v>Maplink1</v>
      </c>
      <c r="AT1029" s="20" t="str">
        <f aca="false">HYPERLINK("https://www.google.iq/maps/search/+33.1294,44.3586/@33.1294,44.3586,14z?hl=en","Maplink2")</f>
        <v>Maplink2</v>
      </c>
      <c r="AU1029" s="20" t="str">
        <f aca="false">HYPERLINK("http://www.bing.com/maps/?lvl=14&amp;sty=h&amp;cp=33.1294~44.3586&amp;sp=point.33.1294_44.3586","Maplink3")</f>
        <v>Maplink3</v>
      </c>
    </row>
    <row r="1030" customFormat="false" ht="15" hidden="false" customHeight="true" outlineLevel="0" collapsed="false">
      <c r="A1030" s="15" t="n">
        <v>23618</v>
      </c>
      <c r="B1030" s="16" t="s">
        <v>17</v>
      </c>
      <c r="C1030" s="16" t="s">
        <v>2044</v>
      </c>
      <c r="D1030" s="16" t="s">
        <v>2047</v>
      </c>
      <c r="E1030" s="17" t="s">
        <v>2048</v>
      </c>
      <c r="F1030" s="16" t="n">
        <v>32.96360286</v>
      </c>
      <c r="G1030" s="16" t="n">
        <v>44.35782574</v>
      </c>
      <c r="H1030" s="18" t="n">
        <v>168</v>
      </c>
      <c r="I1030" s="18" t="n">
        <v>1008</v>
      </c>
      <c r="J1030" s="19" t="n">
        <v>19</v>
      </c>
      <c r="K1030" s="19" t="n">
        <v>97</v>
      </c>
      <c r="L1030" s="19" t="n">
        <v>52</v>
      </c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 t="n">
        <v>69</v>
      </c>
      <c r="AD1030" s="19"/>
      <c r="AE1030" s="19"/>
      <c r="AF1030" s="19"/>
      <c r="AG1030" s="19"/>
      <c r="AH1030" s="19" t="n">
        <v>99</v>
      </c>
      <c r="AI1030" s="19"/>
      <c r="AJ1030" s="19"/>
      <c r="AK1030" s="19"/>
      <c r="AL1030" s="19"/>
      <c r="AM1030" s="19"/>
      <c r="AN1030" s="19" t="n">
        <v>60</v>
      </c>
      <c r="AO1030" s="19" t="n">
        <v>90</v>
      </c>
      <c r="AP1030" s="19" t="n">
        <v>15</v>
      </c>
      <c r="AQ1030" s="19" t="n">
        <v>3</v>
      </c>
      <c r="AR1030" s="19"/>
      <c r="AS1030" s="20" t="str">
        <f aca="false">HYPERLINK("http://www.openstreetmap.org/?mlat=32.9636&amp;mlon=44.3578&amp;zoom=12#map=12/32.9636/44.3578","Maplink1")</f>
        <v>Maplink1</v>
      </c>
      <c r="AT1030" s="20" t="str">
        <f aca="false">HYPERLINK("https://www.google.iq/maps/search/+32.9636,44.3578/@32.9636,44.3578,14z?hl=en","Maplink2")</f>
        <v>Maplink2</v>
      </c>
      <c r="AU1030" s="20" t="str">
        <f aca="false">HYPERLINK("http://www.bing.com/maps/?lvl=14&amp;sty=h&amp;cp=32.9636~44.3578&amp;sp=point.32.9636_44.3578","Maplink3")</f>
        <v>Maplink3</v>
      </c>
    </row>
    <row r="1031" customFormat="false" ht="15" hidden="false" customHeight="true" outlineLevel="0" collapsed="false">
      <c r="A1031" s="15" t="n">
        <v>7491</v>
      </c>
      <c r="B1031" s="16" t="s">
        <v>17</v>
      </c>
      <c r="C1031" s="16" t="s">
        <v>2044</v>
      </c>
      <c r="D1031" s="16" t="s">
        <v>2049</v>
      </c>
      <c r="E1031" s="17" t="s">
        <v>2050</v>
      </c>
      <c r="F1031" s="16" t="n">
        <v>33.09435883</v>
      </c>
      <c r="G1031" s="16" t="n">
        <v>44.30121312</v>
      </c>
      <c r="H1031" s="18" t="n">
        <v>27</v>
      </c>
      <c r="I1031" s="18" t="n">
        <v>162</v>
      </c>
      <c r="J1031" s="19" t="n">
        <v>27</v>
      </c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 t="n">
        <v>27</v>
      </c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 t="n">
        <v>27</v>
      </c>
      <c r="AQ1031" s="19"/>
      <c r="AR1031" s="19"/>
      <c r="AS1031" s="20" t="str">
        <f aca="false">HYPERLINK("http://www.openstreetmap.org/?mlat=33.0944&amp;mlon=44.3012&amp;zoom=12#map=12/33.0944/44.3012","Maplink1")</f>
        <v>Maplink1</v>
      </c>
      <c r="AT1031" s="20" t="str">
        <f aca="false">HYPERLINK("https://www.google.iq/maps/search/+33.0944,44.3012/@33.0944,44.3012,14z?hl=en","Maplink2")</f>
        <v>Maplink2</v>
      </c>
      <c r="AU1031" s="20" t="str">
        <f aca="false">HYPERLINK("http://www.bing.com/maps/?lvl=14&amp;sty=h&amp;cp=33.0944~44.3012&amp;sp=point.33.0944_44.3012","Maplink3")</f>
        <v>Maplink3</v>
      </c>
    </row>
    <row r="1032" customFormat="false" ht="15" hidden="false" customHeight="true" outlineLevel="0" collapsed="false">
      <c r="A1032" s="15" t="n">
        <v>27292</v>
      </c>
      <c r="B1032" s="16" t="s">
        <v>17</v>
      </c>
      <c r="C1032" s="16" t="s">
        <v>2044</v>
      </c>
      <c r="D1032" s="16" t="s">
        <v>2051</v>
      </c>
      <c r="E1032" s="17" t="s">
        <v>2052</v>
      </c>
      <c r="F1032" s="16" t="n">
        <v>33.1385921</v>
      </c>
      <c r="G1032" s="16" t="n">
        <v>44.06196865</v>
      </c>
      <c r="H1032" s="18" t="n">
        <v>65</v>
      </c>
      <c r="I1032" s="18" t="n">
        <v>390</v>
      </c>
      <c r="J1032" s="19" t="n">
        <v>65</v>
      </c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 t="n">
        <v>65</v>
      </c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 t="n">
        <v>65</v>
      </c>
      <c r="AQ1032" s="19"/>
      <c r="AR1032" s="19"/>
      <c r="AS1032" s="20" t="str">
        <f aca="false">HYPERLINK("http://www.openstreetmap.org/?mlat=33.1386&amp;mlon=44.062&amp;zoom=12#map=12/33.1386/44.062","Maplink1")</f>
        <v>Maplink1</v>
      </c>
      <c r="AT1032" s="20" t="str">
        <f aca="false">HYPERLINK("https://www.google.iq/maps/search/+33.1386,44.062/@33.1386,44.062,14z?hl=en","Maplink2")</f>
        <v>Maplink2</v>
      </c>
      <c r="AU1032" s="20" t="str">
        <f aca="false">HYPERLINK("http://www.bing.com/maps/?lvl=14&amp;sty=h&amp;cp=33.1386~44.062&amp;sp=point.33.1386_44.062","Maplink3")</f>
        <v>Maplink3</v>
      </c>
    </row>
    <row r="1033" customFormat="false" ht="15" hidden="false" customHeight="true" outlineLevel="0" collapsed="false">
      <c r="A1033" s="15" t="n">
        <v>23578</v>
      </c>
      <c r="B1033" s="16" t="s">
        <v>17</v>
      </c>
      <c r="C1033" s="16" t="s">
        <v>2044</v>
      </c>
      <c r="D1033" s="16" t="s">
        <v>2053</v>
      </c>
      <c r="E1033" s="17" t="s">
        <v>2054</v>
      </c>
      <c r="F1033" s="16" t="n">
        <v>33.14464677</v>
      </c>
      <c r="G1033" s="16" t="n">
        <v>44.38382237</v>
      </c>
      <c r="H1033" s="18" t="n">
        <v>72</v>
      </c>
      <c r="I1033" s="18" t="n">
        <v>432</v>
      </c>
      <c r="J1033" s="19" t="n">
        <v>31</v>
      </c>
      <c r="K1033" s="19"/>
      <c r="L1033" s="19" t="n">
        <v>29</v>
      </c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 t="n">
        <v>12</v>
      </c>
      <c r="Y1033" s="19"/>
      <c r="Z1033" s="19"/>
      <c r="AA1033" s="19"/>
      <c r="AB1033" s="19"/>
      <c r="AC1033" s="19" t="n">
        <v>32</v>
      </c>
      <c r="AD1033" s="19"/>
      <c r="AE1033" s="19"/>
      <c r="AF1033" s="19"/>
      <c r="AG1033" s="19"/>
      <c r="AH1033" s="19" t="n">
        <v>16</v>
      </c>
      <c r="AI1033" s="19"/>
      <c r="AJ1033" s="19" t="n">
        <v>24</v>
      </c>
      <c r="AK1033" s="19"/>
      <c r="AL1033" s="19" t="n">
        <v>19</v>
      </c>
      <c r="AM1033" s="19"/>
      <c r="AN1033" s="19"/>
      <c r="AO1033" s="19" t="n">
        <v>9</v>
      </c>
      <c r="AP1033" s="19" t="n">
        <v>33</v>
      </c>
      <c r="AQ1033" s="19" t="n">
        <v>11</v>
      </c>
      <c r="AR1033" s="19"/>
      <c r="AS1033" s="20" t="str">
        <f aca="false">HYPERLINK("http://www.openstreetmap.org/?mlat=33.1446&amp;mlon=44.3838&amp;zoom=12#map=12/33.1446/44.3838","Maplink1")</f>
        <v>Maplink1</v>
      </c>
      <c r="AT1033" s="20" t="str">
        <f aca="false">HYPERLINK("https://www.google.iq/maps/search/+33.1446,44.3838/@33.1446,44.3838,14z?hl=en","Maplink2")</f>
        <v>Maplink2</v>
      </c>
      <c r="AU1033" s="20" t="str">
        <f aca="false">HYPERLINK("http://www.bing.com/maps/?lvl=14&amp;sty=h&amp;cp=33.1446~44.3838&amp;sp=point.33.1446_44.3838","Maplink3")</f>
        <v>Maplink3</v>
      </c>
    </row>
    <row r="1034" customFormat="false" ht="15" hidden="false" customHeight="true" outlineLevel="0" collapsed="false">
      <c r="A1034" s="15" t="n">
        <v>25147</v>
      </c>
      <c r="B1034" s="16" t="s">
        <v>17</v>
      </c>
      <c r="C1034" s="16" t="s">
        <v>2044</v>
      </c>
      <c r="D1034" s="16" t="s">
        <v>2055</v>
      </c>
      <c r="E1034" s="17" t="s">
        <v>2056</v>
      </c>
      <c r="F1034" s="16" t="n">
        <v>33.13591703</v>
      </c>
      <c r="G1034" s="16" t="n">
        <v>44.31223393</v>
      </c>
      <c r="H1034" s="18" t="n">
        <v>23</v>
      </c>
      <c r="I1034" s="18" t="n">
        <v>138</v>
      </c>
      <c r="J1034" s="19" t="n">
        <v>19</v>
      </c>
      <c r="K1034" s="19"/>
      <c r="L1034" s="19" t="n">
        <v>4</v>
      </c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 t="n">
        <v>23</v>
      </c>
      <c r="AI1034" s="19"/>
      <c r="AJ1034" s="19"/>
      <c r="AK1034" s="19"/>
      <c r="AL1034" s="19" t="n">
        <v>4</v>
      </c>
      <c r="AM1034" s="19"/>
      <c r="AN1034" s="19"/>
      <c r="AO1034" s="19"/>
      <c r="AP1034" s="19" t="n">
        <v>15</v>
      </c>
      <c r="AQ1034" s="19" t="n">
        <v>4</v>
      </c>
      <c r="AR1034" s="19"/>
      <c r="AS1034" s="20" t="str">
        <f aca="false">HYPERLINK("http://www.openstreetmap.org/?mlat=33.1359&amp;mlon=44.3122&amp;zoom=12#map=12/33.1359/44.3122","Maplink1")</f>
        <v>Maplink1</v>
      </c>
      <c r="AT1034" s="20" t="str">
        <f aca="false">HYPERLINK("https://www.google.iq/maps/search/+33.1359,44.3122/@33.1359,44.3122,14z?hl=en","Maplink2")</f>
        <v>Maplink2</v>
      </c>
      <c r="AU1034" s="20" t="str">
        <f aca="false">HYPERLINK("http://www.bing.com/maps/?lvl=14&amp;sty=h&amp;cp=33.1359~44.3122&amp;sp=point.33.1359_44.3122","Maplink3")</f>
        <v>Maplink3</v>
      </c>
    </row>
    <row r="1035" customFormat="false" ht="15" hidden="false" customHeight="true" outlineLevel="0" collapsed="false">
      <c r="A1035" s="15" t="n">
        <v>25150</v>
      </c>
      <c r="B1035" s="16" t="s">
        <v>17</v>
      </c>
      <c r="C1035" s="16" t="s">
        <v>2044</v>
      </c>
      <c r="D1035" s="16" t="s">
        <v>2057</v>
      </c>
      <c r="E1035" s="17" t="s">
        <v>2058</v>
      </c>
      <c r="F1035" s="16" t="n">
        <v>32.97465003</v>
      </c>
      <c r="G1035" s="16" t="n">
        <v>44.35740954</v>
      </c>
      <c r="H1035" s="18" t="n">
        <v>225</v>
      </c>
      <c r="I1035" s="18" t="n">
        <v>1350</v>
      </c>
      <c r="J1035" s="19" t="n">
        <v>49</v>
      </c>
      <c r="K1035" s="19" t="n">
        <v>156</v>
      </c>
      <c r="L1035" s="19" t="n">
        <v>20</v>
      </c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 t="n">
        <v>174</v>
      </c>
      <c r="AD1035" s="19"/>
      <c r="AE1035" s="19"/>
      <c r="AF1035" s="19"/>
      <c r="AG1035" s="19"/>
      <c r="AH1035" s="19" t="n">
        <v>51</v>
      </c>
      <c r="AI1035" s="19"/>
      <c r="AJ1035" s="19"/>
      <c r="AK1035" s="19"/>
      <c r="AL1035" s="19"/>
      <c r="AM1035" s="19"/>
      <c r="AN1035" s="19" t="n">
        <v>152</v>
      </c>
      <c r="AO1035" s="19" t="n">
        <v>39</v>
      </c>
      <c r="AP1035" s="19" t="n">
        <v>34</v>
      </c>
      <c r="AQ1035" s="19"/>
      <c r="AR1035" s="19"/>
      <c r="AS1035" s="20" t="str">
        <f aca="false">HYPERLINK("http://www.openstreetmap.org/?mlat=32.9747&amp;mlon=44.3574&amp;zoom=12#map=12/32.9747/44.3574","Maplink1")</f>
        <v>Maplink1</v>
      </c>
      <c r="AT1035" s="20" t="str">
        <f aca="false">HYPERLINK("https://www.google.iq/maps/search/+32.9747,44.3574/@32.9747,44.3574,14z?hl=en","Maplink2")</f>
        <v>Maplink2</v>
      </c>
      <c r="AU1035" s="20" t="str">
        <f aca="false">HYPERLINK("http://www.bing.com/maps/?lvl=14&amp;sty=h&amp;cp=32.9747~44.3574&amp;sp=point.32.9747_44.3574","Maplink3")</f>
        <v>Maplink3</v>
      </c>
    </row>
    <row r="1036" customFormat="false" ht="15" hidden="false" customHeight="true" outlineLevel="0" collapsed="false">
      <c r="A1036" s="15" t="n">
        <v>25149</v>
      </c>
      <c r="B1036" s="16" t="s">
        <v>17</v>
      </c>
      <c r="C1036" s="16" t="s">
        <v>2044</v>
      </c>
      <c r="D1036" s="16" t="s">
        <v>2059</v>
      </c>
      <c r="E1036" s="17" t="s">
        <v>2060</v>
      </c>
      <c r="F1036" s="16" t="n">
        <v>32.9955138</v>
      </c>
      <c r="G1036" s="16" t="n">
        <v>44.35928701</v>
      </c>
      <c r="H1036" s="18" t="n">
        <v>93</v>
      </c>
      <c r="I1036" s="18" t="n">
        <v>558</v>
      </c>
      <c r="J1036" s="19"/>
      <c r="K1036" s="19" t="n">
        <v>93</v>
      </c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 t="n">
        <v>75</v>
      </c>
      <c r="AD1036" s="19"/>
      <c r="AE1036" s="19"/>
      <c r="AF1036" s="19"/>
      <c r="AG1036" s="19"/>
      <c r="AH1036" s="19" t="n">
        <v>18</v>
      </c>
      <c r="AI1036" s="19"/>
      <c r="AJ1036" s="19"/>
      <c r="AK1036" s="19"/>
      <c r="AL1036" s="19"/>
      <c r="AM1036" s="19"/>
      <c r="AN1036" s="19" t="n">
        <v>68</v>
      </c>
      <c r="AO1036" s="19" t="n">
        <v>25</v>
      </c>
      <c r="AP1036" s="19"/>
      <c r="AQ1036" s="19"/>
      <c r="AR1036" s="19"/>
      <c r="AS1036" s="20" t="str">
        <f aca="false">HYPERLINK("http://www.openstreetmap.org/?mlat=32.9955&amp;mlon=44.3593&amp;zoom=12#map=12/32.9955/44.3593","Maplink1")</f>
        <v>Maplink1</v>
      </c>
      <c r="AT1036" s="20" t="str">
        <f aca="false">HYPERLINK("https://www.google.iq/maps/search/+32.9955,44.3593/@32.9955,44.3593,14z?hl=en","Maplink2")</f>
        <v>Maplink2</v>
      </c>
      <c r="AU1036" s="20" t="str">
        <f aca="false">HYPERLINK("http://www.bing.com/maps/?lvl=14&amp;sty=h&amp;cp=32.9955~44.3593&amp;sp=point.32.9955_44.3593","Maplink3")</f>
        <v>Maplink3</v>
      </c>
    </row>
    <row r="1037" customFormat="false" ht="15" hidden="false" customHeight="true" outlineLevel="0" collapsed="false">
      <c r="A1037" s="15" t="n">
        <v>7639</v>
      </c>
      <c r="B1037" s="16" t="s">
        <v>17</v>
      </c>
      <c r="C1037" s="16" t="s">
        <v>2044</v>
      </c>
      <c r="D1037" s="16" t="s">
        <v>2061</v>
      </c>
      <c r="E1037" s="17" t="s">
        <v>2062</v>
      </c>
      <c r="F1037" s="16" t="n">
        <v>33.15500885</v>
      </c>
      <c r="G1037" s="16" t="n">
        <v>44.24328081</v>
      </c>
      <c r="H1037" s="18" t="n">
        <v>47</v>
      </c>
      <c r="I1037" s="18" t="n">
        <v>282</v>
      </c>
      <c r="J1037" s="19" t="n">
        <v>35</v>
      </c>
      <c r="K1037" s="19"/>
      <c r="L1037" s="19" t="n">
        <v>12</v>
      </c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 t="n">
        <v>24</v>
      </c>
      <c r="AD1037" s="19"/>
      <c r="AE1037" s="19"/>
      <c r="AF1037" s="19"/>
      <c r="AG1037" s="19"/>
      <c r="AH1037" s="19" t="n">
        <v>23</v>
      </c>
      <c r="AI1037" s="19"/>
      <c r="AJ1037" s="19"/>
      <c r="AK1037" s="19"/>
      <c r="AL1037" s="19"/>
      <c r="AM1037" s="19"/>
      <c r="AN1037" s="19"/>
      <c r="AO1037" s="19" t="n">
        <v>12</v>
      </c>
      <c r="AP1037" s="19" t="n">
        <v>35</v>
      </c>
      <c r="AQ1037" s="19"/>
      <c r="AR1037" s="19"/>
      <c r="AS1037" s="20" t="str">
        <f aca="false">HYPERLINK("http://www.openstreetmap.org/?mlat=33.155&amp;mlon=44.2433&amp;zoom=12#map=12/33.155/44.2433","Maplink1")</f>
        <v>Maplink1</v>
      </c>
      <c r="AT1037" s="20" t="str">
        <f aca="false">HYPERLINK("https://www.google.iq/maps/search/+33.155,44.2433/@33.155,44.2433,14z?hl=en","Maplink2")</f>
        <v>Maplink2</v>
      </c>
      <c r="AU1037" s="20" t="str">
        <f aca="false">HYPERLINK("http://www.bing.com/maps/?lvl=14&amp;sty=h&amp;cp=33.155~44.2433&amp;sp=point.33.155_44.2433","Maplink3")</f>
        <v>Maplink3</v>
      </c>
    </row>
    <row r="1038" customFormat="false" ht="15" hidden="false" customHeight="true" outlineLevel="0" collapsed="false">
      <c r="A1038" s="15" t="n">
        <v>25141</v>
      </c>
      <c r="B1038" s="16" t="s">
        <v>17</v>
      </c>
      <c r="C1038" s="16" t="s">
        <v>2044</v>
      </c>
      <c r="D1038" s="16" t="s">
        <v>2063</v>
      </c>
      <c r="E1038" s="17" t="s">
        <v>2064</v>
      </c>
      <c r="F1038" s="16" t="n">
        <v>33.07988</v>
      </c>
      <c r="G1038" s="16" t="n">
        <v>44.25495</v>
      </c>
      <c r="H1038" s="18" t="n">
        <v>35</v>
      </c>
      <c r="I1038" s="18" t="n">
        <v>210</v>
      </c>
      <c r="J1038" s="19" t="n">
        <v>35</v>
      </c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 t="n">
        <v>11</v>
      </c>
      <c r="AD1038" s="19"/>
      <c r="AE1038" s="19"/>
      <c r="AF1038" s="19"/>
      <c r="AG1038" s="19"/>
      <c r="AH1038" s="19" t="n">
        <v>24</v>
      </c>
      <c r="AI1038" s="19"/>
      <c r="AJ1038" s="19"/>
      <c r="AK1038" s="19"/>
      <c r="AL1038" s="19"/>
      <c r="AM1038" s="19"/>
      <c r="AN1038" s="19"/>
      <c r="AO1038" s="19" t="n">
        <v>2</v>
      </c>
      <c r="AP1038" s="19" t="n">
        <v>33</v>
      </c>
      <c r="AQ1038" s="19"/>
      <c r="AR1038" s="19"/>
      <c r="AS1038" s="20" t="str">
        <f aca="false">HYPERLINK("http://www.openstreetmap.org/?mlat=33.0799&amp;mlon=44.255&amp;zoom=12#map=12/33.0799/44.255","Maplink1")</f>
        <v>Maplink1</v>
      </c>
      <c r="AT1038" s="20" t="str">
        <f aca="false">HYPERLINK("https://www.google.iq/maps/search/+33.0799,44.255/@33.0799,44.255,14z?hl=en","Maplink2")</f>
        <v>Maplink2</v>
      </c>
      <c r="AU1038" s="20" t="str">
        <f aca="false">HYPERLINK("http://www.bing.com/maps/?lvl=14&amp;sty=h&amp;cp=33.0799~44.255&amp;sp=point.33.0799_44.255","Maplink3")</f>
        <v>Maplink3</v>
      </c>
    </row>
    <row r="1039" customFormat="false" ht="15" hidden="false" customHeight="true" outlineLevel="0" collapsed="false">
      <c r="A1039" s="15" t="n">
        <v>25146</v>
      </c>
      <c r="B1039" s="16" t="s">
        <v>17</v>
      </c>
      <c r="C1039" s="16" t="s">
        <v>2044</v>
      </c>
      <c r="D1039" s="16" t="s">
        <v>2065</v>
      </c>
      <c r="E1039" s="17" t="s">
        <v>2066</v>
      </c>
      <c r="F1039" s="16" t="n">
        <v>33.21624812</v>
      </c>
      <c r="G1039" s="16" t="n">
        <v>44.17309843</v>
      </c>
      <c r="H1039" s="18" t="n">
        <v>1167</v>
      </c>
      <c r="I1039" s="18" t="n">
        <v>7002</v>
      </c>
      <c r="J1039" s="19" t="n">
        <v>550</v>
      </c>
      <c r="K1039" s="19" t="n">
        <v>95</v>
      </c>
      <c r="L1039" s="19" t="n">
        <v>218</v>
      </c>
      <c r="M1039" s="19"/>
      <c r="N1039" s="19"/>
      <c r="O1039" s="19"/>
      <c r="P1039" s="19"/>
      <c r="Q1039" s="19"/>
      <c r="R1039" s="19" t="n">
        <v>164</v>
      </c>
      <c r="S1039" s="19"/>
      <c r="T1039" s="19"/>
      <c r="U1039" s="19"/>
      <c r="V1039" s="19"/>
      <c r="W1039" s="19"/>
      <c r="X1039" s="19" t="n">
        <v>140</v>
      </c>
      <c r="Y1039" s="19"/>
      <c r="Z1039" s="19"/>
      <c r="AA1039" s="19"/>
      <c r="AB1039" s="19"/>
      <c r="AC1039" s="19" t="n">
        <v>381</v>
      </c>
      <c r="AD1039" s="19"/>
      <c r="AE1039" s="19"/>
      <c r="AF1039" s="19"/>
      <c r="AG1039" s="19"/>
      <c r="AH1039" s="19" t="n">
        <v>641</v>
      </c>
      <c r="AI1039" s="19"/>
      <c r="AJ1039" s="19" t="n">
        <v>145</v>
      </c>
      <c r="AK1039" s="19"/>
      <c r="AL1039" s="19" t="n">
        <v>89</v>
      </c>
      <c r="AM1039" s="19" t="n">
        <v>205</v>
      </c>
      <c r="AN1039" s="19" t="n">
        <v>274</v>
      </c>
      <c r="AO1039" s="19" t="n">
        <v>209</v>
      </c>
      <c r="AP1039" s="19" t="n">
        <v>105</v>
      </c>
      <c r="AQ1039" s="19" t="n">
        <v>278</v>
      </c>
      <c r="AR1039" s="19" t="n">
        <v>7</v>
      </c>
      <c r="AS1039" s="20" t="str">
        <f aca="false">HYPERLINK("http://www.openstreetmap.org/?mlat=33.2162&amp;mlon=44.1731&amp;zoom=12#map=12/33.2162/44.1731","Maplink1")</f>
        <v>Maplink1</v>
      </c>
      <c r="AT1039" s="20" t="str">
        <f aca="false">HYPERLINK("https://www.google.iq/maps/search/+33.2162,44.1731/@33.2162,44.1731,14z?hl=en","Maplink2")</f>
        <v>Maplink2</v>
      </c>
      <c r="AU1039" s="20" t="str">
        <f aca="false">HYPERLINK("http://www.bing.com/maps/?lvl=14&amp;sty=h&amp;cp=33.2162~44.1731&amp;sp=point.33.2162_44.1731","Maplink3")</f>
        <v>Maplink3</v>
      </c>
    </row>
    <row r="1040" customFormat="false" ht="15" hidden="false" customHeight="true" outlineLevel="0" collapsed="false">
      <c r="A1040" s="15" t="n">
        <v>27253</v>
      </c>
      <c r="B1040" s="16" t="s">
        <v>17</v>
      </c>
      <c r="C1040" s="16" t="s">
        <v>2044</v>
      </c>
      <c r="D1040" s="16" t="s">
        <v>2067</v>
      </c>
      <c r="E1040" s="17" t="s">
        <v>2068</v>
      </c>
      <c r="F1040" s="16" t="n">
        <v>33.07199589</v>
      </c>
      <c r="G1040" s="16" t="n">
        <v>44.35587802</v>
      </c>
      <c r="H1040" s="18" t="n">
        <v>44</v>
      </c>
      <c r="I1040" s="18" t="n">
        <v>264</v>
      </c>
      <c r="J1040" s="19" t="n">
        <v>28</v>
      </c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 t="n">
        <v>16</v>
      </c>
      <c r="Y1040" s="19"/>
      <c r="Z1040" s="19"/>
      <c r="AA1040" s="19"/>
      <c r="AB1040" s="19"/>
      <c r="AC1040" s="19" t="n">
        <v>25</v>
      </c>
      <c r="AD1040" s="19"/>
      <c r="AE1040" s="19"/>
      <c r="AF1040" s="19"/>
      <c r="AG1040" s="19"/>
      <c r="AH1040" s="19" t="n">
        <v>19</v>
      </c>
      <c r="AI1040" s="19"/>
      <c r="AJ1040" s="19"/>
      <c r="AK1040" s="19"/>
      <c r="AL1040" s="19"/>
      <c r="AM1040" s="19"/>
      <c r="AN1040" s="19"/>
      <c r="AO1040" s="19" t="n">
        <v>21</v>
      </c>
      <c r="AP1040" s="19" t="n">
        <v>23</v>
      </c>
      <c r="AQ1040" s="19"/>
      <c r="AR1040" s="19"/>
      <c r="AS1040" s="20" t="str">
        <f aca="false">HYPERLINK("http://www.openstreetmap.org/?mlat=33.072&amp;mlon=44.3559&amp;zoom=12#map=12/33.072/44.3559","Maplink1")</f>
        <v>Maplink1</v>
      </c>
      <c r="AT1040" s="20" t="str">
        <f aca="false">HYPERLINK("https://www.google.iq/maps/search/+33.072,44.3559/@33.072,44.3559,14z?hl=en","Maplink2")</f>
        <v>Maplink2</v>
      </c>
      <c r="AU1040" s="20" t="str">
        <f aca="false">HYPERLINK("http://www.bing.com/maps/?lvl=14&amp;sty=h&amp;cp=33.072~44.3559&amp;sp=point.33.072_44.3559","Maplink3")</f>
        <v>Maplink3</v>
      </c>
    </row>
    <row r="1041" customFormat="false" ht="15" hidden="false" customHeight="true" outlineLevel="0" collapsed="false">
      <c r="A1041" s="15" t="n">
        <v>25775</v>
      </c>
      <c r="B1041" s="16" t="s">
        <v>17</v>
      </c>
      <c r="C1041" s="16" t="s">
        <v>2044</v>
      </c>
      <c r="D1041" s="16" t="s">
        <v>2069</v>
      </c>
      <c r="E1041" s="17" t="s">
        <v>2070</v>
      </c>
      <c r="F1041" s="16" t="n">
        <v>33.11239997</v>
      </c>
      <c r="G1041" s="16" t="n">
        <v>44.37857119</v>
      </c>
      <c r="H1041" s="18" t="n">
        <v>13</v>
      </c>
      <c r="I1041" s="18" t="n">
        <v>78</v>
      </c>
      <c r="J1041" s="19" t="n">
        <v>13</v>
      </c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 t="n">
        <v>13</v>
      </c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 t="n">
        <v>13</v>
      </c>
      <c r="AQ1041" s="19"/>
      <c r="AR1041" s="19"/>
      <c r="AS1041" s="20" t="str">
        <f aca="false">HYPERLINK("http://www.openstreetmap.org/?mlat=33.1124&amp;mlon=44.3786&amp;zoom=12#map=12/33.1124/44.3786","Maplink1")</f>
        <v>Maplink1</v>
      </c>
      <c r="AT1041" s="20" t="str">
        <f aca="false">HYPERLINK("https://www.google.iq/maps/search/+33.1124,44.3786/@33.1124,44.3786,14z?hl=en","Maplink2")</f>
        <v>Maplink2</v>
      </c>
      <c r="AU1041" s="20" t="str">
        <f aca="false">HYPERLINK("http://www.bing.com/maps/?lvl=14&amp;sty=h&amp;cp=33.1124~44.3786&amp;sp=point.33.1124_44.3786","Maplink3")</f>
        <v>Maplink3</v>
      </c>
    </row>
    <row r="1042" customFormat="false" ht="15" hidden="false" customHeight="true" outlineLevel="0" collapsed="false">
      <c r="A1042" s="15" t="n">
        <v>26102</v>
      </c>
      <c r="B1042" s="16" t="s">
        <v>17</v>
      </c>
      <c r="C1042" s="16" t="s">
        <v>2044</v>
      </c>
      <c r="D1042" s="16" t="s">
        <v>2071</v>
      </c>
      <c r="E1042" s="17" t="s">
        <v>2072</v>
      </c>
      <c r="F1042" s="16" t="n">
        <v>33.12455727</v>
      </c>
      <c r="G1042" s="16" t="n">
        <v>44.05057846</v>
      </c>
      <c r="H1042" s="18" t="n">
        <v>63</v>
      </c>
      <c r="I1042" s="18" t="n">
        <v>378</v>
      </c>
      <c r="J1042" s="19" t="n">
        <v>63</v>
      </c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 t="n">
        <v>63</v>
      </c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 t="n">
        <v>57</v>
      </c>
      <c r="AQ1042" s="19"/>
      <c r="AR1042" s="19" t="n">
        <v>6</v>
      </c>
      <c r="AS1042" s="20" t="str">
        <f aca="false">HYPERLINK("http://www.openstreetmap.org/?mlat=33.1246&amp;mlon=44.0506&amp;zoom=12#map=12/33.1246/44.0506","Maplink1")</f>
        <v>Maplink1</v>
      </c>
      <c r="AT1042" s="20" t="str">
        <f aca="false">HYPERLINK("https://www.google.iq/maps/search/+33.1246,44.0506/@33.1246,44.0506,14z?hl=en","Maplink2")</f>
        <v>Maplink2</v>
      </c>
      <c r="AU1042" s="20" t="str">
        <f aca="false">HYPERLINK("http://www.bing.com/maps/?lvl=14&amp;sty=h&amp;cp=33.1246~44.0506&amp;sp=point.33.1246_44.0506","Maplink3")</f>
        <v>Maplink3</v>
      </c>
    </row>
    <row r="1043" customFormat="false" ht="15" hidden="false" customHeight="true" outlineLevel="0" collapsed="false">
      <c r="A1043" s="15" t="n">
        <v>7753</v>
      </c>
      <c r="B1043" s="16" t="s">
        <v>17</v>
      </c>
      <c r="C1043" s="16" t="s">
        <v>2044</v>
      </c>
      <c r="D1043" s="16" t="s">
        <v>2073</v>
      </c>
      <c r="E1043" s="17" t="s">
        <v>2074</v>
      </c>
      <c r="F1043" s="16" t="n">
        <v>33.07506081</v>
      </c>
      <c r="G1043" s="16" t="n">
        <v>44.34586845</v>
      </c>
      <c r="H1043" s="18" t="n">
        <v>49</v>
      </c>
      <c r="I1043" s="18" t="n">
        <v>294</v>
      </c>
      <c r="J1043" s="19" t="n">
        <v>37</v>
      </c>
      <c r="K1043" s="19"/>
      <c r="L1043" s="19" t="n">
        <v>3</v>
      </c>
      <c r="M1043" s="19"/>
      <c r="N1043" s="19"/>
      <c r="O1043" s="19"/>
      <c r="P1043" s="19"/>
      <c r="Q1043" s="19"/>
      <c r="R1043" s="19"/>
      <c r="S1043" s="19"/>
      <c r="T1043" s="19"/>
      <c r="U1043" s="19"/>
      <c r="V1043" s="19" t="n">
        <v>2</v>
      </c>
      <c r="W1043" s="19"/>
      <c r="X1043" s="19" t="n">
        <v>7</v>
      </c>
      <c r="Y1043" s="19"/>
      <c r="Z1043" s="19"/>
      <c r="AA1043" s="19"/>
      <c r="AB1043" s="19"/>
      <c r="AC1043" s="19" t="n">
        <v>10</v>
      </c>
      <c r="AD1043" s="19"/>
      <c r="AE1043" s="19"/>
      <c r="AF1043" s="19"/>
      <c r="AG1043" s="19"/>
      <c r="AH1043" s="19" t="n">
        <v>39</v>
      </c>
      <c r="AI1043" s="19"/>
      <c r="AJ1043" s="19"/>
      <c r="AK1043" s="19"/>
      <c r="AL1043" s="19" t="n">
        <v>8</v>
      </c>
      <c r="AM1043" s="19" t="n">
        <v>5</v>
      </c>
      <c r="AN1043" s="19"/>
      <c r="AO1043" s="19"/>
      <c r="AP1043" s="19" t="n">
        <v>29</v>
      </c>
      <c r="AQ1043" s="19" t="n">
        <v>7</v>
      </c>
      <c r="AR1043" s="19"/>
      <c r="AS1043" s="20" t="str">
        <f aca="false">HYPERLINK("http://www.openstreetmap.org/?mlat=33.0751&amp;mlon=44.3459&amp;zoom=12#map=12/33.0751/44.3459","Maplink1")</f>
        <v>Maplink1</v>
      </c>
      <c r="AT1043" s="20" t="str">
        <f aca="false">HYPERLINK("https://www.google.iq/maps/search/+33.0751,44.3459/@33.0751,44.3459,14z?hl=en","Maplink2")</f>
        <v>Maplink2</v>
      </c>
      <c r="AU1043" s="20" t="str">
        <f aca="false">HYPERLINK("http://www.bing.com/maps/?lvl=14&amp;sty=h&amp;cp=33.0751~44.3459&amp;sp=point.33.0751_44.3459","Maplink3")</f>
        <v>Maplink3</v>
      </c>
    </row>
    <row r="1044" customFormat="false" ht="15" hidden="false" customHeight="true" outlineLevel="0" collapsed="false">
      <c r="A1044" s="15" t="n">
        <v>28403</v>
      </c>
      <c r="B1044" s="16" t="s">
        <v>17</v>
      </c>
      <c r="C1044" s="16" t="s">
        <v>2044</v>
      </c>
      <c r="D1044" s="16" t="s">
        <v>2075</v>
      </c>
      <c r="E1044" s="17" t="s">
        <v>2076</v>
      </c>
      <c r="F1044" s="16" t="n">
        <v>33.12127795</v>
      </c>
      <c r="G1044" s="16" t="n">
        <v>44.36914562</v>
      </c>
      <c r="H1044" s="18" t="n">
        <v>11</v>
      </c>
      <c r="I1044" s="18" t="n">
        <v>66</v>
      </c>
      <c r="J1044" s="19" t="n">
        <v>11</v>
      </c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 t="n">
        <v>11</v>
      </c>
      <c r="AI1044" s="19"/>
      <c r="AJ1044" s="19"/>
      <c r="AK1044" s="19"/>
      <c r="AL1044" s="19"/>
      <c r="AM1044" s="19"/>
      <c r="AN1044" s="19"/>
      <c r="AO1044" s="19" t="n">
        <v>5</v>
      </c>
      <c r="AP1044" s="19" t="n">
        <v>6</v>
      </c>
      <c r="AQ1044" s="19"/>
      <c r="AR1044" s="19"/>
      <c r="AS1044" s="20" t="str">
        <f aca="false">HYPERLINK("http://www.openstreetmap.org/?mlat=33.1213&amp;mlon=44.3691&amp;zoom=12#map=12/33.1213/44.3691","Maplink1")</f>
        <v>Maplink1</v>
      </c>
      <c r="AT1044" s="20" t="str">
        <f aca="false">HYPERLINK("https://www.google.iq/maps/search/+33.1213,44.3691/@33.1213,44.3691,14z?hl=en","Maplink2")</f>
        <v>Maplink2</v>
      </c>
      <c r="AU1044" s="20" t="str">
        <f aca="false">HYPERLINK("http://www.bing.com/maps/?lvl=14&amp;sty=h&amp;cp=33.1213~44.3691&amp;sp=point.33.1213_44.3691","Maplink3")</f>
        <v>Maplink3</v>
      </c>
    </row>
    <row r="1045" customFormat="false" ht="15" hidden="false" customHeight="true" outlineLevel="0" collapsed="false">
      <c r="A1045" s="15" t="n">
        <v>27323</v>
      </c>
      <c r="B1045" s="16" t="s">
        <v>17</v>
      </c>
      <c r="C1045" s="16" t="s">
        <v>2044</v>
      </c>
      <c r="D1045" s="16" t="s">
        <v>2077</v>
      </c>
      <c r="E1045" s="17" t="s">
        <v>2078</v>
      </c>
      <c r="F1045" s="16" t="n">
        <v>33.1374</v>
      </c>
      <c r="G1045" s="16" t="n">
        <v>44.4392</v>
      </c>
      <c r="H1045" s="18" t="n">
        <v>24</v>
      </c>
      <c r="I1045" s="18" t="n">
        <v>144</v>
      </c>
      <c r="J1045" s="19" t="n">
        <v>18</v>
      </c>
      <c r="K1045" s="19"/>
      <c r="L1045" s="19" t="n">
        <v>6</v>
      </c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 t="n">
        <v>16</v>
      </c>
      <c r="AD1045" s="19"/>
      <c r="AE1045" s="19"/>
      <c r="AF1045" s="19"/>
      <c r="AG1045" s="19"/>
      <c r="AH1045" s="19" t="n">
        <v>8</v>
      </c>
      <c r="AI1045" s="19"/>
      <c r="AJ1045" s="19"/>
      <c r="AK1045" s="19"/>
      <c r="AL1045" s="19" t="n">
        <v>7</v>
      </c>
      <c r="AM1045" s="19" t="n">
        <v>16</v>
      </c>
      <c r="AN1045" s="19"/>
      <c r="AO1045" s="19"/>
      <c r="AP1045" s="19" t="n">
        <v>1</v>
      </c>
      <c r="AQ1045" s="19"/>
      <c r="AR1045" s="19"/>
      <c r="AS1045" s="20" t="str">
        <f aca="false">HYPERLINK("http://www.openstreetmap.org/?mlat=33.1374&amp;mlon=44.4392&amp;zoom=12#map=12/33.1374/44.4392","Maplink1")</f>
        <v>Maplink1</v>
      </c>
      <c r="AT1045" s="20" t="str">
        <f aca="false">HYPERLINK("https://www.google.iq/maps/search/+33.1374,44.4392/@33.1374,44.4392,14z?hl=en","Maplink2")</f>
        <v>Maplink2</v>
      </c>
      <c r="AU1045" s="20" t="str">
        <f aca="false">HYPERLINK("http://www.bing.com/maps/?lvl=14&amp;sty=h&amp;cp=33.1374~44.4392&amp;sp=point.33.1374_44.4392","Maplink3")</f>
        <v>Maplink3</v>
      </c>
    </row>
    <row r="1046" customFormat="false" ht="15" hidden="false" customHeight="true" outlineLevel="0" collapsed="false">
      <c r="A1046" s="15" t="n">
        <v>26106</v>
      </c>
      <c r="B1046" s="16" t="s">
        <v>17</v>
      </c>
      <c r="C1046" s="16" t="s">
        <v>2044</v>
      </c>
      <c r="D1046" s="16" t="s">
        <v>2079</v>
      </c>
      <c r="E1046" s="17" t="s">
        <v>2080</v>
      </c>
      <c r="F1046" s="16" t="n">
        <v>33.13896098</v>
      </c>
      <c r="G1046" s="16" t="n">
        <v>44.03895149</v>
      </c>
      <c r="H1046" s="18" t="n">
        <v>22</v>
      </c>
      <c r="I1046" s="18" t="n">
        <v>132</v>
      </c>
      <c r="J1046" s="19" t="n">
        <v>22</v>
      </c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 t="n">
        <v>22</v>
      </c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 t="n">
        <v>22</v>
      </c>
      <c r="AQ1046" s="19"/>
      <c r="AR1046" s="19"/>
      <c r="AS1046" s="20" t="str">
        <f aca="false">HYPERLINK("http://www.openstreetmap.org/?mlat=33.139&amp;mlon=44.039&amp;zoom=12#map=12/33.139/44.039","Maplink1")</f>
        <v>Maplink1</v>
      </c>
      <c r="AT1046" s="20" t="str">
        <f aca="false">HYPERLINK("https://www.google.iq/maps/search/+33.139,44.039/@33.139,44.039,14z?hl=en","Maplink2")</f>
        <v>Maplink2</v>
      </c>
      <c r="AU1046" s="20" t="str">
        <f aca="false">HYPERLINK("http://www.bing.com/maps/?lvl=14&amp;sty=h&amp;cp=33.139~44.039&amp;sp=point.33.139_44.039","Maplink3")</f>
        <v>Maplink3</v>
      </c>
    </row>
    <row r="1047" customFormat="false" ht="15" hidden="false" customHeight="true" outlineLevel="0" collapsed="false">
      <c r="A1047" s="15" t="n">
        <v>7754</v>
      </c>
      <c r="B1047" s="16" t="s">
        <v>17</v>
      </c>
      <c r="C1047" s="16" t="s">
        <v>2044</v>
      </c>
      <c r="D1047" s="16" t="s">
        <v>2081</v>
      </c>
      <c r="E1047" s="17" t="s">
        <v>2082</v>
      </c>
      <c r="F1047" s="16" t="n">
        <v>33.10534</v>
      </c>
      <c r="G1047" s="16" t="n">
        <v>44.27538</v>
      </c>
      <c r="H1047" s="18" t="n">
        <v>56</v>
      </c>
      <c r="I1047" s="18" t="n">
        <v>336</v>
      </c>
      <c r="J1047" s="19" t="n">
        <v>6</v>
      </c>
      <c r="K1047" s="19" t="n">
        <v>50</v>
      </c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 t="n">
        <v>56</v>
      </c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 t="n">
        <v>50</v>
      </c>
      <c r="AO1047" s="19"/>
      <c r="AP1047" s="19" t="n">
        <v>6</v>
      </c>
      <c r="AQ1047" s="19"/>
      <c r="AR1047" s="19"/>
      <c r="AS1047" s="20" t="str">
        <f aca="false">HYPERLINK("http://www.openstreetmap.org/?mlat=33.1053&amp;mlon=44.2754&amp;zoom=12#map=12/33.1053/44.2754","Maplink1")</f>
        <v>Maplink1</v>
      </c>
      <c r="AT1047" s="20" t="str">
        <f aca="false">HYPERLINK("https://www.google.iq/maps/search/+33.1053,44.2754/@33.1053,44.2754,14z?hl=en","Maplink2")</f>
        <v>Maplink2</v>
      </c>
      <c r="AU1047" s="20" t="str">
        <f aca="false">HYPERLINK("http://www.bing.com/maps/?lvl=14&amp;sty=h&amp;cp=33.1053~44.2754&amp;sp=point.33.1053_44.2754","Maplink3")</f>
        <v>Maplink3</v>
      </c>
    </row>
    <row r="1048" customFormat="false" ht="15" hidden="false" customHeight="true" outlineLevel="0" collapsed="false">
      <c r="A1048" s="15" t="n">
        <v>25145</v>
      </c>
      <c r="B1048" s="16" t="s">
        <v>17</v>
      </c>
      <c r="C1048" s="16" t="s">
        <v>2044</v>
      </c>
      <c r="D1048" s="16" t="s">
        <v>2083</v>
      </c>
      <c r="E1048" s="17" t="s">
        <v>2084</v>
      </c>
      <c r="F1048" s="16" t="n">
        <v>33.11549386</v>
      </c>
      <c r="G1048" s="16" t="n">
        <v>44.34227256</v>
      </c>
      <c r="H1048" s="18" t="n">
        <v>27</v>
      </c>
      <c r="I1048" s="18" t="n">
        <v>162</v>
      </c>
      <c r="J1048" s="19" t="n">
        <v>27</v>
      </c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 t="n">
        <v>17</v>
      </c>
      <c r="AD1048" s="19"/>
      <c r="AE1048" s="19"/>
      <c r="AF1048" s="19"/>
      <c r="AG1048" s="19"/>
      <c r="AH1048" s="19" t="n">
        <v>10</v>
      </c>
      <c r="AI1048" s="19"/>
      <c r="AJ1048" s="19"/>
      <c r="AK1048" s="19"/>
      <c r="AL1048" s="19"/>
      <c r="AM1048" s="19"/>
      <c r="AN1048" s="19"/>
      <c r="AO1048" s="19" t="n">
        <v>17</v>
      </c>
      <c r="AP1048" s="19" t="n">
        <v>10</v>
      </c>
      <c r="AQ1048" s="19"/>
      <c r="AR1048" s="19"/>
      <c r="AS1048" s="20" t="str">
        <f aca="false">HYPERLINK("http://www.openstreetmap.org/?mlat=33.1155&amp;mlon=44.3423&amp;zoom=12#map=12/33.1155/44.3423","Maplink1")</f>
        <v>Maplink1</v>
      </c>
      <c r="AT1048" s="20" t="str">
        <f aca="false">HYPERLINK("https://www.google.iq/maps/search/+33.1155,44.3423/@33.1155,44.3423,14z?hl=en","Maplink2")</f>
        <v>Maplink2</v>
      </c>
      <c r="AU1048" s="20" t="str">
        <f aca="false">HYPERLINK("http://www.bing.com/maps/?lvl=14&amp;sty=h&amp;cp=33.1155~44.3423&amp;sp=point.33.1155_44.3423","Maplink3")</f>
        <v>Maplink3</v>
      </c>
    </row>
    <row r="1049" customFormat="false" ht="15" hidden="false" customHeight="true" outlineLevel="0" collapsed="false">
      <c r="A1049" s="15" t="n">
        <v>7456</v>
      </c>
      <c r="B1049" s="16" t="s">
        <v>17</v>
      </c>
      <c r="C1049" s="16" t="s">
        <v>2044</v>
      </c>
      <c r="D1049" s="16" t="s">
        <v>2085</v>
      </c>
      <c r="E1049" s="17" t="s">
        <v>2086</v>
      </c>
      <c r="F1049" s="16" t="n">
        <v>33.06154916</v>
      </c>
      <c r="G1049" s="16" t="n">
        <v>44.34119053</v>
      </c>
      <c r="H1049" s="18" t="n">
        <v>34</v>
      </c>
      <c r="I1049" s="18" t="n">
        <v>204</v>
      </c>
      <c r="J1049" s="19" t="n">
        <v>18</v>
      </c>
      <c r="K1049" s="19"/>
      <c r="L1049" s="19" t="n">
        <v>11</v>
      </c>
      <c r="M1049" s="19"/>
      <c r="N1049" s="19"/>
      <c r="O1049" s="19"/>
      <c r="P1049" s="19"/>
      <c r="Q1049" s="19"/>
      <c r="R1049" s="19"/>
      <c r="S1049" s="19"/>
      <c r="T1049" s="19"/>
      <c r="U1049" s="19"/>
      <c r="V1049" s="19" t="n">
        <v>1</v>
      </c>
      <c r="W1049" s="19"/>
      <c r="X1049" s="19" t="n">
        <v>4</v>
      </c>
      <c r="Y1049" s="19"/>
      <c r="Z1049" s="19"/>
      <c r="AA1049" s="19"/>
      <c r="AB1049" s="19"/>
      <c r="AC1049" s="19" t="n">
        <v>14</v>
      </c>
      <c r="AD1049" s="19"/>
      <c r="AE1049" s="19"/>
      <c r="AF1049" s="19"/>
      <c r="AG1049" s="19"/>
      <c r="AH1049" s="19" t="n">
        <v>20</v>
      </c>
      <c r="AI1049" s="19"/>
      <c r="AJ1049" s="19"/>
      <c r="AK1049" s="19"/>
      <c r="AL1049" s="19"/>
      <c r="AM1049" s="19" t="n">
        <v>25</v>
      </c>
      <c r="AN1049" s="19"/>
      <c r="AO1049" s="19" t="n">
        <v>5</v>
      </c>
      <c r="AP1049" s="19"/>
      <c r="AQ1049" s="19" t="n">
        <v>4</v>
      </c>
      <c r="AR1049" s="19"/>
      <c r="AS1049" s="20" t="str">
        <f aca="false">HYPERLINK("http://www.openstreetmap.org/?mlat=33.0615&amp;mlon=44.3412&amp;zoom=12#map=12/33.0615/44.3412","Maplink1")</f>
        <v>Maplink1</v>
      </c>
      <c r="AT1049" s="20" t="str">
        <f aca="false">HYPERLINK("https://www.google.iq/maps/search/+33.0615,44.3412/@33.0615,44.3412,14z?hl=en","Maplink2")</f>
        <v>Maplink2</v>
      </c>
      <c r="AU1049" s="20" t="str">
        <f aca="false">HYPERLINK("http://www.bing.com/maps/?lvl=14&amp;sty=h&amp;cp=33.0615~44.3412&amp;sp=point.33.0615_44.3412","Maplink3")</f>
        <v>Maplink3</v>
      </c>
    </row>
    <row r="1050" customFormat="false" ht="15" hidden="false" customHeight="true" outlineLevel="0" collapsed="false">
      <c r="A1050" s="15" t="n">
        <v>28404</v>
      </c>
      <c r="B1050" s="16" t="s">
        <v>17</v>
      </c>
      <c r="C1050" s="16" t="s">
        <v>2044</v>
      </c>
      <c r="D1050" s="16" t="s">
        <v>2087</v>
      </c>
      <c r="E1050" s="17" t="s">
        <v>2088</v>
      </c>
      <c r="F1050" s="16" t="n">
        <v>33.1279</v>
      </c>
      <c r="G1050" s="16" t="n">
        <v>44.38603</v>
      </c>
      <c r="H1050" s="18" t="n">
        <v>39</v>
      </c>
      <c r="I1050" s="18" t="n">
        <v>234</v>
      </c>
      <c r="J1050" s="19" t="n">
        <v>6</v>
      </c>
      <c r="K1050" s="19"/>
      <c r="L1050" s="19" t="n">
        <v>33</v>
      </c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 t="n">
        <v>28</v>
      </c>
      <c r="AD1050" s="19"/>
      <c r="AE1050" s="19"/>
      <c r="AF1050" s="19"/>
      <c r="AG1050" s="19"/>
      <c r="AH1050" s="19" t="n">
        <v>11</v>
      </c>
      <c r="AI1050" s="19"/>
      <c r="AJ1050" s="19"/>
      <c r="AK1050" s="19"/>
      <c r="AL1050" s="19"/>
      <c r="AM1050" s="19"/>
      <c r="AN1050" s="19"/>
      <c r="AO1050" s="19" t="n">
        <v>23</v>
      </c>
      <c r="AP1050" s="19" t="n">
        <v>16</v>
      </c>
      <c r="AQ1050" s="19"/>
      <c r="AR1050" s="19"/>
      <c r="AS1050" s="20" t="str">
        <f aca="false">HYPERLINK("http://www.openstreetmap.org/?mlat=33.1279&amp;mlon=44.386&amp;zoom=12#map=12/33.1279/44.386","Maplink1")</f>
        <v>Maplink1</v>
      </c>
      <c r="AT1050" s="20" t="str">
        <f aca="false">HYPERLINK("https://www.google.iq/maps/search/+33.1279,44.386/@33.1279,44.386,14z?hl=en","Maplink2")</f>
        <v>Maplink2</v>
      </c>
      <c r="AU1050" s="20" t="str">
        <f aca="false">HYPERLINK("http://www.bing.com/maps/?lvl=14&amp;sty=h&amp;cp=33.1279~44.386&amp;sp=point.33.1279_44.386","Maplink3")</f>
        <v>Maplink3</v>
      </c>
    </row>
    <row r="1051" customFormat="false" ht="15" hidden="false" customHeight="true" outlineLevel="0" collapsed="false">
      <c r="A1051" s="15" t="n">
        <v>21463</v>
      </c>
      <c r="B1051" s="16" t="s">
        <v>17</v>
      </c>
      <c r="C1051" s="16" t="s">
        <v>2044</v>
      </c>
      <c r="D1051" s="16" t="s">
        <v>2089</v>
      </c>
      <c r="E1051" s="17" t="s">
        <v>2090</v>
      </c>
      <c r="F1051" s="16" t="n">
        <v>32.96643128</v>
      </c>
      <c r="G1051" s="16" t="n">
        <v>44.35879611</v>
      </c>
      <c r="H1051" s="18" t="n">
        <v>33</v>
      </c>
      <c r="I1051" s="18" t="n">
        <v>198</v>
      </c>
      <c r="J1051" s="19"/>
      <c r="K1051" s="19" t="n">
        <v>33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 t="n">
        <v>23</v>
      </c>
      <c r="AD1051" s="19"/>
      <c r="AE1051" s="19"/>
      <c r="AF1051" s="19"/>
      <c r="AG1051" s="19"/>
      <c r="AH1051" s="19" t="n">
        <v>10</v>
      </c>
      <c r="AI1051" s="19"/>
      <c r="AJ1051" s="19"/>
      <c r="AK1051" s="19"/>
      <c r="AL1051" s="19"/>
      <c r="AM1051" s="19"/>
      <c r="AN1051" s="19" t="n">
        <v>33</v>
      </c>
      <c r="AO1051" s="19"/>
      <c r="AP1051" s="19"/>
      <c r="AQ1051" s="19"/>
      <c r="AR1051" s="19"/>
      <c r="AS1051" s="20" t="str">
        <f aca="false">HYPERLINK("http://www.openstreetmap.org/?mlat=32.9664&amp;mlon=44.3588&amp;zoom=12#map=12/32.9664/44.3588","Maplink1")</f>
        <v>Maplink1</v>
      </c>
      <c r="AT1051" s="20" t="str">
        <f aca="false">HYPERLINK("https://www.google.iq/maps/search/+32.9664,44.3588/@32.9664,44.3588,14z?hl=en","Maplink2")</f>
        <v>Maplink2</v>
      </c>
      <c r="AU1051" s="20" t="str">
        <f aca="false">HYPERLINK("http://www.bing.com/maps/?lvl=14&amp;sty=h&amp;cp=32.9664~44.3588&amp;sp=point.32.9664_44.3588","Maplink3")</f>
        <v>Maplink3</v>
      </c>
    </row>
    <row r="1052" customFormat="false" ht="15" hidden="false" customHeight="true" outlineLevel="0" collapsed="false">
      <c r="A1052" s="15" t="n">
        <v>24121</v>
      </c>
      <c r="B1052" s="16" t="s">
        <v>17</v>
      </c>
      <c r="C1052" s="16" t="s">
        <v>2044</v>
      </c>
      <c r="D1052" s="16" t="s">
        <v>2091</v>
      </c>
      <c r="E1052" s="17" t="s">
        <v>2092</v>
      </c>
      <c r="F1052" s="16" t="n">
        <v>33.06337781</v>
      </c>
      <c r="G1052" s="16" t="n">
        <v>44.35924941</v>
      </c>
      <c r="H1052" s="18" t="n">
        <v>74</v>
      </c>
      <c r="I1052" s="18" t="n">
        <v>444</v>
      </c>
      <c r="J1052" s="19" t="n">
        <v>46</v>
      </c>
      <c r="K1052" s="19"/>
      <c r="L1052" s="19" t="n">
        <v>6</v>
      </c>
      <c r="M1052" s="19"/>
      <c r="N1052" s="19"/>
      <c r="O1052" s="19" t="n">
        <v>2</v>
      </c>
      <c r="P1052" s="19"/>
      <c r="Q1052" s="19"/>
      <c r="R1052" s="19"/>
      <c r="S1052" s="19"/>
      <c r="T1052" s="19"/>
      <c r="U1052" s="19"/>
      <c r="V1052" s="19" t="n">
        <v>17</v>
      </c>
      <c r="W1052" s="19"/>
      <c r="X1052" s="19" t="n">
        <v>3</v>
      </c>
      <c r="Y1052" s="19"/>
      <c r="Z1052" s="19"/>
      <c r="AA1052" s="19"/>
      <c r="AB1052" s="19"/>
      <c r="AC1052" s="19" t="n">
        <v>14</v>
      </c>
      <c r="AD1052" s="19"/>
      <c r="AE1052" s="19"/>
      <c r="AF1052" s="19"/>
      <c r="AG1052" s="19"/>
      <c r="AH1052" s="19" t="n">
        <v>60</v>
      </c>
      <c r="AI1052" s="19"/>
      <c r="AJ1052" s="19"/>
      <c r="AK1052" s="19"/>
      <c r="AL1052" s="19" t="n">
        <v>12</v>
      </c>
      <c r="AM1052" s="19" t="n">
        <v>16</v>
      </c>
      <c r="AN1052" s="19"/>
      <c r="AO1052" s="19" t="n">
        <v>12</v>
      </c>
      <c r="AP1052" s="19" t="n">
        <v>34</v>
      </c>
      <c r="AQ1052" s="19"/>
      <c r="AR1052" s="19"/>
      <c r="AS1052" s="20" t="str">
        <f aca="false">HYPERLINK("http://www.openstreetmap.org/?mlat=33.0634&amp;mlon=44.3592&amp;zoom=12#map=12/33.0634/44.3592","Maplink1")</f>
        <v>Maplink1</v>
      </c>
      <c r="AT1052" s="20" t="str">
        <f aca="false">HYPERLINK("https://www.google.iq/maps/search/+33.0634,44.3592/@33.0634,44.3592,14z?hl=en","Maplink2")</f>
        <v>Maplink2</v>
      </c>
      <c r="AU1052" s="20" t="str">
        <f aca="false">HYPERLINK("http://www.bing.com/maps/?lvl=14&amp;sty=h&amp;cp=33.0634~44.3592&amp;sp=point.33.0634_44.3592","Maplink3")</f>
        <v>Maplink3</v>
      </c>
    </row>
    <row r="1053" customFormat="false" ht="15" hidden="false" customHeight="true" outlineLevel="0" collapsed="false">
      <c r="A1053" s="15" t="n">
        <v>25143</v>
      </c>
      <c r="B1053" s="16" t="s">
        <v>17</v>
      </c>
      <c r="C1053" s="16" t="s">
        <v>2044</v>
      </c>
      <c r="D1053" s="16" t="s">
        <v>2093</v>
      </c>
      <c r="E1053" s="17" t="s">
        <v>2094</v>
      </c>
      <c r="F1053" s="16" t="n">
        <v>33.08241</v>
      </c>
      <c r="G1053" s="16" t="n">
        <v>44.25829</v>
      </c>
      <c r="H1053" s="18" t="n">
        <v>25</v>
      </c>
      <c r="I1053" s="18" t="n">
        <v>150</v>
      </c>
      <c r="J1053" s="19" t="n">
        <v>25</v>
      </c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 t="n">
        <v>10</v>
      </c>
      <c r="AD1053" s="19"/>
      <c r="AE1053" s="19"/>
      <c r="AF1053" s="19"/>
      <c r="AG1053" s="19"/>
      <c r="AH1053" s="19" t="n">
        <v>15</v>
      </c>
      <c r="AI1053" s="19"/>
      <c r="AJ1053" s="19"/>
      <c r="AK1053" s="19"/>
      <c r="AL1053" s="19"/>
      <c r="AM1053" s="19"/>
      <c r="AN1053" s="19"/>
      <c r="AO1053" s="19"/>
      <c r="AP1053" s="19" t="n">
        <v>25</v>
      </c>
      <c r="AQ1053" s="19"/>
      <c r="AR1053" s="19"/>
      <c r="AS1053" s="20" t="str">
        <f aca="false">HYPERLINK("http://www.openstreetmap.org/?mlat=33.0824&amp;mlon=44.2583&amp;zoom=12#map=12/33.0824/44.2583","Maplink1")</f>
        <v>Maplink1</v>
      </c>
      <c r="AT1053" s="20" t="str">
        <f aca="false">HYPERLINK("https://www.google.iq/maps/search/+33.0824,44.2583/@33.0824,44.2583,14z?hl=en","Maplink2")</f>
        <v>Maplink2</v>
      </c>
      <c r="AU1053" s="20" t="str">
        <f aca="false">HYPERLINK("http://www.bing.com/maps/?lvl=14&amp;sty=h&amp;cp=33.0824~44.2583&amp;sp=point.33.0824_44.2583","Maplink3")</f>
        <v>Maplink3</v>
      </c>
    </row>
    <row r="1054" customFormat="false" ht="15" hidden="false" customHeight="true" outlineLevel="0" collapsed="false">
      <c r="A1054" s="15" t="n">
        <v>27252</v>
      </c>
      <c r="B1054" s="16" t="s">
        <v>17</v>
      </c>
      <c r="C1054" s="16" t="s">
        <v>2044</v>
      </c>
      <c r="D1054" s="16" t="s">
        <v>2095</v>
      </c>
      <c r="E1054" s="17" t="s">
        <v>442</v>
      </c>
      <c r="F1054" s="16" t="n">
        <v>33.0702</v>
      </c>
      <c r="G1054" s="16" t="n">
        <v>44.355</v>
      </c>
      <c r="H1054" s="18" t="n">
        <v>63</v>
      </c>
      <c r="I1054" s="18" t="n">
        <v>378</v>
      </c>
      <c r="J1054" s="19" t="n">
        <v>35</v>
      </c>
      <c r="K1054" s="19"/>
      <c r="L1054" s="19" t="n">
        <v>10</v>
      </c>
      <c r="M1054" s="19"/>
      <c r="N1054" s="19"/>
      <c r="O1054" s="19" t="n">
        <v>10</v>
      </c>
      <c r="P1054" s="19"/>
      <c r="Q1054" s="19"/>
      <c r="R1054" s="19"/>
      <c r="S1054" s="19"/>
      <c r="T1054" s="19"/>
      <c r="U1054" s="19"/>
      <c r="V1054" s="19"/>
      <c r="W1054" s="19"/>
      <c r="X1054" s="19" t="n">
        <v>8</v>
      </c>
      <c r="Y1054" s="19"/>
      <c r="Z1054" s="19"/>
      <c r="AA1054" s="19"/>
      <c r="AB1054" s="19"/>
      <c r="AC1054" s="19" t="n">
        <v>22</v>
      </c>
      <c r="AD1054" s="19"/>
      <c r="AE1054" s="19"/>
      <c r="AF1054" s="19"/>
      <c r="AG1054" s="19"/>
      <c r="AH1054" s="19" t="n">
        <v>41</v>
      </c>
      <c r="AI1054" s="19"/>
      <c r="AJ1054" s="19"/>
      <c r="AK1054" s="19"/>
      <c r="AL1054" s="19"/>
      <c r="AM1054" s="19" t="n">
        <v>23</v>
      </c>
      <c r="AN1054" s="19" t="n">
        <v>5</v>
      </c>
      <c r="AO1054" s="19"/>
      <c r="AP1054" s="19" t="n">
        <v>24</v>
      </c>
      <c r="AQ1054" s="19" t="n">
        <v>11</v>
      </c>
      <c r="AR1054" s="19"/>
      <c r="AS1054" s="20" t="str">
        <f aca="false">HYPERLINK("http://www.openstreetmap.org/?mlat=33.0702&amp;mlon=44.355&amp;zoom=12#map=12/33.0702/44.355","Maplink1")</f>
        <v>Maplink1</v>
      </c>
      <c r="AT1054" s="20" t="str">
        <f aca="false">HYPERLINK("https://www.google.iq/maps/search/+33.0702,44.355/@33.0702,44.355,14z?hl=en","Maplink2")</f>
        <v>Maplink2</v>
      </c>
      <c r="AU1054" s="20" t="str">
        <f aca="false">HYPERLINK("http://www.bing.com/maps/?lvl=14&amp;sty=h&amp;cp=33.0702~44.355&amp;sp=point.33.0702_44.355","Maplink3")</f>
        <v>Maplink3</v>
      </c>
    </row>
    <row r="1055" customFormat="false" ht="15" hidden="false" customHeight="true" outlineLevel="0" collapsed="false">
      <c r="A1055" s="15" t="n">
        <v>25144</v>
      </c>
      <c r="B1055" s="16" t="s">
        <v>17</v>
      </c>
      <c r="C1055" s="16" t="s">
        <v>2044</v>
      </c>
      <c r="D1055" s="16" t="s">
        <v>2096</v>
      </c>
      <c r="E1055" s="17" t="s">
        <v>2097</v>
      </c>
      <c r="F1055" s="16" t="n">
        <v>33.08565</v>
      </c>
      <c r="G1055" s="16" t="n">
        <v>44.25155</v>
      </c>
      <c r="H1055" s="18" t="n">
        <v>38</v>
      </c>
      <c r="I1055" s="18" t="n">
        <v>228</v>
      </c>
      <c r="J1055" s="19" t="n">
        <v>23</v>
      </c>
      <c r="K1055" s="19" t="n">
        <v>15</v>
      </c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 t="n">
        <v>15</v>
      </c>
      <c r="AD1055" s="19"/>
      <c r="AE1055" s="19"/>
      <c r="AF1055" s="19"/>
      <c r="AG1055" s="19"/>
      <c r="AH1055" s="19" t="n">
        <v>23</v>
      </c>
      <c r="AI1055" s="19"/>
      <c r="AJ1055" s="19"/>
      <c r="AK1055" s="19"/>
      <c r="AL1055" s="19"/>
      <c r="AM1055" s="19"/>
      <c r="AN1055" s="19" t="n">
        <v>15</v>
      </c>
      <c r="AO1055" s="19"/>
      <c r="AP1055" s="19" t="n">
        <v>23</v>
      </c>
      <c r="AQ1055" s="19"/>
      <c r="AR1055" s="19"/>
      <c r="AS1055" s="20" t="str">
        <f aca="false">HYPERLINK("http://www.openstreetmap.org/?mlat=33.0857&amp;mlon=44.2516&amp;zoom=12#map=12/33.0857/44.2516","Maplink1")</f>
        <v>Maplink1</v>
      </c>
      <c r="AT1055" s="20" t="str">
        <f aca="false">HYPERLINK("https://www.google.iq/maps/search/+33.0857,44.2516/@33.0857,44.2516,14z?hl=en","Maplink2")</f>
        <v>Maplink2</v>
      </c>
      <c r="AU1055" s="20" t="str">
        <f aca="false">HYPERLINK("http://www.bing.com/maps/?lvl=14&amp;sty=h&amp;cp=33.0857~44.2516&amp;sp=point.33.0857_44.2516","Maplink3")</f>
        <v>Maplink3</v>
      </c>
    </row>
    <row r="1056" customFormat="false" ht="15" hidden="false" customHeight="true" outlineLevel="0" collapsed="false">
      <c r="A1056" s="15" t="n">
        <v>29523</v>
      </c>
      <c r="B1056" s="16" t="s">
        <v>17</v>
      </c>
      <c r="C1056" s="16" t="s">
        <v>2044</v>
      </c>
      <c r="D1056" s="16" t="s">
        <v>2098</v>
      </c>
      <c r="E1056" s="17" t="s">
        <v>2099</v>
      </c>
      <c r="F1056" s="16" t="n">
        <v>33.06423</v>
      </c>
      <c r="G1056" s="16" t="n">
        <v>44.23317</v>
      </c>
      <c r="H1056" s="18" t="n">
        <v>123</v>
      </c>
      <c r="I1056" s="18" t="n">
        <v>738</v>
      </c>
      <c r="J1056" s="19" t="n">
        <v>20</v>
      </c>
      <c r="K1056" s="19" t="n">
        <v>103</v>
      </c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 t="n">
        <v>43</v>
      </c>
      <c r="AD1056" s="19"/>
      <c r="AE1056" s="19"/>
      <c r="AF1056" s="19"/>
      <c r="AG1056" s="19"/>
      <c r="AH1056" s="19" t="n">
        <v>80</v>
      </c>
      <c r="AI1056" s="19"/>
      <c r="AJ1056" s="19"/>
      <c r="AK1056" s="19"/>
      <c r="AL1056" s="19"/>
      <c r="AM1056" s="19"/>
      <c r="AN1056" s="19" t="n">
        <v>103</v>
      </c>
      <c r="AO1056" s="19"/>
      <c r="AP1056" s="19" t="n">
        <v>20</v>
      </c>
      <c r="AQ1056" s="19"/>
      <c r="AR1056" s="19"/>
      <c r="AS1056" s="20" t="str">
        <f aca="false">HYPERLINK("http://www.openstreetmap.org/?mlat=33.0642&amp;mlon=44.2332&amp;zoom=12#map=12/33.0642/44.2332","Maplink1")</f>
        <v>Maplink1</v>
      </c>
      <c r="AT1056" s="20" t="str">
        <f aca="false">HYPERLINK("https://www.google.iq/maps/search/+33.0642,44.2332/@33.0642,44.2332,14z?hl=en","Maplink2")</f>
        <v>Maplink2</v>
      </c>
      <c r="AU1056" s="20" t="str">
        <f aca="false">HYPERLINK("http://www.bing.com/maps/?lvl=14&amp;sty=h&amp;cp=33.0642~44.2332&amp;sp=point.33.0642_44.2332","Maplink3")</f>
        <v>Maplink3</v>
      </c>
    </row>
    <row r="1057" customFormat="false" ht="15" hidden="false" customHeight="true" outlineLevel="0" collapsed="false">
      <c r="A1057" s="15" t="n">
        <v>25142</v>
      </c>
      <c r="B1057" s="16" t="s">
        <v>17</v>
      </c>
      <c r="C1057" s="16" t="s">
        <v>2044</v>
      </c>
      <c r="D1057" s="16" t="s">
        <v>2100</v>
      </c>
      <c r="E1057" s="17" t="s">
        <v>2101</v>
      </c>
      <c r="F1057" s="16" t="n">
        <v>33.08116</v>
      </c>
      <c r="G1057" s="16" t="n">
        <v>44.25983</v>
      </c>
      <c r="H1057" s="18" t="n">
        <v>32</v>
      </c>
      <c r="I1057" s="18" t="n">
        <v>192</v>
      </c>
      <c r="J1057" s="19" t="n">
        <v>32</v>
      </c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 t="n">
        <v>12</v>
      </c>
      <c r="AD1057" s="19"/>
      <c r="AE1057" s="19"/>
      <c r="AF1057" s="19"/>
      <c r="AG1057" s="19"/>
      <c r="AH1057" s="19" t="n">
        <v>20</v>
      </c>
      <c r="AI1057" s="19"/>
      <c r="AJ1057" s="19"/>
      <c r="AK1057" s="19"/>
      <c r="AL1057" s="19"/>
      <c r="AM1057" s="19"/>
      <c r="AN1057" s="19" t="n">
        <v>13</v>
      </c>
      <c r="AO1057" s="19"/>
      <c r="AP1057" s="19" t="n">
        <v>19</v>
      </c>
      <c r="AQ1057" s="19"/>
      <c r="AR1057" s="19"/>
      <c r="AS1057" s="20" t="str">
        <f aca="false">HYPERLINK("http://www.openstreetmap.org/?mlat=33.0812&amp;mlon=44.2598&amp;zoom=12#map=12/33.0812/44.2598","Maplink1")</f>
        <v>Maplink1</v>
      </c>
      <c r="AT1057" s="20" t="str">
        <f aca="false">HYPERLINK("https://www.google.iq/maps/search/+33.0812,44.2598/@33.0812,44.2598,14z?hl=en","Maplink2")</f>
        <v>Maplink2</v>
      </c>
      <c r="AU1057" s="20" t="str">
        <f aca="false">HYPERLINK("http://www.bing.com/maps/?lvl=14&amp;sty=h&amp;cp=33.0812~44.2598&amp;sp=point.33.0812_44.2598","Maplink3")</f>
        <v>Maplink3</v>
      </c>
    </row>
    <row r="1058" customFormat="false" ht="15" hidden="false" customHeight="true" outlineLevel="0" collapsed="false">
      <c r="A1058" s="15" t="n">
        <v>7733</v>
      </c>
      <c r="B1058" s="16" t="s">
        <v>17</v>
      </c>
      <c r="C1058" s="16" t="s">
        <v>2044</v>
      </c>
      <c r="D1058" s="16" t="s">
        <v>2102</v>
      </c>
      <c r="E1058" s="17" t="s">
        <v>314</v>
      </c>
      <c r="F1058" s="16" t="n">
        <v>33.01648787</v>
      </c>
      <c r="G1058" s="16" t="n">
        <v>44.34009462</v>
      </c>
      <c r="H1058" s="18" t="n">
        <v>142</v>
      </c>
      <c r="I1058" s="18" t="n">
        <v>852</v>
      </c>
      <c r="J1058" s="19" t="n">
        <v>9</v>
      </c>
      <c r="K1058" s="19" t="n">
        <v>79</v>
      </c>
      <c r="L1058" s="19" t="n">
        <v>54</v>
      </c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 t="n">
        <v>82</v>
      </c>
      <c r="AD1058" s="19"/>
      <c r="AE1058" s="19"/>
      <c r="AF1058" s="19"/>
      <c r="AG1058" s="19"/>
      <c r="AH1058" s="19" t="n">
        <v>60</v>
      </c>
      <c r="AI1058" s="19"/>
      <c r="AJ1058" s="19"/>
      <c r="AK1058" s="19"/>
      <c r="AL1058" s="19"/>
      <c r="AM1058" s="19"/>
      <c r="AN1058" s="19" t="n">
        <v>51</v>
      </c>
      <c r="AO1058" s="19" t="n">
        <v>77</v>
      </c>
      <c r="AP1058" s="19" t="n">
        <v>14</v>
      </c>
      <c r="AQ1058" s="19"/>
      <c r="AR1058" s="19"/>
      <c r="AS1058" s="20" t="str">
        <f aca="false">HYPERLINK("http://www.openstreetmap.org/?mlat=33.0165&amp;mlon=44.3401&amp;zoom=12#map=12/33.0165/44.3401","Maplink1")</f>
        <v>Maplink1</v>
      </c>
      <c r="AT1058" s="20" t="str">
        <f aca="false">HYPERLINK("https://www.google.iq/maps/search/+33.0165,44.3401/@33.0165,44.3401,14z?hl=en","Maplink2")</f>
        <v>Maplink2</v>
      </c>
      <c r="AU1058" s="20" t="str">
        <f aca="false">HYPERLINK("http://www.bing.com/maps/?lvl=14&amp;sty=h&amp;cp=33.0165~44.3401&amp;sp=point.33.0165_44.3401","Maplink3")</f>
        <v>Maplink3</v>
      </c>
    </row>
    <row r="1059" customFormat="false" ht="15" hidden="false" customHeight="true" outlineLevel="0" collapsed="false">
      <c r="A1059" s="15" t="n">
        <v>7615</v>
      </c>
      <c r="B1059" s="16" t="s">
        <v>17</v>
      </c>
      <c r="C1059" s="16" t="s">
        <v>2044</v>
      </c>
      <c r="D1059" s="16" t="s">
        <v>2103</v>
      </c>
      <c r="E1059" s="17" t="s">
        <v>79</v>
      </c>
      <c r="F1059" s="16" t="n">
        <v>32.96268532</v>
      </c>
      <c r="G1059" s="16" t="n">
        <v>44.35861748</v>
      </c>
      <c r="H1059" s="18" t="n">
        <v>51</v>
      </c>
      <c r="I1059" s="18" t="n">
        <v>306</v>
      </c>
      <c r="J1059" s="19"/>
      <c r="K1059" s="19" t="n">
        <v>48</v>
      </c>
      <c r="L1059" s="19" t="n">
        <v>3</v>
      </c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 t="n">
        <v>35</v>
      </c>
      <c r="AD1059" s="19"/>
      <c r="AE1059" s="19"/>
      <c r="AF1059" s="19"/>
      <c r="AG1059" s="19"/>
      <c r="AH1059" s="19" t="n">
        <v>16</v>
      </c>
      <c r="AI1059" s="19"/>
      <c r="AJ1059" s="19"/>
      <c r="AK1059" s="19"/>
      <c r="AL1059" s="19"/>
      <c r="AM1059" s="19" t="n">
        <v>8</v>
      </c>
      <c r="AN1059" s="19" t="n">
        <v>23</v>
      </c>
      <c r="AO1059" s="19" t="n">
        <v>20</v>
      </c>
      <c r="AP1059" s="19"/>
      <c r="AQ1059" s="19"/>
      <c r="AR1059" s="19"/>
      <c r="AS1059" s="20" t="str">
        <f aca="false">HYPERLINK("http://www.openstreetmap.org/?mlat=32.9627&amp;mlon=44.3586&amp;zoom=12#map=12/32.9627/44.3586","Maplink1")</f>
        <v>Maplink1</v>
      </c>
      <c r="AT1059" s="20" t="str">
        <f aca="false">HYPERLINK("https://www.google.iq/maps/search/+32.9627,44.3586/@32.9627,44.3586,14z?hl=en","Maplink2")</f>
        <v>Maplink2</v>
      </c>
      <c r="AU1059" s="20" t="str">
        <f aca="false">HYPERLINK("http://www.bing.com/maps/?lvl=14&amp;sty=h&amp;cp=32.9627~44.3586&amp;sp=point.32.9627_44.3586","Maplink3")</f>
        <v>Maplink3</v>
      </c>
    </row>
    <row r="1060" customFormat="false" ht="15" hidden="false" customHeight="true" outlineLevel="0" collapsed="false">
      <c r="A1060" s="15" t="n">
        <v>24091</v>
      </c>
      <c r="B1060" s="16" t="s">
        <v>17</v>
      </c>
      <c r="C1060" s="16" t="s">
        <v>2044</v>
      </c>
      <c r="D1060" s="16" t="s">
        <v>2104</v>
      </c>
      <c r="E1060" s="17" t="s">
        <v>2105</v>
      </c>
      <c r="F1060" s="16" t="n">
        <v>33.05651756</v>
      </c>
      <c r="G1060" s="16" t="n">
        <v>44.35811339</v>
      </c>
      <c r="H1060" s="18" t="n">
        <v>70</v>
      </c>
      <c r="I1060" s="18" t="n">
        <v>420</v>
      </c>
      <c r="J1060" s="19" t="n">
        <v>58</v>
      </c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 t="n">
        <v>2</v>
      </c>
      <c r="W1060" s="19"/>
      <c r="X1060" s="19" t="n">
        <v>10</v>
      </c>
      <c r="Y1060" s="19"/>
      <c r="Z1060" s="19"/>
      <c r="AA1060" s="19"/>
      <c r="AB1060" s="19"/>
      <c r="AC1060" s="19" t="n">
        <v>28</v>
      </c>
      <c r="AD1060" s="19"/>
      <c r="AE1060" s="19"/>
      <c r="AF1060" s="19"/>
      <c r="AG1060" s="19"/>
      <c r="AH1060" s="19" t="n">
        <v>42</v>
      </c>
      <c r="AI1060" s="19"/>
      <c r="AJ1060" s="19"/>
      <c r="AK1060" s="19"/>
      <c r="AL1060" s="19" t="n">
        <v>13</v>
      </c>
      <c r="AM1060" s="19"/>
      <c r="AN1060" s="19"/>
      <c r="AO1060" s="19" t="n">
        <v>12</v>
      </c>
      <c r="AP1060" s="19" t="n">
        <v>30</v>
      </c>
      <c r="AQ1060" s="19" t="n">
        <v>13</v>
      </c>
      <c r="AR1060" s="19" t="n">
        <v>2</v>
      </c>
      <c r="AS1060" s="20" t="str">
        <f aca="false">HYPERLINK("http://www.openstreetmap.org/?mlat=33.0565&amp;mlon=44.3581&amp;zoom=12#map=12/33.0565/44.3581","Maplink1")</f>
        <v>Maplink1</v>
      </c>
      <c r="AT1060" s="20" t="str">
        <f aca="false">HYPERLINK("https://www.google.iq/maps/search/+33.0565,44.3581/@33.0565,44.3581,14z?hl=en","Maplink2")</f>
        <v>Maplink2</v>
      </c>
      <c r="AU1060" s="20" t="str">
        <f aca="false">HYPERLINK("http://www.bing.com/maps/?lvl=14&amp;sty=h&amp;cp=33.0565~44.3581&amp;sp=point.33.0565_44.3581","Maplink3")</f>
        <v>Maplink3</v>
      </c>
    </row>
    <row r="1061" customFormat="false" ht="15" hidden="false" customHeight="true" outlineLevel="0" collapsed="false">
      <c r="A1061" s="15" t="n">
        <v>7616</v>
      </c>
      <c r="B1061" s="16" t="s">
        <v>17</v>
      </c>
      <c r="C1061" s="16" t="s">
        <v>2044</v>
      </c>
      <c r="D1061" s="16" t="s">
        <v>2106</v>
      </c>
      <c r="E1061" s="17" t="s">
        <v>581</v>
      </c>
      <c r="F1061" s="16" t="n">
        <v>33.08121944</v>
      </c>
      <c r="G1061" s="16" t="n">
        <v>44.25509145</v>
      </c>
      <c r="H1061" s="18" t="n">
        <v>39</v>
      </c>
      <c r="I1061" s="18" t="n">
        <v>234</v>
      </c>
      <c r="J1061" s="19" t="n">
        <v>24</v>
      </c>
      <c r="K1061" s="19" t="n">
        <v>15</v>
      </c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 t="n">
        <v>17</v>
      </c>
      <c r="AD1061" s="19"/>
      <c r="AE1061" s="19"/>
      <c r="AF1061" s="19"/>
      <c r="AG1061" s="19"/>
      <c r="AH1061" s="19" t="n">
        <v>22</v>
      </c>
      <c r="AI1061" s="19"/>
      <c r="AJ1061" s="19"/>
      <c r="AK1061" s="19"/>
      <c r="AL1061" s="19"/>
      <c r="AM1061" s="19"/>
      <c r="AN1061" s="19" t="n">
        <v>15</v>
      </c>
      <c r="AO1061" s="19"/>
      <c r="AP1061" s="19" t="n">
        <v>24</v>
      </c>
      <c r="AQ1061" s="19"/>
      <c r="AR1061" s="19"/>
      <c r="AS1061" s="20" t="str">
        <f aca="false">HYPERLINK("http://www.openstreetmap.org/?mlat=33.0812&amp;mlon=44.2551&amp;zoom=12#map=12/33.0812/44.2551","Maplink1")</f>
        <v>Maplink1</v>
      </c>
      <c r="AT1061" s="20" t="str">
        <f aca="false">HYPERLINK("https://www.google.iq/maps/search/+33.0812,44.2551/@33.0812,44.2551,14z?hl=en","Maplink2")</f>
        <v>Maplink2</v>
      </c>
      <c r="AU1061" s="20" t="str">
        <f aca="false">HYPERLINK("http://www.bing.com/maps/?lvl=14&amp;sty=h&amp;cp=33.0812~44.2551&amp;sp=point.33.0812_44.2551","Maplink3")</f>
        <v>Maplink3</v>
      </c>
    </row>
    <row r="1062" customFormat="false" ht="15" hidden="false" customHeight="true" outlineLevel="0" collapsed="false">
      <c r="A1062" s="15" t="n">
        <v>7752</v>
      </c>
      <c r="B1062" s="16" t="s">
        <v>17</v>
      </c>
      <c r="C1062" s="16" t="s">
        <v>2044</v>
      </c>
      <c r="D1062" s="16" t="s">
        <v>96</v>
      </c>
      <c r="E1062" s="17" t="s">
        <v>97</v>
      </c>
      <c r="F1062" s="16" t="n">
        <v>33.178045</v>
      </c>
      <c r="G1062" s="16" t="n">
        <v>44.36727469</v>
      </c>
      <c r="H1062" s="18" t="n">
        <v>7</v>
      </c>
      <c r="I1062" s="18" t="n">
        <v>42</v>
      </c>
      <c r="J1062" s="19" t="n">
        <v>7</v>
      </c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 t="n">
        <v>7</v>
      </c>
      <c r="AD1062" s="19"/>
      <c r="AE1062" s="19"/>
      <c r="AF1062" s="19"/>
      <c r="AG1062" s="19"/>
      <c r="AH1062" s="19"/>
      <c r="AI1062" s="19"/>
      <c r="AJ1062" s="19"/>
      <c r="AK1062" s="19"/>
      <c r="AL1062" s="19" t="n">
        <v>7</v>
      </c>
      <c r="AM1062" s="19"/>
      <c r="AN1062" s="19"/>
      <c r="AO1062" s="19"/>
      <c r="AP1062" s="19"/>
      <c r="AQ1062" s="19"/>
      <c r="AR1062" s="19"/>
      <c r="AS1062" s="20" t="str">
        <f aca="false">HYPERLINK("http://www.openstreetmap.org/?mlat=33.178&amp;mlon=44.3673&amp;zoom=12#map=12/33.178/44.3673","Maplink1")</f>
        <v>Maplink1</v>
      </c>
      <c r="AT1062" s="20" t="str">
        <f aca="false">HYPERLINK("https://www.google.iq/maps/search/+33.178,44.3673/@33.178,44.3673,14z?hl=en","Maplink2")</f>
        <v>Maplink2</v>
      </c>
      <c r="AU1062" s="20" t="str">
        <f aca="false">HYPERLINK("http://www.bing.com/maps/?lvl=14&amp;sty=h&amp;cp=33.178~44.3673&amp;sp=point.33.178_44.3673","Maplink3")</f>
        <v>Maplink3</v>
      </c>
    </row>
    <row r="1063" customFormat="false" ht="15" hidden="false" customHeight="true" outlineLevel="0" collapsed="false">
      <c r="A1063" s="15" t="n">
        <v>27321</v>
      </c>
      <c r="B1063" s="16" t="s">
        <v>17</v>
      </c>
      <c r="C1063" s="16" t="s">
        <v>2044</v>
      </c>
      <c r="D1063" s="16" t="s">
        <v>2107</v>
      </c>
      <c r="E1063" s="17" t="s">
        <v>2027</v>
      </c>
      <c r="F1063" s="16" t="n">
        <v>33.1183166</v>
      </c>
      <c r="G1063" s="16" t="n">
        <v>44.36832471</v>
      </c>
      <c r="H1063" s="18" t="n">
        <v>16</v>
      </c>
      <c r="I1063" s="18" t="n">
        <v>96</v>
      </c>
      <c r="J1063" s="19" t="n">
        <v>11</v>
      </c>
      <c r="K1063" s="19" t="n">
        <v>3</v>
      </c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 t="n">
        <v>2</v>
      </c>
      <c r="Y1063" s="19"/>
      <c r="Z1063" s="19"/>
      <c r="AA1063" s="19"/>
      <c r="AB1063" s="19"/>
      <c r="AC1063" s="19" t="n">
        <v>5</v>
      </c>
      <c r="AD1063" s="19"/>
      <c r="AE1063" s="19"/>
      <c r="AF1063" s="19"/>
      <c r="AG1063" s="19"/>
      <c r="AH1063" s="19" t="n">
        <v>11</v>
      </c>
      <c r="AI1063" s="19"/>
      <c r="AJ1063" s="19"/>
      <c r="AK1063" s="19"/>
      <c r="AL1063" s="19"/>
      <c r="AM1063" s="19"/>
      <c r="AN1063" s="19" t="n">
        <v>9</v>
      </c>
      <c r="AO1063" s="19"/>
      <c r="AP1063" s="19" t="n">
        <v>7</v>
      </c>
      <c r="AQ1063" s="19"/>
      <c r="AR1063" s="19"/>
      <c r="AS1063" s="20" t="str">
        <f aca="false">HYPERLINK("http://www.openstreetmap.org/?mlat=33.1183&amp;mlon=44.3683&amp;zoom=12#map=12/33.1183/44.3683","Maplink1")</f>
        <v>Maplink1</v>
      </c>
      <c r="AT1063" s="20" t="str">
        <f aca="false">HYPERLINK("https://www.google.iq/maps/search/+33.1183,44.3683/@33.1183,44.3683,14z?hl=en","Maplink2")</f>
        <v>Maplink2</v>
      </c>
      <c r="AU1063" s="20" t="str">
        <f aca="false">HYPERLINK("http://www.bing.com/maps/?lvl=14&amp;sty=h&amp;cp=33.1183~44.3683&amp;sp=point.33.1183_44.3683","Maplink3")</f>
        <v>Maplink3</v>
      </c>
    </row>
    <row r="1064" customFormat="false" ht="15" hidden="false" customHeight="true" outlineLevel="0" collapsed="false">
      <c r="A1064" s="15" t="n">
        <v>27322</v>
      </c>
      <c r="B1064" s="16" t="s">
        <v>17</v>
      </c>
      <c r="C1064" s="16" t="s">
        <v>2044</v>
      </c>
      <c r="D1064" s="16" t="s">
        <v>2108</v>
      </c>
      <c r="E1064" s="17" t="s">
        <v>2109</v>
      </c>
      <c r="F1064" s="16" t="n">
        <v>33.1242032</v>
      </c>
      <c r="G1064" s="16" t="n">
        <v>44.36559852</v>
      </c>
      <c r="H1064" s="18" t="n">
        <v>22</v>
      </c>
      <c r="I1064" s="18" t="n">
        <v>132</v>
      </c>
      <c r="J1064" s="19" t="n">
        <v>22</v>
      </c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 t="n">
        <v>8</v>
      </c>
      <c r="AD1064" s="19"/>
      <c r="AE1064" s="19"/>
      <c r="AF1064" s="19"/>
      <c r="AG1064" s="19"/>
      <c r="AH1064" s="19" t="n">
        <v>14</v>
      </c>
      <c r="AI1064" s="19"/>
      <c r="AJ1064" s="19"/>
      <c r="AK1064" s="19"/>
      <c r="AL1064" s="19" t="n">
        <v>9</v>
      </c>
      <c r="AM1064" s="19"/>
      <c r="AN1064" s="19"/>
      <c r="AO1064" s="19" t="n">
        <v>3</v>
      </c>
      <c r="AP1064" s="19" t="n">
        <v>10</v>
      </c>
      <c r="AQ1064" s="19"/>
      <c r="AR1064" s="19"/>
      <c r="AS1064" s="20" t="str">
        <f aca="false">HYPERLINK("http://www.openstreetmap.org/?mlat=33.1242&amp;mlon=44.3656&amp;zoom=12#map=12/33.1242/44.3656","Maplink1")</f>
        <v>Maplink1</v>
      </c>
      <c r="AT1064" s="20" t="str">
        <f aca="false">HYPERLINK("https://www.google.iq/maps/search/+33.1242,44.3656/@33.1242,44.3656,14z?hl=en","Maplink2")</f>
        <v>Maplink2</v>
      </c>
      <c r="AU1064" s="20" t="str">
        <f aca="false">HYPERLINK("http://www.bing.com/maps/?lvl=14&amp;sty=h&amp;cp=33.1242~44.3656&amp;sp=point.33.1242_44.3656","Maplink3")</f>
        <v>Maplink3</v>
      </c>
    </row>
    <row r="1065" customFormat="false" ht="15" hidden="false" customHeight="true" outlineLevel="0" collapsed="false">
      <c r="A1065" s="15" t="n">
        <v>7758</v>
      </c>
      <c r="B1065" s="16" t="s">
        <v>17</v>
      </c>
      <c r="C1065" s="16" t="s">
        <v>2044</v>
      </c>
      <c r="D1065" s="16" t="s">
        <v>2110</v>
      </c>
      <c r="E1065" s="17" t="s">
        <v>2033</v>
      </c>
      <c r="F1065" s="16" t="n">
        <v>33.09383129</v>
      </c>
      <c r="G1065" s="16" t="n">
        <v>44.36872703</v>
      </c>
      <c r="H1065" s="18" t="n">
        <v>44</v>
      </c>
      <c r="I1065" s="18" t="n">
        <v>264</v>
      </c>
      <c r="J1065" s="19" t="n">
        <v>32</v>
      </c>
      <c r="K1065" s="19"/>
      <c r="L1065" s="19" t="n">
        <v>6</v>
      </c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 t="n">
        <v>6</v>
      </c>
      <c r="Y1065" s="19"/>
      <c r="Z1065" s="19"/>
      <c r="AA1065" s="19"/>
      <c r="AB1065" s="19"/>
      <c r="AC1065" s="19" t="n">
        <v>15</v>
      </c>
      <c r="AD1065" s="19"/>
      <c r="AE1065" s="19"/>
      <c r="AF1065" s="19"/>
      <c r="AG1065" s="19"/>
      <c r="AH1065" s="19" t="n">
        <v>29</v>
      </c>
      <c r="AI1065" s="19"/>
      <c r="AJ1065" s="19"/>
      <c r="AK1065" s="19"/>
      <c r="AL1065" s="19" t="n">
        <v>3</v>
      </c>
      <c r="AM1065" s="19" t="n">
        <v>16</v>
      </c>
      <c r="AN1065" s="19"/>
      <c r="AO1065" s="19"/>
      <c r="AP1065" s="19" t="n">
        <v>25</v>
      </c>
      <c r="AQ1065" s="19"/>
      <c r="AR1065" s="19"/>
      <c r="AS1065" s="20" t="str">
        <f aca="false">HYPERLINK("http://www.openstreetmap.org/?mlat=33.0938&amp;mlon=44.3687&amp;zoom=12#map=12/33.0938/44.3687","Maplink1")</f>
        <v>Maplink1</v>
      </c>
      <c r="AT1065" s="20" t="str">
        <f aca="false">HYPERLINK("https://www.google.iq/maps/search/+33.0938,44.3687/@33.0938,44.3687,14z?hl=en","Maplink2")</f>
        <v>Maplink2</v>
      </c>
      <c r="AU1065" s="20" t="str">
        <f aca="false">HYPERLINK("http://www.bing.com/maps/?lvl=14&amp;sty=h&amp;cp=33.0938~44.3687&amp;sp=point.33.0938_44.3687","Maplink3")</f>
        <v>Maplink3</v>
      </c>
    </row>
    <row r="1066" customFormat="false" ht="15" hidden="false" customHeight="true" outlineLevel="0" collapsed="false">
      <c r="A1066" s="15" t="n">
        <v>25153</v>
      </c>
      <c r="B1066" s="16" t="s">
        <v>17</v>
      </c>
      <c r="C1066" s="16" t="s">
        <v>2044</v>
      </c>
      <c r="D1066" s="16" t="s">
        <v>2111</v>
      </c>
      <c r="E1066" s="17" t="s">
        <v>2112</v>
      </c>
      <c r="F1066" s="16" t="n">
        <v>32.94431201</v>
      </c>
      <c r="G1066" s="16" t="n">
        <v>44.35577996</v>
      </c>
      <c r="H1066" s="18" t="n">
        <v>4</v>
      </c>
      <c r="I1066" s="18" t="n">
        <v>24</v>
      </c>
      <c r="J1066" s="19"/>
      <c r="K1066" s="19" t="n">
        <v>4</v>
      </c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 t="n">
        <v>4</v>
      </c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 t="n">
        <v>4</v>
      </c>
      <c r="AO1066" s="19"/>
      <c r="AP1066" s="19"/>
      <c r="AQ1066" s="19"/>
      <c r="AR1066" s="19"/>
      <c r="AS1066" s="20" t="str">
        <f aca="false">HYPERLINK("http://www.openstreetmap.org/?mlat=32.9443&amp;mlon=44.3558&amp;zoom=12#map=12/32.9443/44.3558","Maplink1")</f>
        <v>Maplink1</v>
      </c>
      <c r="AT1066" s="20" t="str">
        <f aca="false">HYPERLINK("https://www.google.iq/maps/search/+32.9443,44.3558/@32.9443,44.3558,14z?hl=en","Maplink2")</f>
        <v>Maplink2</v>
      </c>
      <c r="AU1066" s="20" t="str">
        <f aca="false">HYPERLINK("http://www.bing.com/maps/?lvl=14&amp;sty=h&amp;cp=32.9443~44.3558&amp;sp=point.32.9443_44.3558","Maplink3")</f>
        <v>Maplink3</v>
      </c>
    </row>
    <row r="1067" customFormat="false" ht="15" hidden="false" customHeight="true" outlineLevel="0" collapsed="false">
      <c r="A1067" s="15" t="n">
        <v>25152</v>
      </c>
      <c r="B1067" s="16" t="s">
        <v>17</v>
      </c>
      <c r="C1067" s="16" t="s">
        <v>2044</v>
      </c>
      <c r="D1067" s="16" t="s">
        <v>359</v>
      </c>
      <c r="E1067" s="17" t="s">
        <v>360</v>
      </c>
      <c r="F1067" s="16" t="n">
        <v>32.95973084</v>
      </c>
      <c r="G1067" s="16" t="n">
        <v>44.33642855</v>
      </c>
      <c r="H1067" s="18" t="n">
        <v>250</v>
      </c>
      <c r="I1067" s="18" t="n">
        <v>1500</v>
      </c>
      <c r="J1067" s="19" t="n">
        <v>10</v>
      </c>
      <c r="K1067" s="19" t="n">
        <v>198</v>
      </c>
      <c r="L1067" s="19" t="n">
        <v>39</v>
      </c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 t="n">
        <v>3</v>
      </c>
      <c r="Y1067" s="19"/>
      <c r="Z1067" s="19"/>
      <c r="AA1067" s="19"/>
      <c r="AB1067" s="19"/>
      <c r="AC1067" s="19" t="n">
        <v>170</v>
      </c>
      <c r="AD1067" s="19"/>
      <c r="AE1067" s="19"/>
      <c r="AF1067" s="19"/>
      <c r="AG1067" s="19"/>
      <c r="AH1067" s="19" t="n">
        <v>80</v>
      </c>
      <c r="AI1067" s="19"/>
      <c r="AJ1067" s="19"/>
      <c r="AK1067" s="19"/>
      <c r="AL1067" s="19"/>
      <c r="AM1067" s="19"/>
      <c r="AN1067" s="19" t="n">
        <v>169</v>
      </c>
      <c r="AO1067" s="19" t="n">
        <v>60</v>
      </c>
      <c r="AP1067" s="19" t="n">
        <v>21</v>
      </c>
      <c r="AQ1067" s="19"/>
      <c r="AR1067" s="19"/>
      <c r="AS1067" s="20" t="str">
        <f aca="false">HYPERLINK("http://www.openstreetmap.org/?mlat=32.9597&amp;mlon=44.3364&amp;zoom=12#map=12/32.9597/44.3364","Maplink1")</f>
        <v>Maplink1</v>
      </c>
      <c r="AT1067" s="20" t="str">
        <f aca="false">HYPERLINK("https://www.google.iq/maps/search/+32.9597,44.3364/@32.9597,44.3364,14z?hl=en","Maplink2")</f>
        <v>Maplink2</v>
      </c>
      <c r="AU1067" s="20" t="str">
        <f aca="false">HYPERLINK("http://www.bing.com/maps/?lvl=14&amp;sty=h&amp;cp=32.9597~44.3364&amp;sp=point.32.9597_44.3364","Maplink3")</f>
        <v>Maplink3</v>
      </c>
    </row>
    <row r="1068" customFormat="false" ht="15" hidden="false" customHeight="true" outlineLevel="0" collapsed="false">
      <c r="A1068" s="15" t="n">
        <v>25154</v>
      </c>
      <c r="B1068" s="16" t="s">
        <v>17</v>
      </c>
      <c r="C1068" s="16" t="s">
        <v>2044</v>
      </c>
      <c r="D1068" s="16" t="s">
        <v>2113</v>
      </c>
      <c r="E1068" s="17" t="s">
        <v>2114</v>
      </c>
      <c r="F1068" s="16" t="n">
        <v>32.9575493</v>
      </c>
      <c r="G1068" s="16" t="n">
        <v>44.32958585</v>
      </c>
      <c r="H1068" s="18" t="n">
        <v>33</v>
      </c>
      <c r="I1068" s="18" t="n">
        <v>198</v>
      </c>
      <c r="J1068" s="19" t="n">
        <v>3</v>
      </c>
      <c r="K1068" s="19" t="n">
        <v>22</v>
      </c>
      <c r="L1068" s="19" t="n">
        <v>8</v>
      </c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 t="n">
        <v>27</v>
      </c>
      <c r="AD1068" s="19"/>
      <c r="AE1068" s="19"/>
      <c r="AF1068" s="19"/>
      <c r="AG1068" s="19"/>
      <c r="AH1068" s="19" t="n">
        <v>6</v>
      </c>
      <c r="AI1068" s="19"/>
      <c r="AJ1068" s="19"/>
      <c r="AK1068" s="19"/>
      <c r="AL1068" s="19"/>
      <c r="AM1068" s="19"/>
      <c r="AN1068" s="19" t="n">
        <v>24</v>
      </c>
      <c r="AO1068" s="19" t="n">
        <v>6</v>
      </c>
      <c r="AP1068" s="19" t="n">
        <v>3</v>
      </c>
      <c r="AQ1068" s="19"/>
      <c r="AR1068" s="19"/>
      <c r="AS1068" s="20" t="str">
        <f aca="false">HYPERLINK("http://www.openstreetmap.org/?mlat=32.9575&amp;mlon=44.3296&amp;zoom=12#map=12/32.9575/44.3296","Maplink1")</f>
        <v>Maplink1</v>
      </c>
      <c r="AT1068" s="20" t="str">
        <f aca="false">HYPERLINK("https://www.google.iq/maps/search/+32.9575,44.3296/@32.9575,44.3296,14z?hl=en","Maplink2")</f>
        <v>Maplink2</v>
      </c>
      <c r="AU1068" s="20" t="str">
        <f aca="false">HYPERLINK("http://www.bing.com/maps/?lvl=14&amp;sty=h&amp;cp=32.9575~44.3296&amp;sp=point.32.9575_44.3296","Maplink3")</f>
        <v>Maplink3</v>
      </c>
    </row>
    <row r="1069" customFormat="false" ht="15" hidden="false" customHeight="true" outlineLevel="0" collapsed="false">
      <c r="A1069" s="15" t="n">
        <v>27324</v>
      </c>
      <c r="B1069" s="16" t="s">
        <v>17</v>
      </c>
      <c r="C1069" s="16" t="s">
        <v>2044</v>
      </c>
      <c r="D1069" s="16" t="s">
        <v>2115</v>
      </c>
      <c r="E1069" s="17" t="s">
        <v>2116</v>
      </c>
      <c r="F1069" s="16" t="n">
        <v>33.18699726</v>
      </c>
      <c r="G1069" s="16" t="n">
        <v>44.37086916</v>
      </c>
      <c r="H1069" s="18" t="n">
        <v>41</v>
      </c>
      <c r="I1069" s="18" t="n">
        <v>246</v>
      </c>
      <c r="J1069" s="19" t="n">
        <v>10</v>
      </c>
      <c r="K1069" s="19"/>
      <c r="L1069" s="19" t="n">
        <v>20</v>
      </c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 t="n">
        <v>11</v>
      </c>
      <c r="Y1069" s="19"/>
      <c r="Z1069" s="19"/>
      <c r="AA1069" s="19"/>
      <c r="AB1069" s="19"/>
      <c r="AC1069" s="19" t="n">
        <v>17</v>
      </c>
      <c r="AD1069" s="19"/>
      <c r="AE1069" s="19"/>
      <c r="AF1069" s="19"/>
      <c r="AG1069" s="19"/>
      <c r="AH1069" s="19" t="n">
        <v>24</v>
      </c>
      <c r="AI1069" s="19"/>
      <c r="AJ1069" s="19"/>
      <c r="AK1069" s="19"/>
      <c r="AL1069" s="19"/>
      <c r="AM1069" s="19"/>
      <c r="AN1069" s="19" t="n">
        <v>16</v>
      </c>
      <c r="AO1069" s="19" t="n">
        <v>17</v>
      </c>
      <c r="AP1069" s="19" t="n">
        <v>2</v>
      </c>
      <c r="AQ1069" s="19" t="n">
        <v>6</v>
      </c>
      <c r="AR1069" s="19"/>
      <c r="AS1069" s="20" t="str">
        <f aca="false">HYPERLINK("http://www.openstreetmap.org/?mlat=33.187&amp;mlon=44.3709&amp;zoom=12#map=12/33.187/44.3709","Maplink1")</f>
        <v>Maplink1</v>
      </c>
      <c r="AT1069" s="20" t="str">
        <f aca="false">HYPERLINK("https://www.google.iq/maps/search/+33.187,44.3709/@33.187,44.3709,14z?hl=en","Maplink2")</f>
        <v>Maplink2</v>
      </c>
      <c r="AU1069" s="20" t="str">
        <f aca="false">HYPERLINK("http://www.bing.com/maps/?lvl=14&amp;sty=h&amp;cp=33.187~44.3709&amp;sp=point.33.187_44.3709","Maplink3")</f>
        <v>Maplink3</v>
      </c>
    </row>
    <row r="1070" customFormat="false" ht="15" hidden="false" customHeight="true" outlineLevel="0" collapsed="false">
      <c r="A1070" s="15" t="n">
        <v>29588</v>
      </c>
      <c r="B1070" s="16" t="s">
        <v>17</v>
      </c>
      <c r="C1070" s="16" t="s">
        <v>2044</v>
      </c>
      <c r="D1070" s="16" t="s">
        <v>2117</v>
      </c>
      <c r="E1070" s="17" t="s">
        <v>2118</v>
      </c>
      <c r="F1070" s="16" t="n">
        <v>32.968873</v>
      </c>
      <c r="G1070" s="16" t="n">
        <v>44.3516</v>
      </c>
      <c r="H1070" s="18" t="n">
        <v>81</v>
      </c>
      <c r="I1070" s="18" t="n">
        <v>486</v>
      </c>
      <c r="J1070" s="19"/>
      <c r="K1070" s="19" t="n">
        <v>78</v>
      </c>
      <c r="L1070" s="19" t="n">
        <v>3</v>
      </c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 t="n">
        <v>81</v>
      </c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 t="n">
        <v>81</v>
      </c>
      <c r="AO1070" s="19"/>
      <c r="AP1070" s="19"/>
      <c r="AQ1070" s="19"/>
      <c r="AR1070" s="19"/>
      <c r="AS1070" s="20" t="str">
        <f aca="false">HYPERLINK("http://www.openstreetmap.org/?mlat=32.9689&amp;mlon=44.3516&amp;zoom=12#map=12/32.9689/44.3516","Maplink1")</f>
        <v>Maplink1</v>
      </c>
      <c r="AT1070" s="20" t="str">
        <f aca="false">HYPERLINK("https://www.google.iq/maps/search/+32.9689,44.3516/@32.9689,44.3516,14z?hl=en","Maplink2")</f>
        <v>Maplink2</v>
      </c>
      <c r="AU1070" s="20" t="str">
        <f aca="false">HYPERLINK("http://www.bing.com/maps/?lvl=14&amp;sty=h&amp;cp=32.9689~44.3516&amp;sp=point.32.9689_44.3516","Maplink3")</f>
        <v>Maplink3</v>
      </c>
    </row>
    <row r="1071" customFormat="false" ht="15" hidden="false" customHeight="true" outlineLevel="0" collapsed="false">
      <c r="A1071" s="15" t="n">
        <v>27251</v>
      </c>
      <c r="B1071" s="16" t="s">
        <v>17</v>
      </c>
      <c r="C1071" s="16" t="s">
        <v>2044</v>
      </c>
      <c r="D1071" s="16" t="s">
        <v>2119</v>
      </c>
      <c r="E1071" s="17" t="s">
        <v>2120</v>
      </c>
      <c r="F1071" s="16" t="n">
        <v>33.07051313</v>
      </c>
      <c r="G1071" s="16" t="n">
        <v>44.35303358</v>
      </c>
      <c r="H1071" s="18" t="n">
        <v>78</v>
      </c>
      <c r="I1071" s="18" t="n">
        <v>468</v>
      </c>
      <c r="J1071" s="19" t="n">
        <v>61</v>
      </c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 t="n">
        <v>17</v>
      </c>
      <c r="W1071" s="19"/>
      <c r="X1071" s="19"/>
      <c r="Y1071" s="19"/>
      <c r="Z1071" s="19"/>
      <c r="AA1071" s="19"/>
      <c r="AB1071" s="19"/>
      <c r="AC1071" s="19" t="n">
        <v>20</v>
      </c>
      <c r="AD1071" s="19"/>
      <c r="AE1071" s="19"/>
      <c r="AF1071" s="19"/>
      <c r="AG1071" s="19"/>
      <c r="AH1071" s="19" t="n">
        <v>58</v>
      </c>
      <c r="AI1071" s="19"/>
      <c r="AJ1071" s="19"/>
      <c r="AK1071" s="19"/>
      <c r="AL1071" s="19"/>
      <c r="AM1071" s="19"/>
      <c r="AN1071" s="19"/>
      <c r="AO1071" s="19" t="n">
        <v>37</v>
      </c>
      <c r="AP1071" s="19" t="n">
        <v>36</v>
      </c>
      <c r="AQ1071" s="19" t="n">
        <v>5</v>
      </c>
      <c r="AR1071" s="19"/>
      <c r="AS1071" s="20" t="str">
        <f aca="false">HYPERLINK("http://www.openstreetmap.org/?mlat=33.0705&amp;mlon=44.353&amp;zoom=12#map=12/33.0705/44.353","Maplink1")</f>
        <v>Maplink1</v>
      </c>
      <c r="AT1071" s="20" t="str">
        <f aca="false">HYPERLINK("https://www.google.iq/maps/search/+33.0705,44.353/@33.0705,44.353,14z?hl=en","Maplink2")</f>
        <v>Maplink2</v>
      </c>
      <c r="AU1071" s="20" t="str">
        <f aca="false">HYPERLINK("http://www.bing.com/maps/?lvl=14&amp;sty=h&amp;cp=33.0705~44.353&amp;sp=point.33.0705_44.353","Maplink3")</f>
        <v>Maplink3</v>
      </c>
    </row>
    <row r="1072" customFormat="false" ht="15" hidden="false" customHeight="true" outlineLevel="0" collapsed="false">
      <c r="A1072" s="15" t="n">
        <v>7364</v>
      </c>
      <c r="B1072" s="16" t="s">
        <v>17</v>
      </c>
      <c r="C1072" s="16" t="s">
        <v>2044</v>
      </c>
      <c r="D1072" s="16" t="s">
        <v>2121</v>
      </c>
      <c r="E1072" s="17" t="s">
        <v>2122</v>
      </c>
      <c r="F1072" s="16" t="n">
        <v>33.14116834</v>
      </c>
      <c r="G1072" s="16" t="n">
        <v>44.0764471</v>
      </c>
      <c r="H1072" s="18" t="n">
        <v>288</v>
      </c>
      <c r="I1072" s="18" t="n">
        <v>1728</v>
      </c>
      <c r="J1072" s="19" t="n">
        <v>288</v>
      </c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 t="n">
        <v>128</v>
      </c>
      <c r="AF1072" s="19"/>
      <c r="AG1072" s="19"/>
      <c r="AH1072" s="19" t="n">
        <v>101</v>
      </c>
      <c r="AI1072" s="19"/>
      <c r="AJ1072" s="19" t="n">
        <v>59</v>
      </c>
      <c r="AK1072" s="19"/>
      <c r="AL1072" s="19"/>
      <c r="AM1072" s="19"/>
      <c r="AN1072" s="19"/>
      <c r="AO1072" s="19"/>
      <c r="AP1072" s="19" t="n">
        <v>257</v>
      </c>
      <c r="AQ1072" s="19" t="n">
        <v>27</v>
      </c>
      <c r="AR1072" s="19" t="n">
        <v>4</v>
      </c>
      <c r="AS1072" s="20" t="str">
        <f aca="false">HYPERLINK("http://www.openstreetmap.org/?mlat=33.1412&amp;mlon=44.0764&amp;zoom=12#map=12/33.1412/44.0764","Maplink1")</f>
        <v>Maplink1</v>
      </c>
      <c r="AT1072" s="20" t="str">
        <f aca="false">HYPERLINK("https://www.google.iq/maps/search/+33.1412,44.0764/@33.1412,44.0764,14z?hl=en","Maplink2")</f>
        <v>Maplink2</v>
      </c>
      <c r="AU1072" s="20" t="str">
        <f aca="false">HYPERLINK("http://www.bing.com/maps/?lvl=14&amp;sty=h&amp;cp=33.1412~44.0764&amp;sp=point.33.1412_44.0764","Maplink3")</f>
        <v>Maplink3</v>
      </c>
    </row>
    <row r="1073" customFormat="false" ht="15" hidden="false" customHeight="true" outlineLevel="0" collapsed="false">
      <c r="A1073" s="15" t="n">
        <v>25155</v>
      </c>
      <c r="B1073" s="16" t="s">
        <v>17</v>
      </c>
      <c r="C1073" s="16" t="s">
        <v>2044</v>
      </c>
      <c r="D1073" s="16" t="s">
        <v>2123</v>
      </c>
      <c r="E1073" s="17" t="s">
        <v>2124</v>
      </c>
      <c r="F1073" s="16" t="n">
        <v>33.0224</v>
      </c>
      <c r="G1073" s="16" t="n">
        <v>44.5758</v>
      </c>
      <c r="H1073" s="18" t="n">
        <v>21</v>
      </c>
      <c r="I1073" s="18" t="n">
        <v>126</v>
      </c>
      <c r="J1073" s="19"/>
      <c r="K1073" s="19" t="n">
        <v>11</v>
      </c>
      <c r="L1073" s="19" t="n">
        <v>10</v>
      </c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 t="n">
        <v>21</v>
      </c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 t="n">
        <v>21</v>
      </c>
      <c r="AO1073" s="19"/>
      <c r="AP1073" s="19"/>
      <c r="AQ1073" s="19"/>
      <c r="AR1073" s="19"/>
      <c r="AS1073" s="20" t="str">
        <f aca="false">HYPERLINK("http://www.openstreetmap.org/?mlat=33.0224&amp;mlon=44.5758&amp;zoom=12#map=12/33.0224/44.5758","Maplink1")</f>
        <v>Maplink1</v>
      </c>
      <c r="AT1073" s="20" t="str">
        <f aca="false">HYPERLINK("https://www.google.iq/maps/search/+33.0224,44.5758/@33.0224,44.5758,14z?hl=en","Maplink2")</f>
        <v>Maplink2</v>
      </c>
      <c r="AU1073" s="20" t="str">
        <f aca="false">HYPERLINK("http://www.bing.com/maps/?lvl=14&amp;sty=h&amp;cp=33.0224~44.5758&amp;sp=point.33.0224_44.5758","Maplink3")</f>
        <v>Maplink3</v>
      </c>
    </row>
    <row r="1074" customFormat="false" ht="15" hidden="false" customHeight="true" outlineLevel="0" collapsed="false">
      <c r="A1074" s="15" t="n">
        <v>25148</v>
      </c>
      <c r="B1074" s="16" t="s">
        <v>17</v>
      </c>
      <c r="C1074" s="16" t="s">
        <v>2044</v>
      </c>
      <c r="D1074" s="16" t="s">
        <v>2125</v>
      </c>
      <c r="E1074" s="17" t="s">
        <v>2126</v>
      </c>
      <c r="F1074" s="16" t="n">
        <v>33.12162334</v>
      </c>
      <c r="G1074" s="16" t="n">
        <v>44.06193755</v>
      </c>
      <c r="H1074" s="18" t="n">
        <v>38</v>
      </c>
      <c r="I1074" s="18" t="n">
        <v>228</v>
      </c>
      <c r="J1074" s="19" t="n">
        <v>38</v>
      </c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 t="n">
        <v>38</v>
      </c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 t="n">
        <v>38</v>
      </c>
      <c r="AQ1074" s="19"/>
      <c r="AR1074" s="19"/>
      <c r="AS1074" s="20" t="str">
        <f aca="false">HYPERLINK("http://www.openstreetmap.org/?mlat=33.1216&amp;mlon=44.0619&amp;zoom=12#map=12/33.1216/44.0619","Maplink1")</f>
        <v>Maplink1</v>
      </c>
      <c r="AT1074" s="20" t="str">
        <f aca="false">HYPERLINK("https://www.google.iq/maps/search/+33.1216,44.0619/@33.1216,44.0619,14z?hl=en","Maplink2")</f>
        <v>Maplink2</v>
      </c>
      <c r="AU1074" s="20" t="str">
        <f aca="false">HYPERLINK("http://www.bing.com/maps/?lvl=14&amp;sty=h&amp;cp=33.1216~44.0619&amp;sp=point.33.1216_44.0619","Maplink3")</f>
        <v>Maplink3</v>
      </c>
    </row>
    <row r="1075" customFormat="false" ht="15" hidden="false" customHeight="true" outlineLevel="0" collapsed="false">
      <c r="A1075" s="15" t="n">
        <v>25427</v>
      </c>
      <c r="B1075" s="16" t="s">
        <v>17</v>
      </c>
      <c r="C1075" s="16" t="s">
        <v>2127</v>
      </c>
      <c r="D1075" s="16" t="s">
        <v>2128</v>
      </c>
      <c r="E1075" s="17" t="s">
        <v>2129</v>
      </c>
      <c r="F1075" s="16" t="n">
        <v>33.70306</v>
      </c>
      <c r="G1075" s="16" t="n">
        <v>44.42123</v>
      </c>
      <c r="H1075" s="18" t="n">
        <v>120</v>
      </c>
      <c r="I1075" s="18" t="n">
        <v>720</v>
      </c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 t="n">
        <v>120</v>
      </c>
      <c r="Y1075" s="19"/>
      <c r="Z1075" s="19"/>
      <c r="AA1075" s="19"/>
      <c r="AB1075" s="19"/>
      <c r="AC1075" s="19" t="n">
        <v>92</v>
      </c>
      <c r="AD1075" s="19"/>
      <c r="AE1075" s="19"/>
      <c r="AF1075" s="19"/>
      <c r="AG1075" s="19"/>
      <c r="AH1075" s="19" t="n">
        <v>28</v>
      </c>
      <c r="AI1075" s="19"/>
      <c r="AJ1075" s="19"/>
      <c r="AK1075" s="19"/>
      <c r="AL1075" s="19"/>
      <c r="AM1075" s="19"/>
      <c r="AN1075" s="19" t="n">
        <v>30</v>
      </c>
      <c r="AO1075" s="19" t="n">
        <v>90</v>
      </c>
      <c r="AP1075" s="19"/>
      <c r="AQ1075" s="19"/>
      <c r="AR1075" s="19"/>
      <c r="AS1075" s="20" t="str">
        <f aca="false">HYPERLINK("http://www.openstreetmap.org/?mlat=33.7031&amp;mlon=44.4212&amp;zoom=12#map=12/33.7031/44.4212","Maplink1")</f>
        <v>Maplink1</v>
      </c>
      <c r="AT1075" s="20" t="str">
        <f aca="false">HYPERLINK("https://www.google.iq/maps/search/+33.7031,44.4212/@33.7031,44.4212,14z?hl=en","Maplink2")</f>
        <v>Maplink2</v>
      </c>
      <c r="AU1075" s="20" t="str">
        <f aca="false">HYPERLINK("http://www.bing.com/maps/?lvl=14&amp;sty=h&amp;cp=33.7031~44.4212&amp;sp=point.33.7031_44.4212","Maplink3")</f>
        <v>Maplink3</v>
      </c>
    </row>
    <row r="1076" customFormat="false" ht="15" hidden="false" customHeight="true" outlineLevel="0" collapsed="false">
      <c r="A1076" s="15" t="n">
        <v>25416</v>
      </c>
      <c r="B1076" s="16" t="s">
        <v>17</v>
      </c>
      <c r="C1076" s="16" t="s">
        <v>2127</v>
      </c>
      <c r="D1076" s="16" t="s">
        <v>2130</v>
      </c>
      <c r="E1076" s="17" t="s">
        <v>2131</v>
      </c>
      <c r="F1076" s="16" t="n">
        <v>33.68268</v>
      </c>
      <c r="G1076" s="16" t="n">
        <v>44.37545</v>
      </c>
      <c r="H1076" s="18" t="n">
        <v>100</v>
      </c>
      <c r="I1076" s="18" t="n">
        <v>600</v>
      </c>
      <c r="J1076" s="19" t="n">
        <v>45</v>
      </c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 t="n">
        <v>55</v>
      </c>
      <c r="Y1076" s="19"/>
      <c r="Z1076" s="19"/>
      <c r="AA1076" s="19"/>
      <c r="AB1076" s="19"/>
      <c r="AC1076" s="19" t="n">
        <v>65</v>
      </c>
      <c r="AD1076" s="19"/>
      <c r="AE1076" s="19"/>
      <c r="AF1076" s="19"/>
      <c r="AG1076" s="19"/>
      <c r="AH1076" s="19" t="n">
        <v>35</v>
      </c>
      <c r="AI1076" s="19"/>
      <c r="AJ1076" s="19"/>
      <c r="AK1076" s="19"/>
      <c r="AL1076" s="19"/>
      <c r="AM1076" s="19"/>
      <c r="AN1076" s="19" t="n">
        <v>80</v>
      </c>
      <c r="AO1076" s="19" t="n">
        <v>20</v>
      </c>
      <c r="AP1076" s="19"/>
      <c r="AQ1076" s="19"/>
      <c r="AR1076" s="19"/>
      <c r="AS1076" s="20" t="str">
        <f aca="false">HYPERLINK("http://www.openstreetmap.org/?mlat=33.6827&amp;mlon=44.3755&amp;zoom=12#map=12/33.6827/44.3755","Maplink1")</f>
        <v>Maplink1</v>
      </c>
      <c r="AT1076" s="20" t="str">
        <f aca="false">HYPERLINK("https://www.google.iq/maps/search/+33.6827,44.3755/@33.6827,44.3755,14z?hl=en","Maplink2")</f>
        <v>Maplink2</v>
      </c>
      <c r="AU1076" s="20" t="str">
        <f aca="false">HYPERLINK("http://www.bing.com/maps/?lvl=14&amp;sty=h&amp;cp=33.6827~44.3755&amp;sp=point.33.6827_44.3755","Maplink3")</f>
        <v>Maplink3</v>
      </c>
    </row>
    <row r="1077" customFormat="false" ht="15" hidden="false" customHeight="true" outlineLevel="0" collapsed="false">
      <c r="A1077" s="15" t="n">
        <v>25417</v>
      </c>
      <c r="B1077" s="16" t="s">
        <v>17</v>
      </c>
      <c r="C1077" s="16" t="s">
        <v>2127</v>
      </c>
      <c r="D1077" s="16" t="s">
        <v>2132</v>
      </c>
      <c r="E1077" s="17" t="s">
        <v>2133</v>
      </c>
      <c r="F1077" s="16" t="n">
        <v>33.66184</v>
      </c>
      <c r="G1077" s="16" t="n">
        <v>44.39042</v>
      </c>
      <c r="H1077" s="18" t="n">
        <v>135</v>
      </c>
      <c r="I1077" s="18" t="n">
        <v>810</v>
      </c>
      <c r="J1077" s="19" t="n">
        <v>88</v>
      </c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 t="n">
        <v>47</v>
      </c>
      <c r="Y1077" s="19"/>
      <c r="Z1077" s="19"/>
      <c r="AA1077" s="19"/>
      <c r="AB1077" s="19"/>
      <c r="AC1077" s="19" t="n">
        <v>45</v>
      </c>
      <c r="AD1077" s="19"/>
      <c r="AE1077" s="19"/>
      <c r="AF1077" s="19"/>
      <c r="AG1077" s="19"/>
      <c r="AH1077" s="19" t="n">
        <v>90</v>
      </c>
      <c r="AI1077" s="19"/>
      <c r="AJ1077" s="19"/>
      <c r="AK1077" s="19"/>
      <c r="AL1077" s="19" t="n">
        <v>63</v>
      </c>
      <c r="AM1077" s="19"/>
      <c r="AN1077" s="19" t="n">
        <v>25</v>
      </c>
      <c r="AO1077" s="19" t="n">
        <v>47</v>
      </c>
      <c r="AP1077" s="19"/>
      <c r="AQ1077" s="19"/>
      <c r="AR1077" s="19"/>
      <c r="AS1077" s="20" t="str">
        <f aca="false">HYPERLINK("http://www.openstreetmap.org/?mlat=33.6618&amp;mlon=44.3904&amp;zoom=12#map=12/33.6618/44.3904","Maplink1")</f>
        <v>Maplink1</v>
      </c>
      <c r="AT1077" s="20" t="str">
        <f aca="false">HYPERLINK("https://www.google.iq/maps/search/+33.6618,44.3904/@33.6618,44.3904,14z?hl=en","Maplink2")</f>
        <v>Maplink2</v>
      </c>
      <c r="AU1077" s="20" t="str">
        <f aca="false">HYPERLINK("http://www.bing.com/maps/?lvl=14&amp;sty=h&amp;cp=33.6618~44.3904&amp;sp=point.33.6618_44.3904","Maplink3")</f>
        <v>Maplink3</v>
      </c>
    </row>
    <row r="1078" customFormat="false" ht="15" hidden="false" customHeight="true" outlineLevel="0" collapsed="false">
      <c r="A1078" s="15" t="n">
        <v>21685</v>
      </c>
      <c r="B1078" s="16" t="s">
        <v>17</v>
      </c>
      <c r="C1078" s="16" t="s">
        <v>2127</v>
      </c>
      <c r="D1078" s="16" t="s">
        <v>2134</v>
      </c>
      <c r="E1078" s="17" t="s">
        <v>2135</v>
      </c>
      <c r="F1078" s="16" t="n">
        <v>33.66911</v>
      </c>
      <c r="G1078" s="16" t="n">
        <v>44.35967</v>
      </c>
      <c r="H1078" s="18" t="n">
        <v>120</v>
      </c>
      <c r="I1078" s="18" t="n">
        <v>720</v>
      </c>
      <c r="J1078" s="19" t="n">
        <v>120</v>
      </c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 t="n">
        <v>120</v>
      </c>
      <c r="AD1078" s="19"/>
      <c r="AE1078" s="19"/>
      <c r="AF1078" s="19"/>
      <c r="AG1078" s="19"/>
      <c r="AH1078" s="19"/>
      <c r="AI1078" s="19"/>
      <c r="AJ1078" s="19"/>
      <c r="AK1078" s="19"/>
      <c r="AL1078" s="19" t="n">
        <v>55</v>
      </c>
      <c r="AM1078" s="19" t="n">
        <v>30</v>
      </c>
      <c r="AN1078" s="19" t="n">
        <v>35</v>
      </c>
      <c r="AO1078" s="19"/>
      <c r="AP1078" s="19"/>
      <c r="AQ1078" s="19"/>
      <c r="AR1078" s="19"/>
      <c r="AS1078" s="20" t="str">
        <f aca="false">HYPERLINK("http://www.openstreetmap.org/?mlat=33.6691&amp;mlon=44.3597&amp;zoom=12#map=12/33.6691/44.3597","Maplink1")</f>
        <v>Maplink1</v>
      </c>
      <c r="AT1078" s="20" t="str">
        <f aca="false">HYPERLINK("https://www.google.iq/maps/search/+33.6691,44.3597/@33.6691,44.3597,14z?hl=en","Maplink2")</f>
        <v>Maplink2</v>
      </c>
      <c r="AU1078" s="20" t="str">
        <f aca="false">HYPERLINK("http://www.bing.com/maps/?lvl=14&amp;sty=h&amp;cp=33.6691~44.3597&amp;sp=point.33.6691_44.3597","Maplink3")</f>
        <v>Maplink3</v>
      </c>
    </row>
    <row r="1079" customFormat="false" ht="15" hidden="false" customHeight="true" outlineLevel="0" collapsed="false">
      <c r="A1079" s="15" t="n">
        <v>23738</v>
      </c>
      <c r="B1079" s="16" t="s">
        <v>17</v>
      </c>
      <c r="C1079" s="16" t="s">
        <v>2127</v>
      </c>
      <c r="D1079" s="16" t="s">
        <v>2136</v>
      </c>
      <c r="E1079" s="17" t="s">
        <v>2137</v>
      </c>
      <c r="F1079" s="16" t="n">
        <v>33.72953</v>
      </c>
      <c r="G1079" s="16" t="n">
        <v>44.25868</v>
      </c>
      <c r="H1079" s="18" t="n">
        <v>101</v>
      </c>
      <c r="I1079" s="18" t="n">
        <v>606</v>
      </c>
      <c r="J1079" s="19" t="n">
        <v>101</v>
      </c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 t="n">
        <v>90</v>
      </c>
      <c r="AD1079" s="19"/>
      <c r="AE1079" s="19" t="n">
        <v>11</v>
      </c>
      <c r="AF1079" s="19"/>
      <c r="AG1079" s="19"/>
      <c r="AH1079" s="19"/>
      <c r="AI1079" s="19"/>
      <c r="AJ1079" s="19"/>
      <c r="AK1079" s="19"/>
      <c r="AL1079" s="19" t="n">
        <v>101</v>
      </c>
      <c r="AM1079" s="19"/>
      <c r="AN1079" s="19"/>
      <c r="AO1079" s="19"/>
      <c r="AP1079" s="19"/>
      <c r="AQ1079" s="19"/>
      <c r="AR1079" s="19"/>
      <c r="AS1079" s="20" t="str">
        <f aca="false">HYPERLINK("http://www.openstreetmap.org/?mlat=33.7295&amp;mlon=44.2587&amp;zoom=12#map=12/33.7295/44.2587","Maplink1")</f>
        <v>Maplink1</v>
      </c>
      <c r="AT1079" s="20" t="str">
        <f aca="false">HYPERLINK("https://www.google.iq/maps/search/+33.7295,44.2587/@33.7295,44.2587,14z?hl=en","Maplink2")</f>
        <v>Maplink2</v>
      </c>
      <c r="AU1079" s="20" t="str">
        <f aca="false">HYPERLINK("http://www.bing.com/maps/?lvl=14&amp;sty=h&amp;cp=33.7295~44.2587&amp;sp=point.33.7295_44.2587","Maplink3")</f>
        <v>Maplink3</v>
      </c>
    </row>
    <row r="1080" customFormat="false" ht="15" hidden="false" customHeight="true" outlineLevel="0" collapsed="false">
      <c r="A1080" s="15" t="n">
        <v>24061</v>
      </c>
      <c r="B1080" s="16" t="s">
        <v>17</v>
      </c>
      <c r="C1080" s="16" t="s">
        <v>2127</v>
      </c>
      <c r="D1080" s="16" t="s">
        <v>2138</v>
      </c>
      <c r="E1080" s="17" t="s">
        <v>2139</v>
      </c>
      <c r="F1080" s="16" t="n">
        <v>33.66196</v>
      </c>
      <c r="G1080" s="16" t="n">
        <v>44.39144</v>
      </c>
      <c r="H1080" s="18" t="n">
        <v>100</v>
      </c>
      <c r="I1080" s="18" t="n">
        <v>600</v>
      </c>
      <c r="J1080" s="19" t="n">
        <v>100</v>
      </c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 t="n">
        <v>80</v>
      </c>
      <c r="AD1080" s="19"/>
      <c r="AE1080" s="19"/>
      <c r="AF1080" s="19"/>
      <c r="AG1080" s="19"/>
      <c r="AH1080" s="19" t="n">
        <v>20</v>
      </c>
      <c r="AI1080" s="19"/>
      <c r="AJ1080" s="19"/>
      <c r="AK1080" s="19"/>
      <c r="AL1080" s="19" t="n">
        <v>100</v>
      </c>
      <c r="AM1080" s="19"/>
      <c r="AN1080" s="19"/>
      <c r="AO1080" s="19"/>
      <c r="AP1080" s="19"/>
      <c r="AQ1080" s="19"/>
      <c r="AR1080" s="19"/>
      <c r="AS1080" s="20" t="str">
        <f aca="false">HYPERLINK("http://www.openstreetmap.org/?mlat=33.662&amp;mlon=44.3914&amp;zoom=12#map=12/33.662/44.3914","Maplink1")</f>
        <v>Maplink1</v>
      </c>
      <c r="AT1080" s="20" t="str">
        <f aca="false">HYPERLINK("https://www.google.iq/maps/search/+33.662,44.3914/@33.662,44.3914,14z?hl=en","Maplink2")</f>
        <v>Maplink2</v>
      </c>
      <c r="AU1080" s="20" t="str">
        <f aca="false">HYPERLINK("http://www.bing.com/maps/?lvl=14&amp;sty=h&amp;cp=33.662~44.3914&amp;sp=point.33.662_44.3914","Maplink3")</f>
        <v>Maplink3</v>
      </c>
    </row>
    <row r="1081" customFormat="false" ht="15" hidden="false" customHeight="true" outlineLevel="0" collapsed="false">
      <c r="A1081" s="15" t="n">
        <v>24063</v>
      </c>
      <c r="B1081" s="16" t="s">
        <v>17</v>
      </c>
      <c r="C1081" s="16" t="s">
        <v>2127</v>
      </c>
      <c r="D1081" s="16" t="s">
        <v>2140</v>
      </c>
      <c r="E1081" s="17" t="s">
        <v>2141</v>
      </c>
      <c r="F1081" s="16" t="n">
        <v>33.66852</v>
      </c>
      <c r="G1081" s="16" t="n">
        <v>44.37524</v>
      </c>
      <c r="H1081" s="18" t="n">
        <v>42</v>
      </c>
      <c r="I1081" s="18" t="n">
        <v>252</v>
      </c>
      <c r="J1081" s="19" t="n">
        <v>42</v>
      </c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 t="n">
        <v>20</v>
      </c>
      <c r="AD1081" s="19"/>
      <c r="AE1081" s="19"/>
      <c r="AF1081" s="19"/>
      <c r="AG1081" s="19"/>
      <c r="AH1081" s="19" t="n">
        <v>15</v>
      </c>
      <c r="AI1081" s="19"/>
      <c r="AJ1081" s="19"/>
      <c r="AK1081" s="19" t="n">
        <v>7</v>
      </c>
      <c r="AL1081" s="19" t="n">
        <v>42</v>
      </c>
      <c r="AM1081" s="19"/>
      <c r="AN1081" s="19"/>
      <c r="AO1081" s="19"/>
      <c r="AP1081" s="19"/>
      <c r="AQ1081" s="19"/>
      <c r="AR1081" s="19"/>
      <c r="AS1081" s="20" t="str">
        <f aca="false">HYPERLINK("http://www.openstreetmap.org/?mlat=33.6685&amp;mlon=44.3752&amp;zoom=12#map=12/33.6685/44.3752","Maplink1")</f>
        <v>Maplink1</v>
      </c>
      <c r="AT1081" s="20" t="str">
        <f aca="false">HYPERLINK("https://www.google.iq/maps/search/+33.6685,44.3752/@33.6685,44.3752,14z?hl=en","Maplink2")</f>
        <v>Maplink2</v>
      </c>
      <c r="AU1081" s="20" t="str">
        <f aca="false">HYPERLINK("http://www.bing.com/maps/?lvl=14&amp;sty=h&amp;cp=33.6685~44.3752&amp;sp=point.33.6685_44.3752","Maplink3")</f>
        <v>Maplink3</v>
      </c>
    </row>
    <row r="1082" customFormat="false" ht="15" hidden="false" customHeight="true" outlineLevel="0" collapsed="false">
      <c r="A1082" s="15" t="n">
        <v>24071</v>
      </c>
      <c r="B1082" s="16" t="s">
        <v>17</v>
      </c>
      <c r="C1082" s="16" t="s">
        <v>2127</v>
      </c>
      <c r="D1082" s="16" t="s">
        <v>2142</v>
      </c>
      <c r="E1082" s="17" t="s">
        <v>2143</v>
      </c>
      <c r="F1082" s="16" t="n">
        <v>33.66673</v>
      </c>
      <c r="G1082" s="16" t="n">
        <v>44.38643</v>
      </c>
      <c r="H1082" s="18" t="n">
        <v>30</v>
      </c>
      <c r="I1082" s="18" t="n">
        <v>180</v>
      </c>
      <c r="J1082" s="19" t="n">
        <v>30</v>
      </c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 t="n">
        <v>21</v>
      </c>
      <c r="AD1082" s="19"/>
      <c r="AE1082" s="19"/>
      <c r="AF1082" s="19"/>
      <c r="AG1082" s="19"/>
      <c r="AH1082" s="19" t="n">
        <v>9</v>
      </c>
      <c r="AI1082" s="19"/>
      <c r="AJ1082" s="19"/>
      <c r="AK1082" s="19"/>
      <c r="AL1082" s="19" t="n">
        <v>30</v>
      </c>
      <c r="AM1082" s="19"/>
      <c r="AN1082" s="19"/>
      <c r="AO1082" s="19"/>
      <c r="AP1082" s="19"/>
      <c r="AQ1082" s="19"/>
      <c r="AR1082" s="19"/>
      <c r="AS1082" s="20" t="str">
        <f aca="false">HYPERLINK("http://www.openstreetmap.org/?mlat=33.6667&amp;mlon=44.3864&amp;zoom=12#map=12/33.6667/44.3864","Maplink1")</f>
        <v>Maplink1</v>
      </c>
      <c r="AT1082" s="20" t="str">
        <f aca="false">HYPERLINK("https://www.google.iq/maps/search/+33.6667,44.3864/@33.6667,44.3864,14z?hl=en","Maplink2")</f>
        <v>Maplink2</v>
      </c>
      <c r="AU1082" s="20" t="str">
        <f aca="false">HYPERLINK("http://www.bing.com/maps/?lvl=14&amp;sty=h&amp;cp=33.6667~44.3864&amp;sp=point.33.6667_44.3864","Maplink3")</f>
        <v>Maplink3</v>
      </c>
    </row>
    <row r="1083" customFormat="false" ht="15" hidden="false" customHeight="true" outlineLevel="0" collapsed="false">
      <c r="A1083" s="15" t="n">
        <v>25419</v>
      </c>
      <c r="B1083" s="16" t="s">
        <v>17</v>
      </c>
      <c r="C1083" s="16" t="s">
        <v>2127</v>
      </c>
      <c r="D1083" s="16" t="s">
        <v>2144</v>
      </c>
      <c r="E1083" s="17" t="s">
        <v>2145</v>
      </c>
      <c r="F1083" s="16" t="n">
        <v>33.65906</v>
      </c>
      <c r="G1083" s="16" t="n">
        <v>44.36477</v>
      </c>
      <c r="H1083" s="18" t="n">
        <v>170</v>
      </c>
      <c r="I1083" s="18" t="n">
        <v>1020</v>
      </c>
      <c r="J1083" s="19" t="n">
        <v>131</v>
      </c>
      <c r="K1083" s="19"/>
      <c r="L1083" s="19"/>
      <c r="M1083" s="19"/>
      <c r="N1083" s="19"/>
      <c r="O1083" s="19" t="n">
        <v>22</v>
      </c>
      <c r="P1083" s="19"/>
      <c r="Q1083" s="19"/>
      <c r="R1083" s="19"/>
      <c r="S1083" s="19"/>
      <c r="T1083" s="19"/>
      <c r="U1083" s="19"/>
      <c r="V1083" s="19"/>
      <c r="W1083" s="19"/>
      <c r="X1083" s="19" t="n">
        <v>17</v>
      </c>
      <c r="Y1083" s="19"/>
      <c r="Z1083" s="19"/>
      <c r="AA1083" s="19"/>
      <c r="AB1083" s="19"/>
      <c r="AC1083" s="19" t="n">
        <v>60</v>
      </c>
      <c r="AD1083" s="19"/>
      <c r="AE1083" s="19"/>
      <c r="AF1083" s="19"/>
      <c r="AG1083" s="19"/>
      <c r="AH1083" s="19" t="n">
        <v>110</v>
      </c>
      <c r="AI1083" s="19"/>
      <c r="AJ1083" s="19"/>
      <c r="AK1083" s="19"/>
      <c r="AL1083" s="19" t="n">
        <v>88</v>
      </c>
      <c r="AM1083" s="19"/>
      <c r="AN1083" s="19" t="n">
        <v>82</v>
      </c>
      <c r="AO1083" s="19"/>
      <c r="AP1083" s="19"/>
      <c r="AQ1083" s="19"/>
      <c r="AR1083" s="19"/>
      <c r="AS1083" s="20" t="str">
        <f aca="false">HYPERLINK("http://www.openstreetmap.org/?mlat=33.6591&amp;mlon=44.3648&amp;zoom=12#map=12/33.6591/44.3648","Maplink1")</f>
        <v>Maplink1</v>
      </c>
      <c r="AT1083" s="20" t="str">
        <f aca="false">HYPERLINK("https://www.google.iq/maps/search/+33.6591,44.3648/@33.6591,44.3648,14z?hl=en","Maplink2")</f>
        <v>Maplink2</v>
      </c>
      <c r="AU1083" s="20" t="str">
        <f aca="false">HYPERLINK("http://www.bing.com/maps/?lvl=14&amp;sty=h&amp;cp=33.6591~44.3648&amp;sp=point.33.6591_44.3648","Maplink3")</f>
        <v>Maplink3</v>
      </c>
    </row>
    <row r="1084" customFormat="false" ht="15" hidden="false" customHeight="true" outlineLevel="0" collapsed="false">
      <c r="A1084" s="15" t="n">
        <v>25423</v>
      </c>
      <c r="B1084" s="16" t="s">
        <v>17</v>
      </c>
      <c r="C1084" s="16" t="s">
        <v>2127</v>
      </c>
      <c r="D1084" s="16" t="s">
        <v>2146</v>
      </c>
      <c r="E1084" s="17" t="s">
        <v>2147</v>
      </c>
      <c r="F1084" s="16" t="n">
        <v>33.65483</v>
      </c>
      <c r="G1084" s="16" t="n">
        <v>44.30102</v>
      </c>
      <c r="H1084" s="18" t="n">
        <v>195</v>
      </c>
      <c r="I1084" s="18" t="n">
        <v>1170</v>
      </c>
      <c r="J1084" s="19" t="n">
        <v>141</v>
      </c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 t="n">
        <v>54</v>
      </c>
      <c r="Y1084" s="19"/>
      <c r="Z1084" s="19"/>
      <c r="AA1084" s="19"/>
      <c r="AB1084" s="19"/>
      <c r="AC1084" s="19" t="n">
        <v>75</v>
      </c>
      <c r="AD1084" s="19"/>
      <c r="AE1084" s="19"/>
      <c r="AF1084" s="19"/>
      <c r="AG1084" s="19"/>
      <c r="AH1084" s="19" t="n">
        <v>120</v>
      </c>
      <c r="AI1084" s="19"/>
      <c r="AJ1084" s="19"/>
      <c r="AK1084" s="19"/>
      <c r="AL1084" s="19"/>
      <c r="AM1084" s="19"/>
      <c r="AN1084" s="19" t="n">
        <v>116</v>
      </c>
      <c r="AO1084" s="19" t="n">
        <v>79</v>
      </c>
      <c r="AP1084" s="19"/>
      <c r="AQ1084" s="19"/>
      <c r="AR1084" s="19"/>
      <c r="AS1084" s="20" t="str">
        <f aca="false">HYPERLINK("http://www.openstreetmap.org/?mlat=33.6548&amp;mlon=44.301&amp;zoom=12#map=12/33.6548/44.301","Maplink1")</f>
        <v>Maplink1</v>
      </c>
      <c r="AT1084" s="20" t="str">
        <f aca="false">HYPERLINK("https://www.google.iq/maps/search/+33.6548,44.301/@33.6548,44.301,14z?hl=en","Maplink2")</f>
        <v>Maplink2</v>
      </c>
      <c r="AU1084" s="20" t="str">
        <f aca="false">HYPERLINK("http://www.bing.com/maps/?lvl=14&amp;sty=h&amp;cp=33.6548~44.301&amp;sp=point.33.6548_44.301","Maplink3")</f>
        <v>Maplink3</v>
      </c>
    </row>
    <row r="1085" customFormat="false" ht="15" hidden="false" customHeight="true" outlineLevel="0" collapsed="false">
      <c r="A1085" s="15" t="n">
        <v>25424</v>
      </c>
      <c r="B1085" s="16" t="s">
        <v>17</v>
      </c>
      <c r="C1085" s="16" t="s">
        <v>2127</v>
      </c>
      <c r="D1085" s="16" t="s">
        <v>2148</v>
      </c>
      <c r="E1085" s="17" t="s">
        <v>2149</v>
      </c>
      <c r="F1085" s="16" t="n">
        <v>33.64257</v>
      </c>
      <c r="G1085" s="16" t="n">
        <v>44.28789</v>
      </c>
      <c r="H1085" s="18" t="n">
        <v>185</v>
      </c>
      <c r="I1085" s="18" t="n">
        <v>1110</v>
      </c>
      <c r="J1085" s="19" t="n">
        <v>90</v>
      </c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 t="n">
        <v>95</v>
      </c>
      <c r="Y1085" s="19"/>
      <c r="Z1085" s="19"/>
      <c r="AA1085" s="19"/>
      <c r="AB1085" s="19"/>
      <c r="AC1085" s="19" t="n">
        <v>55</v>
      </c>
      <c r="AD1085" s="19"/>
      <c r="AE1085" s="19"/>
      <c r="AF1085" s="19"/>
      <c r="AG1085" s="19"/>
      <c r="AH1085" s="19" t="n">
        <v>130</v>
      </c>
      <c r="AI1085" s="19"/>
      <c r="AJ1085" s="19"/>
      <c r="AK1085" s="19"/>
      <c r="AL1085" s="19" t="n">
        <v>68</v>
      </c>
      <c r="AM1085" s="19"/>
      <c r="AN1085" s="19" t="n">
        <v>95</v>
      </c>
      <c r="AO1085" s="19" t="n">
        <v>22</v>
      </c>
      <c r="AP1085" s="19"/>
      <c r="AQ1085" s="19"/>
      <c r="AR1085" s="19"/>
      <c r="AS1085" s="20" t="str">
        <f aca="false">HYPERLINK("http://www.openstreetmap.org/?mlat=33.6426&amp;mlon=44.2879&amp;zoom=12#map=12/33.6426/44.2879","Maplink1")</f>
        <v>Maplink1</v>
      </c>
      <c r="AT1085" s="20" t="str">
        <f aca="false">HYPERLINK("https://www.google.iq/maps/search/+33.6426,44.2879/@33.6426,44.2879,14z?hl=en","Maplink2")</f>
        <v>Maplink2</v>
      </c>
      <c r="AU1085" s="20" t="str">
        <f aca="false">HYPERLINK("http://www.bing.com/maps/?lvl=14&amp;sty=h&amp;cp=33.6426~44.2879&amp;sp=point.33.6426_44.2879","Maplink3")</f>
        <v>Maplink3</v>
      </c>
    </row>
    <row r="1086" customFormat="false" ht="15" hidden="false" customHeight="true" outlineLevel="0" collapsed="false">
      <c r="A1086" s="15" t="n">
        <v>25418</v>
      </c>
      <c r="B1086" s="16" t="s">
        <v>17</v>
      </c>
      <c r="C1086" s="16" t="s">
        <v>2127</v>
      </c>
      <c r="D1086" s="16" t="s">
        <v>2150</v>
      </c>
      <c r="E1086" s="17" t="s">
        <v>2151</v>
      </c>
      <c r="F1086" s="16" t="n">
        <v>33.678</v>
      </c>
      <c r="G1086" s="16" t="n">
        <v>44.3743</v>
      </c>
      <c r="H1086" s="18" t="n">
        <v>149</v>
      </c>
      <c r="I1086" s="18" t="n">
        <v>894</v>
      </c>
      <c r="J1086" s="19" t="n">
        <v>102</v>
      </c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 t="n">
        <v>47</v>
      </c>
      <c r="Y1086" s="19"/>
      <c r="Z1086" s="19"/>
      <c r="AA1086" s="19"/>
      <c r="AB1086" s="19"/>
      <c r="AC1086" s="19" t="n">
        <v>64</v>
      </c>
      <c r="AD1086" s="19"/>
      <c r="AE1086" s="19"/>
      <c r="AF1086" s="19"/>
      <c r="AG1086" s="19"/>
      <c r="AH1086" s="19" t="n">
        <v>85</v>
      </c>
      <c r="AI1086" s="19"/>
      <c r="AJ1086" s="19"/>
      <c r="AK1086" s="19"/>
      <c r="AL1086" s="19" t="n">
        <v>55</v>
      </c>
      <c r="AM1086" s="19"/>
      <c r="AN1086" s="19"/>
      <c r="AO1086" s="19" t="n">
        <v>94</v>
      </c>
      <c r="AP1086" s="19"/>
      <c r="AQ1086" s="19"/>
      <c r="AR1086" s="19"/>
      <c r="AS1086" s="20" t="str">
        <f aca="false">HYPERLINK("http://www.openstreetmap.org/?mlat=33.678&amp;mlon=44.3743&amp;zoom=12#map=12/33.678/44.3743","Maplink1")</f>
        <v>Maplink1</v>
      </c>
      <c r="AT1086" s="20" t="str">
        <f aca="false">HYPERLINK("https://www.google.iq/maps/search/+33.678,44.3743/@33.678,44.3743,14z?hl=en","Maplink2")</f>
        <v>Maplink2</v>
      </c>
      <c r="AU1086" s="20" t="str">
        <f aca="false">HYPERLINK("http://www.bing.com/maps/?lvl=14&amp;sty=h&amp;cp=33.678~44.3743&amp;sp=point.33.678_44.3743","Maplink3")</f>
        <v>Maplink3</v>
      </c>
    </row>
    <row r="1087" customFormat="false" ht="15" hidden="false" customHeight="true" outlineLevel="0" collapsed="false">
      <c r="A1087" s="15" t="n">
        <v>25420</v>
      </c>
      <c r="B1087" s="16" t="s">
        <v>17</v>
      </c>
      <c r="C1087" s="16" t="s">
        <v>2127</v>
      </c>
      <c r="D1087" s="16" t="s">
        <v>2152</v>
      </c>
      <c r="E1087" s="17" t="s">
        <v>312</v>
      </c>
      <c r="F1087" s="16" t="n">
        <v>33.68233</v>
      </c>
      <c r="G1087" s="16" t="n">
        <v>44.33197</v>
      </c>
      <c r="H1087" s="18" t="n">
        <v>171</v>
      </c>
      <c r="I1087" s="18" t="n">
        <v>1026</v>
      </c>
      <c r="J1087" s="19" t="n">
        <v>118</v>
      </c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 t="n">
        <v>53</v>
      </c>
      <c r="Y1087" s="19"/>
      <c r="Z1087" s="19"/>
      <c r="AA1087" s="19"/>
      <c r="AB1087" s="19"/>
      <c r="AC1087" s="19" t="n">
        <v>35</v>
      </c>
      <c r="AD1087" s="19"/>
      <c r="AE1087" s="19"/>
      <c r="AF1087" s="19"/>
      <c r="AG1087" s="19"/>
      <c r="AH1087" s="19" t="n">
        <v>136</v>
      </c>
      <c r="AI1087" s="19"/>
      <c r="AJ1087" s="19"/>
      <c r="AK1087" s="19"/>
      <c r="AL1087" s="19"/>
      <c r="AM1087" s="19"/>
      <c r="AN1087" s="19" t="n">
        <v>53</v>
      </c>
      <c r="AO1087" s="19" t="n">
        <v>118</v>
      </c>
      <c r="AP1087" s="19"/>
      <c r="AQ1087" s="19"/>
      <c r="AR1087" s="19"/>
      <c r="AS1087" s="20" t="str">
        <f aca="false">HYPERLINK("http://www.openstreetmap.org/?mlat=33.6823&amp;mlon=44.332&amp;zoom=12#map=12/33.6823/44.332","Maplink1")</f>
        <v>Maplink1</v>
      </c>
      <c r="AT1087" s="20" t="str">
        <f aca="false">HYPERLINK("https://www.google.iq/maps/search/+33.6823,44.332/@33.6823,44.332,14z?hl=en","Maplink2")</f>
        <v>Maplink2</v>
      </c>
      <c r="AU1087" s="20" t="str">
        <f aca="false">HYPERLINK("http://www.bing.com/maps/?lvl=14&amp;sty=h&amp;cp=33.6823~44.332&amp;sp=point.33.6823_44.332","Maplink3")</f>
        <v>Maplink3</v>
      </c>
    </row>
    <row r="1088" customFormat="false" ht="15" hidden="false" customHeight="true" outlineLevel="0" collapsed="false">
      <c r="A1088" s="15" t="n">
        <v>25422</v>
      </c>
      <c r="B1088" s="16" t="s">
        <v>17</v>
      </c>
      <c r="C1088" s="16" t="s">
        <v>2127</v>
      </c>
      <c r="D1088" s="16" t="s">
        <v>2153</v>
      </c>
      <c r="E1088" s="17" t="s">
        <v>2154</v>
      </c>
      <c r="F1088" s="16" t="n">
        <v>33.64</v>
      </c>
      <c r="G1088" s="16" t="n">
        <v>44.37747</v>
      </c>
      <c r="H1088" s="18" t="n">
        <v>155</v>
      </c>
      <c r="I1088" s="18" t="n">
        <v>930</v>
      </c>
      <c r="J1088" s="19" t="n">
        <v>103</v>
      </c>
      <c r="K1088" s="19"/>
      <c r="L1088" s="19"/>
      <c r="M1088" s="19"/>
      <c r="N1088" s="19"/>
      <c r="O1088" s="19" t="n">
        <v>20</v>
      </c>
      <c r="P1088" s="19"/>
      <c r="Q1088" s="19"/>
      <c r="R1088" s="19"/>
      <c r="S1088" s="19"/>
      <c r="T1088" s="19"/>
      <c r="U1088" s="19"/>
      <c r="V1088" s="19"/>
      <c r="W1088" s="19"/>
      <c r="X1088" s="19" t="n">
        <v>32</v>
      </c>
      <c r="Y1088" s="19"/>
      <c r="Z1088" s="19"/>
      <c r="AA1088" s="19"/>
      <c r="AB1088" s="19"/>
      <c r="AC1088" s="19" t="n">
        <v>60</v>
      </c>
      <c r="AD1088" s="19"/>
      <c r="AE1088" s="19"/>
      <c r="AF1088" s="19"/>
      <c r="AG1088" s="19"/>
      <c r="AH1088" s="19" t="n">
        <v>95</v>
      </c>
      <c r="AI1088" s="19"/>
      <c r="AJ1088" s="19"/>
      <c r="AK1088" s="19"/>
      <c r="AL1088" s="19" t="n">
        <v>63</v>
      </c>
      <c r="AM1088" s="19" t="n">
        <v>72</v>
      </c>
      <c r="AN1088" s="19"/>
      <c r="AO1088" s="19" t="n">
        <v>20</v>
      </c>
      <c r="AP1088" s="19"/>
      <c r="AQ1088" s="19"/>
      <c r="AR1088" s="19"/>
      <c r="AS1088" s="20" t="str">
        <f aca="false">HYPERLINK("http://www.openstreetmap.org/?mlat=33.64&amp;mlon=44.3775&amp;zoom=12#map=12/33.64/44.3775","Maplink1")</f>
        <v>Maplink1</v>
      </c>
      <c r="AT1088" s="20" t="str">
        <f aca="false">HYPERLINK("https://www.google.iq/maps/search/+33.64,44.3775/@33.64,44.3775,14z?hl=en","Maplink2")</f>
        <v>Maplink2</v>
      </c>
      <c r="AU1088" s="20" t="str">
        <f aca="false">HYPERLINK("http://www.bing.com/maps/?lvl=14&amp;sty=h&amp;cp=33.64~44.3775&amp;sp=point.33.64_44.3775","Maplink3")</f>
        <v>Maplink3</v>
      </c>
    </row>
    <row r="1089" customFormat="false" ht="15" hidden="false" customHeight="true" outlineLevel="0" collapsed="false">
      <c r="A1089" s="15" t="n">
        <v>25421</v>
      </c>
      <c r="B1089" s="16" t="s">
        <v>17</v>
      </c>
      <c r="C1089" s="16" t="s">
        <v>2127</v>
      </c>
      <c r="D1089" s="16" t="s">
        <v>2155</v>
      </c>
      <c r="E1089" s="17" t="s">
        <v>2156</v>
      </c>
      <c r="F1089" s="16" t="n">
        <v>33.66323</v>
      </c>
      <c r="G1089" s="16" t="n">
        <v>44.37276</v>
      </c>
      <c r="H1089" s="18" t="n">
        <v>180</v>
      </c>
      <c r="I1089" s="18" t="n">
        <v>1080</v>
      </c>
      <c r="J1089" s="19" t="n">
        <v>105</v>
      </c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 t="n">
        <v>75</v>
      </c>
      <c r="Y1089" s="19"/>
      <c r="Z1089" s="19"/>
      <c r="AA1089" s="19"/>
      <c r="AB1089" s="19"/>
      <c r="AC1089" s="19" t="n">
        <v>45</v>
      </c>
      <c r="AD1089" s="19"/>
      <c r="AE1089" s="19"/>
      <c r="AF1089" s="19"/>
      <c r="AG1089" s="19"/>
      <c r="AH1089" s="19" t="n">
        <v>135</v>
      </c>
      <c r="AI1089" s="19"/>
      <c r="AJ1089" s="19"/>
      <c r="AK1089" s="19"/>
      <c r="AL1089" s="19"/>
      <c r="AM1089" s="19"/>
      <c r="AN1089" s="19" t="n">
        <v>45</v>
      </c>
      <c r="AO1089" s="19" t="n">
        <v>135</v>
      </c>
      <c r="AP1089" s="19"/>
      <c r="AQ1089" s="19"/>
      <c r="AR1089" s="19"/>
      <c r="AS1089" s="20" t="str">
        <f aca="false">HYPERLINK("http://www.openstreetmap.org/?mlat=33.6632&amp;mlon=44.3728&amp;zoom=12#map=12/33.6632/44.3728","Maplink1")</f>
        <v>Maplink1</v>
      </c>
      <c r="AT1089" s="20" t="str">
        <f aca="false">HYPERLINK("https://www.google.iq/maps/search/+33.6632,44.3728/@33.6632,44.3728,14z?hl=en","Maplink2")</f>
        <v>Maplink2</v>
      </c>
      <c r="AU1089" s="20" t="str">
        <f aca="false">HYPERLINK("http://www.bing.com/maps/?lvl=14&amp;sty=h&amp;cp=33.6632~44.3728&amp;sp=point.33.6632_44.3728","Maplink3")</f>
        <v>Maplink3</v>
      </c>
    </row>
    <row r="1090" customFormat="false" ht="15" hidden="false" customHeight="true" outlineLevel="0" collapsed="false">
      <c r="A1090" s="15" t="n">
        <v>25428</v>
      </c>
      <c r="B1090" s="16" t="s">
        <v>17</v>
      </c>
      <c r="C1090" s="16" t="s">
        <v>2127</v>
      </c>
      <c r="D1090" s="16" t="s">
        <v>2157</v>
      </c>
      <c r="E1090" s="17" t="s">
        <v>2158</v>
      </c>
      <c r="F1090" s="16" t="n">
        <v>33.71606</v>
      </c>
      <c r="G1090" s="16" t="n">
        <v>44.34404</v>
      </c>
      <c r="H1090" s="18" t="n">
        <v>80</v>
      </c>
      <c r="I1090" s="18" t="n">
        <v>480</v>
      </c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 t="n">
        <v>80</v>
      </c>
      <c r="Y1090" s="19"/>
      <c r="Z1090" s="19"/>
      <c r="AA1090" s="19"/>
      <c r="AB1090" s="19"/>
      <c r="AC1090" s="19" t="n">
        <v>58</v>
      </c>
      <c r="AD1090" s="19"/>
      <c r="AE1090" s="19"/>
      <c r="AF1090" s="19"/>
      <c r="AG1090" s="19"/>
      <c r="AH1090" s="19" t="n">
        <v>22</v>
      </c>
      <c r="AI1090" s="19"/>
      <c r="AJ1090" s="19"/>
      <c r="AK1090" s="19"/>
      <c r="AL1090" s="19"/>
      <c r="AM1090" s="19"/>
      <c r="AN1090" s="19" t="n">
        <v>21</v>
      </c>
      <c r="AO1090" s="19" t="n">
        <v>59</v>
      </c>
      <c r="AP1090" s="19"/>
      <c r="AQ1090" s="19"/>
      <c r="AR1090" s="19"/>
      <c r="AS1090" s="20" t="str">
        <f aca="false">HYPERLINK("http://www.openstreetmap.org/?mlat=33.7161&amp;mlon=44.344&amp;zoom=12#map=12/33.7161/44.344","Maplink1")</f>
        <v>Maplink1</v>
      </c>
      <c r="AT1090" s="20" t="str">
        <f aca="false">HYPERLINK("https://www.google.iq/maps/search/+33.7161,44.344/@33.7161,44.344,14z?hl=en","Maplink2")</f>
        <v>Maplink2</v>
      </c>
      <c r="AU1090" s="20" t="str">
        <f aca="false">HYPERLINK("http://www.bing.com/maps/?lvl=14&amp;sty=h&amp;cp=33.7161~44.344&amp;sp=point.33.7161_44.344","Maplink3")</f>
        <v>Maplink3</v>
      </c>
    </row>
    <row r="1091" customFormat="false" ht="15" hidden="false" customHeight="true" outlineLevel="0" collapsed="false">
      <c r="A1091" s="15" t="n">
        <v>25425</v>
      </c>
      <c r="B1091" s="16" t="s">
        <v>17</v>
      </c>
      <c r="C1091" s="16" t="s">
        <v>2127</v>
      </c>
      <c r="D1091" s="16" t="s">
        <v>2159</v>
      </c>
      <c r="E1091" s="17" t="s">
        <v>2160</v>
      </c>
      <c r="F1091" s="16" t="n">
        <v>33.67252</v>
      </c>
      <c r="G1091" s="16" t="n">
        <v>44.26179</v>
      </c>
      <c r="H1091" s="18" t="n">
        <v>95</v>
      </c>
      <c r="I1091" s="18" t="n">
        <v>570</v>
      </c>
      <c r="J1091" s="19" t="n">
        <v>43</v>
      </c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 t="n">
        <v>52</v>
      </c>
      <c r="Y1091" s="19"/>
      <c r="Z1091" s="19"/>
      <c r="AA1091" s="19"/>
      <c r="AB1091" s="19"/>
      <c r="AC1091" s="19" t="n">
        <v>95</v>
      </c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 t="n">
        <v>43</v>
      </c>
      <c r="AN1091" s="19" t="n">
        <v>30</v>
      </c>
      <c r="AO1091" s="19" t="n">
        <v>22</v>
      </c>
      <c r="AP1091" s="19"/>
      <c r="AQ1091" s="19"/>
      <c r="AR1091" s="19"/>
      <c r="AS1091" s="20" t="str">
        <f aca="false">HYPERLINK("http://www.openstreetmap.org/?mlat=33.6725&amp;mlon=44.2618&amp;zoom=12#map=12/33.6725/44.2618","Maplink1")</f>
        <v>Maplink1</v>
      </c>
      <c r="AT1091" s="20" t="str">
        <f aca="false">HYPERLINK("https://www.google.iq/maps/search/+33.6725,44.2618/@33.6725,44.2618,14z?hl=en","Maplink2")</f>
        <v>Maplink2</v>
      </c>
      <c r="AU1091" s="20" t="str">
        <f aca="false">HYPERLINK("http://www.bing.com/maps/?lvl=14&amp;sty=h&amp;cp=33.6725~44.2618&amp;sp=point.33.6725_44.2618","Maplink3")</f>
        <v>Maplink3</v>
      </c>
    </row>
    <row r="1092" customFormat="false" ht="15" hidden="false" customHeight="true" outlineLevel="0" collapsed="false">
      <c r="A1092" s="15" t="n">
        <v>25426</v>
      </c>
      <c r="B1092" s="16" t="s">
        <v>17</v>
      </c>
      <c r="C1092" s="16" t="s">
        <v>2127</v>
      </c>
      <c r="D1092" s="16" t="s">
        <v>2161</v>
      </c>
      <c r="E1092" s="17" t="s">
        <v>2162</v>
      </c>
      <c r="F1092" s="16" t="n">
        <v>33.65093</v>
      </c>
      <c r="G1092" s="16" t="n">
        <v>44.27129</v>
      </c>
      <c r="H1092" s="18" t="n">
        <v>85</v>
      </c>
      <c r="I1092" s="18" t="n">
        <v>510</v>
      </c>
      <c r="J1092" s="19"/>
      <c r="K1092" s="19"/>
      <c r="L1092" s="19"/>
      <c r="M1092" s="19"/>
      <c r="N1092" s="19"/>
      <c r="O1092" s="19" t="n">
        <v>65</v>
      </c>
      <c r="P1092" s="19"/>
      <c r="Q1092" s="19"/>
      <c r="R1092" s="19"/>
      <c r="S1092" s="19"/>
      <c r="T1092" s="19"/>
      <c r="U1092" s="19"/>
      <c r="V1092" s="19"/>
      <c r="W1092" s="19"/>
      <c r="X1092" s="19" t="n">
        <v>20</v>
      </c>
      <c r="Y1092" s="19"/>
      <c r="Z1092" s="19"/>
      <c r="AA1092" s="19"/>
      <c r="AB1092" s="19"/>
      <c r="AC1092" s="19" t="n">
        <v>85</v>
      </c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 t="n">
        <v>35</v>
      </c>
      <c r="AO1092" s="19" t="n">
        <v>50</v>
      </c>
      <c r="AP1092" s="19"/>
      <c r="AQ1092" s="19"/>
      <c r="AR1092" s="19"/>
      <c r="AS1092" s="20" t="str">
        <f aca="false">HYPERLINK("http://www.openstreetmap.org/?mlat=33.6509&amp;mlon=44.2713&amp;zoom=12#map=12/33.6509/44.2713","Maplink1")</f>
        <v>Maplink1</v>
      </c>
      <c r="AT1092" s="20" t="str">
        <f aca="false">HYPERLINK("https://www.google.iq/maps/search/+33.6509,44.2713/@33.6509,44.2713,14z?hl=en","Maplink2")</f>
        <v>Maplink2</v>
      </c>
      <c r="AU1092" s="20" t="str">
        <f aca="false">HYPERLINK("http://www.bing.com/maps/?lvl=14&amp;sty=h&amp;cp=33.6509~44.2713&amp;sp=point.33.6509_44.2713","Maplink3")</f>
        <v>Maplink3</v>
      </c>
    </row>
    <row r="1093" customFormat="false" ht="15" hidden="false" customHeight="true" outlineLevel="0" collapsed="false">
      <c r="A1093" s="15" t="n">
        <v>24736</v>
      </c>
      <c r="B1093" s="16" t="s">
        <v>17</v>
      </c>
      <c r="C1093" s="16" t="s">
        <v>2163</v>
      </c>
      <c r="D1093" s="16" t="s">
        <v>2164</v>
      </c>
      <c r="E1093" s="17" t="s">
        <v>2165</v>
      </c>
      <c r="F1093" s="16" t="n">
        <v>33.37497072</v>
      </c>
      <c r="G1093" s="16" t="n">
        <v>44.45036802</v>
      </c>
      <c r="H1093" s="18" t="n">
        <v>11</v>
      </c>
      <c r="I1093" s="18" t="n">
        <v>66</v>
      </c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 t="n">
        <v>6</v>
      </c>
      <c r="W1093" s="19"/>
      <c r="X1093" s="19" t="n">
        <v>5</v>
      </c>
      <c r="Y1093" s="19"/>
      <c r="Z1093" s="19"/>
      <c r="AA1093" s="19"/>
      <c r="AB1093" s="19"/>
      <c r="AC1093" s="19" t="n">
        <v>11</v>
      </c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 t="n">
        <v>11</v>
      </c>
      <c r="AO1093" s="19"/>
      <c r="AP1093" s="19"/>
      <c r="AQ1093" s="19"/>
      <c r="AR1093" s="19"/>
      <c r="AS1093" s="20" t="str">
        <f aca="false">HYPERLINK("http://www.openstreetmap.org/?mlat=33.375&amp;mlon=44.4504&amp;zoom=12#map=12/33.375/44.4504","Maplink1")</f>
        <v>Maplink1</v>
      </c>
      <c r="AT1093" s="20" t="str">
        <f aca="false">HYPERLINK("https://www.google.iq/maps/search/+33.375,44.4504/@33.375,44.4504,14z?hl=en","Maplink2")</f>
        <v>Maplink2</v>
      </c>
      <c r="AU1093" s="20" t="str">
        <f aca="false">HYPERLINK("http://www.bing.com/maps/?lvl=14&amp;sty=h&amp;cp=33.375~44.4504&amp;sp=point.33.375_44.4504","Maplink3")</f>
        <v>Maplink3</v>
      </c>
    </row>
    <row r="1094" customFormat="false" ht="15" hidden="false" customHeight="true" outlineLevel="0" collapsed="false">
      <c r="A1094" s="15" t="n">
        <v>24737</v>
      </c>
      <c r="B1094" s="16" t="s">
        <v>17</v>
      </c>
      <c r="C1094" s="16" t="s">
        <v>2163</v>
      </c>
      <c r="D1094" s="16" t="s">
        <v>2166</v>
      </c>
      <c r="E1094" s="17" t="s">
        <v>2167</v>
      </c>
      <c r="F1094" s="16" t="n">
        <v>33.39924207</v>
      </c>
      <c r="G1094" s="16" t="n">
        <v>44.47767055</v>
      </c>
      <c r="H1094" s="18" t="n">
        <v>8</v>
      </c>
      <c r="I1094" s="18" t="n">
        <v>48</v>
      </c>
      <c r="J1094" s="19"/>
      <c r="K1094" s="19"/>
      <c r="L1094" s="19"/>
      <c r="M1094" s="19"/>
      <c r="N1094" s="19"/>
      <c r="O1094" s="19" t="n">
        <v>3</v>
      </c>
      <c r="P1094" s="19"/>
      <c r="Q1094" s="19"/>
      <c r="R1094" s="19"/>
      <c r="S1094" s="19"/>
      <c r="T1094" s="19"/>
      <c r="U1094" s="19"/>
      <c r="V1094" s="19"/>
      <c r="W1094" s="19"/>
      <c r="X1094" s="19" t="n">
        <v>5</v>
      </c>
      <c r="Y1094" s="19"/>
      <c r="Z1094" s="19"/>
      <c r="AA1094" s="19"/>
      <c r="AB1094" s="19"/>
      <c r="AC1094" s="19" t="n">
        <v>8</v>
      </c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 t="n">
        <v>8</v>
      </c>
      <c r="AP1094" s="19"/>
      <c r="AQ1094" s="19"/>
      <c r="AR1094" s="19"/>
      <c r="AS1094" s="20" t="str">
        <f aca="false">HYPERLINK("http://www.openstreetmap.org/?mlat=33.3992&amp;mlon=44.4777&amp;zoom=12#map=12/33.3992/44.4777","Maplink1")</f>
        <v>Maplink1</v>
      </c>
      <c r="AT1094" s="20" t="str">
        <f aca="false">HYPERLINK("https://www.google.iq/maps/search/+33.3992,44.4777/@33.3992,44.4777,14z?hl=en","Maplink2")</f>
        <v>Maplink2</v>
      </c>
      <c r="AU1094" s="20" t="str">
        <f aca="false">HYPERLINK("http://www.bing.com/maps/?lvl=14&amp;sty=h&amp;cp=33.3992~44.4777&amp;sp=point.33.3992_44.4777","Maplink3")</f>
        <v>Maplink3</v>
      </c>
    </row>
    <row r="1095" customFormat="false" ht="15" hidden="false" customHeight="true" outlineLevel="0" collapsed="false">
      <c r="A1095" s="15" t="n">
        <v>24503</v>
      </c>
      <c r="B1095" s="16" t="s">
        <v>17</v>
      </c>
      <c r="C1095" s="16" t="s">
        <v>2168</v>
      </c>
      <c r="D1095" s="16" t="s">
        <v>2169</v>
      </c>
      <c r="E1095" s="17" t="s">
        <v>2170</v>
      </c>
      <c r="F1095" s="16" t="n">
        <v>33.36277605</v>
      </c>
      <c r="G1095" s="16" t="n">
        <v>44.43326004</v>
      </c>
      <c r="H1095" s="18" t="n">
        <v>32</v>
      </c>
      <c r="I1095" s="18" t="n">
        <v>192</v>
      </c>
      <c r="J1095" s="19"/>
      <c r="K1095" s="19"/>
      <c r="L1095" s="19"/>
      <c r="M1095" s="19"/>
      <c r="N1095" s="19"/>
      <c r="O1095" s="19" t="n">
        <v>2</v>
      </c>
      <c r="P1095" s="19"/>
      <c r="Q1095" s="19"/>
      <c r="R1095" s="19" t="n">
        <v>5</v>
      </c>
      <c r="S1095" s="19"/>
      <c r="T1095" s="19"/>
      <c r="U1095" s="19"/>
      <c r="V1095" s="19" t="n">
        <v>25</v>
      </c>
      <c r="W1095" s="19"/>
      <c r="X1095" s="19"/>
      <c r="Y1095" s="19"/>
      <c r="Z1095" s="19"/>
      <c r="AA1095" s="19"/>
      <c r="AB1095" s="19"/>
      <c r="AC1095" s="19" t="n">
        <v>8</v>
      </c>
      <c r="AD1095" s="19"/>
      <c r="AE1095" s="19"/>
      <c r="AF1095" s="19"/>
      <c r="AG1095" s="19"/>
      <c r="AH1095" s="19" t="n">
        <v>4</v>
      </c>
      <c r="AI1095" s="19" t="n">
        <v>20</v>
      </c>
      <c r="AJ1095" s="19"/>
      <c r="AK1095" s="19"/>
      <c r="AL1095" s="19"/>
      <c r="AM1095" s="19"/>
      <c r="AN1095" s="19" t="n">
        <v>7</v>
      </c>
      <c r="AO1095" s="19" t="n">
        <v>20</v>
      </c>
      <c r="AP1095" s="19"/>
      <c r="AQ1095" s="19"/>
      <c r="AR1095" s="19" t="n">
        <v>5</v>
      </c>
      <c r="AS1095" s="20" t="str">
        <f aca="false">HYPERLINK("http://www.openstreetmap.org/?mlat=33.3628&amp;mlon=44.4333&amp;zoom=12#map=12/33.3628/44.4333","Maplink1")</f>
        <v>Maplink1</v>
      </c>
      <c r="AT1095" s="20" t="str">
        <f aca="false">HYPERLINK("https://www.google.iq/maps/search/+33.3628,44.4333/@33.3628,44.4333,14z?hl=en","Maplink2")</f>
        <v>Maplink2</v>
      </c>
      <c r="AU1095" s="20" t="str">
        <f aca="false">HYPERLINK("http://www.bing.com/maps/?lvl=14&amp;sty=h&amp;cp=33.3628~44.4333&amp;sp=point.33.3628_44.4333","Maplink3")</f>
        <v>Maplink3</v>
      </c>
    </row>
    <row r="1096" customFormat="false" ht="15" hidden="false" customHeight="true" outlineLevel="0" collapsed="false">
      <c r="A1096" s="15" t="n">
        <v>24622</v>
      </c>
      <c r="B1096" s="16" t="s">
        <v>17</v>
      </c>
      <c r="C1096" s="16" t="s">
        <v>2168</v>
      </c>
      <c r="D1096" s="16" t="s">
        <v>2171</v>
      </c>
      <c r="E1096" s="17" t="s">
        <v>2172</v>
      </c>
      <c r="F1096" s="16" t="n">
        <v>33.37664357</v>
      </c>
      <c r="G1096" s="16" t="n">
        <v>44.41615671</v>
      </c>
      <c r="H1096" s="18" t="n">
        <v>30</v>
      </c>
      <c r="I1096" s="18" t="n">
        <v>180</v>
      </c>
      <c r="J1096" s="19"/>
      <c r="K1096" s="19"/>
      <c r="L1096" s="19"/>
      <c r="M1096" s="19"/>
      <c r="N1096" s="19"/>
      <c r="O1096" s="19"/>
      <c r="P1096" s="19"/>
      <c r="Q1096" s="19"/>
      <c r="R1096" s="19" t="n">
        <v>7</v>
      </c>
      <c r="S1096" s="19"/>
      <c r="T1096" s="19"/>
      <c r="U1096" s="19"/>
      <c r="V1096" s="19" t="n">
        <v>23</v>
      </c>
      <c r="W1096" s="19"/>
      <c r="X1096" s="19"/>
      <c r="Y1096" s="19"/>
      <c r="Z1096" s="19"/>
      <c r="AA1096" s="19"/>
      <c r="AB1096" s="19"/>
      <c r="AC1096" s="19" t="n">
        <v>7</v>
      </c>
      <c r="AD1096" s="19"/>
      <c r="AE1096" s="19"/>
      <c r="AF1096" s="19"/>
      <c r="AG1096" s="19"/>
      <c r="AH1096" s="19"/>
      <c r="AI1096" s="19" t="n">
        <v>23</v>
      </c>
      <c r="AJ1096" s="19"/>
      <c r="AK1096" s="19"/>
      <c r="AL1096" s="19"/>
      <c r="AM1096" s="19"/>
      <c r="AN1096" s="19"/>
      <c r="AO1096" s="19" t="n">
        <v>30</v>
      </c>
      <c r="AP1096" s="19"/>
      <c r="AQ1096" s="19"/>
      <c r="AR1096" s="19"/>
      <c r="AS1096" s="20" t="str">
        <f aca="false">HYPERLINK("http://www.openstreetmap.org/?mlat=33.3766&amp;mlon=44.4162&amp;zoom=12#map=12/33.3766/44.4162","Maplink1")</f>
        <v>Maplink1</v>
      </c>
      <c r="AT1096" s="20" t="str">
        <f aca="false">HYPERLINK("https://www.google.iq/maps/search/+33.3766,44.4162/@33.3766,44.4162,14z?hl=en","Maplink2")</f>
        <v>Maplink2</v>
      </c>
      <c r="AU1096" s="20" t="str">
        <f aca="false">HYPERLINK("http://www.bing.com/maps/?lvl=14&amp;sty=h&amp;cp=33.3766~44.4162&amp;sp=point.33.3766_44.4162","Maplink3")</f>
        <v>Maplink3</v>
      </c>
    </row>
    <row r="1097" customFormat="false" ht="15" hidden="false" customHeight="true" outlineLevel="0" collapsed="false">
      <c r="A1097" s="15" t="n">
        <v>24656</v>
      </c>
      <c r="B1097" s="16" t="s">
        <v>17</v>
      </c>
      <c r="C1097" s="16" t="s">
        <v>2168</v>
      </c>
      <c r="D1097" s="16" t="s">
        <v>2173</v>
      </c>
      <c r="E1097" s="17" t="s">
        <v>2174</v>
      </c>
      <c r="F1097" s="16" t="n">
        <v>33.36779092</v>
      </c>
      <c r="G1097" s="16" t="n">
        <v>44.43493874</v>
      </c>
      <c r="H1097" s="18" t="n">
        <v>54</v>
      </c>
      <c r="I1097" s="18" t="n">
        <v>324</v>
      </c>
      <c r="J1097" s="19"/>
      <c r="K1097" s="19"/>
      <c r="L1097" s="19"/>
      <c r="M1097" s="19"/>
      <c r="N1097" s="19"/>
      <c r="O1097" s="19" t="n">
        <v>12</v>
      </c>
      <c r="P1097" s="19"/>
      <c r="Q1097" s="19"/>
      <c r="R1097" s="19"/>
      <c r="S1097" s="19"/>
      <c r="T1097" s="19"/>
      <c r="U1097" s="19"/>
      <c r="V1097" s="19" t="n">
        <v>18</v>
      </c>
      <c r="W1097" s="19"/>
      <c r="X1097" s="19" t="n">
        <v>24</v>
      </c>
      <c r="Y1097" s="19"/>
      <c r="Z1097" s="19"/>
      <c r="AA1097" s="19"/>
      <c r="AB1097" s="19"/>
      <c r="AC1097" s="19" t="n">
        <v>16</v>
      </c>
      <c r="AD1097" s="19"/>
      <c r="AE1097" s="19"/>
      <c r="AF1097" s="19"/>
      <c r="AG1097" s="19"/>
      <c r="AH1097" s="19" t="n">
        <v>38</v>
      </c>
      <c r="AI1097" s="19"/>
      <c r="AJ1097" s="19"/>
      <c r="AK1097" s="19"/>
      <c r="AL1097" s="19"/>
      <c r="AM1097" s="19" t="n">
        <v>28</v>
      </c>
      <c r="AN1097" s="19"/>
      <c r="AO1097" s="19" t="n">
        <v>23</v>
      </c>
      <c r="AP1097" s="19"/>
      <c r="AQ1097" s="19"/>
      <c r="AR1097" s="19" t="n">
        <v>3</v>
      </c>
      <c r="AS1097" s="20" t="str">
        <f aca="false">HYPERLINK("http://www.openstreetmap.org/?mlat=33.3678&amp;mlon=44.4349&amp;zoom=12#map=12/33.3678/44.4349","Maplink1")</f>
        <v>Maplink1</v>
      </c>
      <c r="AT1097" s="20" t="str">
        <f aca="false">HYPERLINK("https://www.google.iq/maps/search/+33.3678,44.4349/@33.3678,44.4349,14z?hl=en","Maplink2")</f>
        <v>Maplink2</v>
      </c>
      <c r="AU1097" s="20" t="str">
        <f aca="false">HYPERLINK("http://www.bing.com/maps/?lvl=14&amp;sty=h&amp;cp=33.3678~44.4349&amp;sp=point.33.3678_44.4349","Maplink3")</f>
        <v>Maplink3</v>
      </c>
    </row>
    <row r="1098" customFormat="false" ht="15" hidden="false" customHeight="true" outlineLevel="0" collapsed="false">
      <c r="A1098" s="15" t="n">
        <v>24655</v>
      </c>
      <c r="B1098" s="16" t="s">
        <v>17</v>
      </c>
      <c r="C1098" s="16" t="s">
        <v>2168</v>
      </c>
      <c r="D1098" s="16" t="s">
        <v>2175</v>
      </c>
      <c r="E1098" s="17" t="s">
        <v>2176</v>
      </c>
      <c r="F1098" s="16" t="n">
        <v>33.35558441</v>
      </c>
      <c r="G1098" s="16" t="n">
        <v>44.44568236</v>
      </c>
      <c r="H1098" s="18" t="n">
        <v>26</v>
      </c>
      <c r="I1098" s="18" t="n">
        <v>156</v>
      </c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 t="n">
        <v>22</v>
      </c>
      <c r="W1098" s="19"/>
      <c r="X1098" s="19" t="n">
        <v>4</v>
      </c>
      <c r="Y1098" s="19"/>
      <c r="Z1098" s="19"/>
      <c r="AA1098" s="19"/>
      <c r="AB1098" s="19"/>
      <c r="AC1098" s="19" t="n">
        <v>10</v>
      </c>
      <c r="AD1098" s="19"/>
      <c r="AE1098" s="19"/>
      <c r="AF1098" s="19"/>
      <c r="AG1098" s="19"/>
      <c r="AH1098" s="19" t="n">
        <v>16</v>
      </c>
      <c r="AI1098" s="19"/>
      <c r="AJ1098" s="19"/>
      <c r="AK1098" s="19"/>
      <c r="AL1098" s="19"/>
      <c r="AM1098" s="19"/>
      <c r="AN1098" s="19"/>
      <c r="AO1098" s="19" t="n">
        <v>26</v>
      </c>
      <c r="AP1098" s="19"/>
      <c r="AQ1098" s="19"/>
      <c r="AR1098" s="19"/>
      <c r="AS1098" s="20" t="str">
        <f aca="false">HYPERLINK("http://www.openstreetmap.org/?mlat=33.3556&amp;mlon=44.4457&amp;zoom=12#map=12/33.3556/44.4457","Maplink1")</f>
        <v>Maplink1</v>
      </c>
      <c r="AT1098" s="20" t="str">
        <f aca="false">HYPERLINK("https://www.google.iq/maps/search/+33.3556,44.4457/@33.3556,44.4457,14z?hl=en","Maplink2")</f>
        <v>Maplink2</v>
      </c>
      <c r="AU1098" s="20" t="str">
        <f aca="false">HYPERLINK("http://www.bing.com/maps/?lvl=14&amp;sty=h&amp;cp=33.3556~44.4457&amp;sp=point.33.3556_44.4457","Maplink3")</f>
        <v>Maplink3</v>
      </c>
    </row>
    <row r="1099" customFormat="false" ht="15" hidden="false" customHeight="true" outlineLevel="0" collapsed="false">
      <c r="A1099" s="15" t="n">
        <v>22883</v>
      </c>
      <c r="B1099" s="16" t="s">
        <v>17</v>
      </c>
      <c r="C1099" s="16" t="s">
        <v>2168</v>
      </c>
      <c r="D1099" s="16" t="s">
        <v>2177</v>
      </c>
      <c r="E1099" s="17" t="s">
        <v>2178</v>
      </c>
      <c r="F1099" s="16" t="n">
        <v>33.37289409</v>
      </c>
      <c r="G1099" s="16" t="n">
        <v>44.42322653</v>
      </c>
      <c r="H1099" s="18" t="n">
        <v>32</v>
      </c>
      <c r="I1099" s="18" t="n">
        <v>192</v>
      </c>
      <c r="J1099" s="19"/>
      <c r="K1099" s="19"/>
      <c r="L1099" s="19"/>
      <c r="M1099" s="19"/>
      <c r="N1099" s="19"/>
      <c r="O1099" s="19"/>
      <c r="P1099" s="19"/>
      <c r="Q1099" s="19"/>
      <c r="R1099" s="19" t="n">
        <v>10</v>
      </c>
      <c r="S1099" s="19"/>
      <c r="T1099" s="19"/>
      <c r="U1099" s="19"/>
      <c r="V1099" s="19" t="n">
        <v>22</v>
      </c>
      <c r="W1099" s="19"/>
      <c r="X1099" s="19"/>
      <c r="Y1099" s="19"/>
      <c r="Z1099" s="19"/>
      <c r="AA1099" s="19"/>
      <c r="AB1099" s="19"/>
      <c r="AC1099" s="19" t="n">
        <v>6</v>
      </c>
      <c r="AD1099" s="19"/>
      <c r="AE1099" s="19"/>
      <c r="AF1099" s="19"/>
      <c r="AG1099" s="19"/>
      <c r="AH1099" s="19" t="n">
        <v>26</v>
      </c>
      <c r="AI1099" s="19"/>
      <c r="AJ1099" s="19"/>
      <c r="AK1099" s="19"/>
      <c r="AL1099" s="19"/>
      <c r="AM1099" s="19"/>
      <c r="AN1099" s="19"/>
      <c r="AO1099" s="19" t="n">
        <v>30</v>
      </c>
      <c r="AP1099" s="19"/>
      <c r="AQ1099" s="19"/>
      <c r="AR1099" s="19" t="n">
        <v>2</v>
      </c>
      <c r="AS1099" s="20" t="str">
        <f aca="false">HYPERLINK("http://www.openstreetmap.org/?mlat=33.3729&amp;mlon=44.4232&amp;zoom=12#map=12/33.3729/44.4232","Maplink1")</f>
        <v>Maplink1</v>
      </c>
      <c r="AT1099" s="20" t="str">
        <f aca="false">HYPERLINK("https://www.google.iq/maps/search/+33.3729,44.4232/@33.3729,44.4232,14z?hl=en","Maplink2")</f>
        <v>Maplink2</v>
      </c>
      <c r="AU1099" s="20" t="str">
        <f aca="false">HYPERLINK("http://www.bing.com/maps/?lvl=14&amp;sty=h&amp;cp=33.3729~44.4232&amp;sp=point.33.3729_44.4232","Maplink3")</f>
        <v>Maplink3</v>
      </c>
    </row>
    <row r="1100" customFormat="false" ht="15" hidden="false" customHeight="true" outlineLevel="0" collapsed="false">
      <c r="A1100" s="15" t="n">
        <v>24659</v>
      </c>
      <c r="B1100" s="16" t="s">
        <v>17</v>
      </c>
      <c r="C1100" s="16" t="s">
        <v>2168</v>
      </c>
      <c r="D1100" s="16" t="s">
        <v>2179</v>
      </c>
      <c r="E1100" s="17" t="s">
        <v>2180</v>
      </c>
      <c r="F1100" s="16" t="n">
        <v>33.36766429</v>
      </c>
      <c r="G1100" s="16" t="n">
        <v>44.43747027</v>
      </c>
      <c r="H1100" s="18" t="n">
        <v>73</v>
      </c>
      <c r="I1100" s="18" t="n">
        <v>438</v>
      </c>
      <c r="J1100" s="19" t="n">
        <v>3</v>
      </c>
      <c r="K1100" s="19"/>
      <c r="L1100" s="19"/>
      <c r="M1100" s="19"/>
      <c r="N1100" s="19"/>
      <c r="O1100" s="19"/>
      <c r="P1100" s="19"/>
      <c r="Q1100" s="19"/>
      <c r="R1100" s="19" t="n">
        <v>16</v>
      </c>
      <c r="S1100" s="19"/>
      <c r="T1100" s="19"/>
      <c r="U1100" s="19"/>
      <c r="V1100" s="19" t="n">
        <v>54</v>
      </c>
      <c r="W1100" s="19"/>
      <c r="X1100" s="19"/>
      <c r="Y1100" s="19"/>
      <c r="Z1100" s="19"/>
      <c r="AA1100" s="19"/>
      <c r="AB1100" s="19"/>
      <c r="AC1100" s="19" t="n">
        <v>7</v>
      </c>
      <c r="AD1100" s="19"/>
      <c r="AE1100" s="19"/>
      <c r="AF1100" s="19"/>
      <c r="AG1100" s="19"/>
      <c r="AH1100" s="19" t="n">
        <v>47</v>
      </c>
      <c r="AI1100" s="19" t="n">
        <v>19</v>
      </c>
      <c r="AJ1100" s="19"/>
      <c r="AK1100" s="19"/>
      <c r="AL1100" s="19"/>
      <c r="AM1100" s="19"/>
      <c r="AN1100" s="19"/>
      <c r="AO1100" s="19" t="n">
        <v>70</v>
      </c>
      <c r="AP1100" s="19" t="n">
        <v>3</v>
      </c>
      <c r="AQ1100" s="19"/>
      <c r="AR1100" s="19"/>
      <c r="AS1100" s="20" t="str">
        <f aca="false">HYPERLINK("http://www.openstreetmap.org/?mlat=33.3677&amp;mlon=44.4375&amp;zoom=12#map=12/33.3677/44.4375","Maplink1")</f>
        <v>Maplink1</v>
      </c>
      <c r="AT1100" s="20" t="str">
        <f aca="false">HYPERLINK("https://www.google.iq/maps/search/+33.3677,44.4375/@33.3677,44.4375,14z?hl=en","Maplink2")</f>
        <v>Maplink2</v>
      </c>
      <c r="AU1100" s="20" t="str">
        <f aca="false">HYPERLINK("http://www.bing.com/maps/?lvl=14&amp;sty=h&amp;cp=33.3677~44.4375&amp;sp=point.33.3677_44.4375","Maplink3")</f>
        <v>Maplink3</v>
      </c>
    </row>
    <row r="1101" customFormat="false" ht="15" hidden="false" customHeight="true" outlineLevel="0" collapsed="false">
      <c r="A1101" s="15" t="n">
        <v>22884</v>
      </c>
      <c r="B1101" s="16" t="s">
        <v>17</v>
      </c>
      <c r="C1101" s="16" t="s">
        <v>2168</v>
      </c>
      <c r="D1101" s="16" t="s">
        <v>2181</v>
      </c>
      <c r="E1101" s="17" t="s">
        <v>2182</v>
      </c>
      <c r="F1101" s="16" t="n">
        <v>33.38083445</v>
      </c>
      <c r="G1101" s="16" t="n">
        <v>44.42503641</v>
      </c>
      <c r="H1101" s="18" t="n">
        <v>153</v>
      </c>
      <c r="I1101" s="18" t="n">
        <v>918</v>
      </c>
      <c r="J1101" s="19"/>
      <c r="K1101" s="19"/>
      <c r="L1101" s="19"/>
      <c r="M1101" s="19"/>
      <c r="N1101" s="19"/>
      <c r="O1101" s="19" t="n">
        <v>22</v>
      </c>
      <c r="P1101" s="19"/>
      <c r="Q1101" s="19"/>
      <c r="R1101" s="19"/>
      <c r="S1101" s="19"/>
      <c r="T1101" s="19"/>
      <c r="U1101" s="19"/>
      <c r="V1101" s="19" t="n">
        <v>131</v>
      </c>
      <c r="W1101" s="19"/>
      <c r="X1101" s="19"/>
      <c r="Y1101" s="19"/>
      <c r="Z1101" s="19"/>
      <c r="AA1101" s="19"/>
      <c r="AB1101" s="19"/>
      <c r="AC1101" s="19" t="n">
        <v>34</v>
      </c>
      <c r="AD1101" s="19"/>
      <c r="AE1101" s="19"/>
      <c r="AF1101" s="19"/>
      <c r="AG1101" s="19"/>
      <c r="AH1101" s="19" t="n">
        <v>89</v>
      </c>
      <c r="AI1101" s="19" t="n">
        <v>30</v>
      </c>
      <c r="AJ1101" s="19"/>
      <c r="AK1101" s="19"/>
      <c r="AL1101" s="19"/>
      <c r="AM1101" s="19" t="n">
        <v>114</v>
      </c>
      <c r="AN1101" s="19"/>
      <c r="AO1101" s="19" t="n">
        <v>39</v>
      </c>
      <c r="AP1101" s="19"/>
      <c r="AQ1101" s="19"/>
      <c r="AR1101" s="19"/>
      <c r="AS1101" s="20" t="str">
        <f aca="false">HYPERLINK("http://www.openstreetmap.org/?mlat=33.3808&amp;mlon=44.425&amp;zoom=12#map=12/33.3808/44.425","Maplink1")</f>
        <v>Maplink1</v>
      </c>
      <c r="AT1101" s="20" t="str">
        <f aca="false">HYPERLINK("https://www.google.iq/maps/search/+33.3808,44.425/@33.3808,44.425,14z?hl=en","Maplink2")</f>
        <v>Maplink2</v>
      </c>
      <c r="AU1101" s="20" t="str">
        <f aca="false">HYPERLINK("http://www.bing.com/maps/?lvl=14&amp;sty=h&amp;cp=33.3808~44.425&amp;sp=point.33.3808_44.425","Maplink3")</f>
        <v>Maplink3</v>
      </c>
    </row>
    <row r="1102" customFormat="false" ht="15" hidden="false" customHeight="true" outlineLevel="0" collapsed="false">
      <c r="A1102" s="15" t="n">
        <v>24658</v>
      </c>
      <c r="B1102" s="16" t="s">
        <v>17</v>
      </c>
      <c r="C1102" s="16" t="s">
        <v>2168</v>
      </c>
      <c r="D1102" s="16" t="s">
        <v>2183</v>
      </c>
      <c r="E1102" s="17" t="s">
        <v>2184</v>
      </c>
      <c r="F1102" s="16" t="n">
        <v>33.38021916</v>
      </c>
      <c r="G1102" s="16" t="n">
        <v>44.45616123</v>
      </c>
      <c r="H1102" s="18" t="n">
        <v>55</v>
      </c>
      <c r="I1102" s="18" t="n">
        <v>330</v>
      </c>
      <c r="J1102" s="19"/>
      <c r="K1102" s="19"/>
      <c r="L1102" s="19"/>
      <c r="M1102" s="19"/>
      <c r="N1102" s="19"/>
      <c r="O1102" s="19" t="n">
        <v>2</v>
      </c>
      <c r="P1102" s="19"/>
      <c r="Q1102" s="19"/>
      <c r="R1102" s="19" t="n">
        <v>24</v>
      </c>
      <c r="S1102" s="19"/>
      <c r="T1102" s="19"/>
      <c r="U1102" s="19"/>
      <c r="V1102" s="19" t="n">
        <v>29</v>
      </c>
      <c r="W1102" s="19"/>
      <c r="X1102" s="19"/>
      <c r="Y1102" s="19"/>
      <c r="Z1102" s="19"/>
      <c r="AA1102" s="19"/>
      <c r="AB1102" s="19"/>
      <c r="AC1102" s="19" t="n">
        <v>13</v>
      </c>
      <c r="AD1102" s="19"/>
      <c r="AE1102" s="19"/>
      <c r="AF1102" s="19"/>
      <c r="AG1102" s="19"/>
      <c r="AH1102" s="19" t="n">
        <v>42</v>
      </c>
      <c r="AI1102" s="19"/>
      <c r="AJ1102" s="19"/>
      <c r="AK1102" s="19"/>
      <c r="AL1102" s="19"/>
      <c r="AM1102" s="19"/>
      <c r="AN1102" s="19"/>
      <c r="AO1102" s="19" t="n">
        <v>54</v>
      </c>
      <c r="AP1102" s="19"/>
      <c r="AQ1102" s="19"/>
      <c r="AR1102" s="19" t="n">
        <v>1</v>
      </c>
      <c r="AS1102" s="20" t="str">
        <f aca="false">HYPERLINK("http://www.openstreetmap.org/?mlat=33.3802&amp;mlon=44.4562&amp;zoom=12#map=12/33.3802/44.4562","Maplink1")</f>
        <v>Maplink1</v>
      </c>
      <c r="AT1102" s="20" t="str">
        <f aca="false">HYPERLINK("https://www.google.iq/maps/search/+33.3802,44.4562/@33.3802,44.4562,14z?hl=en","Maplink2")</f>
        <v>Maplink2</v>
      </c>
      <c r="AU1102" s="20" t="str">
        <f aca="false">HYPERLINK("http://www.bing.com/maps/?lvl=14&amp;sty=h&amp;cp=33.3802~44.4562&amp;sp=point.33.3802_44.4562","Maplink3")</f>
        <v>Maplink3</v>
      </c>
    </row>
    <row r="1103" customFormat="false" ht="15" hidden="false" customHeight="true" outlineLevel="0" collapsed="false">
      <c r="A1103" s="15" t="n">
        <v>24657</v>
      </c>
      <c r="B1103" s="16" t="s">
        <v>17</v>
      </c>
      <c r="C1103" s="16" t="s">
        <v>2168</v>
      </c>
      <c r="D1103" s="16" t="s">
        <v>2185</v>
      </c>
      <c r="E1103" s="17" t="s">
        <v>2186</v>
      </c>
      <c r="F1103" s="16" t="n">
        <v>33.385092</v>
      </c>
      <c r="G1103" s="16" t="n">
        <v>44.48192319</v>
      </c>
      <c r="H1103" s="18" t="n">
        <v>34</v>
      </c>
      <c r="I1103" s="18" t="n">
        <v>204</v>
      </c>
      <c r="J1103" s="19"/>
      <c r="K1103" s="19"/>
      <c r="L1103" s="19"/>
      <c r="M1103" s="19"/>
      <c r="N1103" s="19"/>
      <c r="O1103" s="19"/>
      <c r="P1103" s="19"/>
      <c r="Q1103" s="19"/>
      <c r="R1103" s="19" t="n">
        <v>7</v>
      </c>
      <c r="S1103" s="19"/>
      <c r="T1103" s="19"/>
      <c r="U1103" s="19"/>
      <c r="V1103" s="19" t="n">
        <v>19</v>
      </c>
      <c r="W1103" s="19"/>
      <c r="X1103" s="19" t="n">
        <v>8</v>
      </c>
      <c r="Y1103" s="19"/>
      <c r="Z1103" s="19"/>
      <c r="AA1103" s="19"/>
      <c r="AB1103" s="19"/>
      <c r="AC1103" s="19" t="n">
        <v>5</v>
      </c>
      <c r="AD1103" s="19"/>
      <c r="AE1103" s="19"/>
      <c r="AF1103" s="19"/>
      <c r="AG1103" s="19"/>
      <c r="AH1103" s="19" t="n">
        <v>29</v>
      </c>
      <c r="AI1103" s="19"/>
      <c r="AJ1103" s="19"/>
      <c r="AK1103" s="19"/>
      <c r="AL1103" s="19"/>
      <c r="AM1103" s="19"/>
      <c r="AN1103" s="19"/>
      <c r="AO1103" s="19" t="n">
        <v>34</v>
      </c>
      <c r="AP1103" s="19"/>
      <c r="AQ1103" s="19"/>
      <c r="AR1103" s="19"/>
      <c r="AS1103" s="20" t="str">
        <f aca="false">HYPERLINK("http://www.openstreetmap.org/?mlat=33.3851&amp;mlon=44.4819&amp;zoom=12#map=12/33.3851/44.4819","Maplink1")</f>
        <v>Maplink1</v>
      </c>
      <c r="AT1103" s="20" t="str">
        <f aca="false">HYPERLINK("https://www.google.iq/maps/search/+33.3851,44.4819/@33.3851,44.4819,14z?hl=en","Maplink2")</f>
        <v>Maplink2</v>
      </c>
      <c r="AU1103" s="20" t="str">
        <f aca="false">HYPERLINK("http://www.bing.com/maps/?lvl=14&amp;sty=h&amp;cp=33.3851~44.4819&amp;sp=point.33.3851_44.4819","Maplink3")</f>
        <v>Maplink3</v>
      </c>
    </row>
    <row r="1104" customFormat="false" ht="15" hidden="false" customHeight="true" outlineLevel="0" collapsed="false">
      <c r="A1104" s="15" t="n">
        <v>24504</v>
      </c>
      <c r="B1104" s="16" t="s">
        <v>17</v>
      </c>
      <c r="C1104" s="16" t="s">
        <v>2168</v>
      </c>
      <c r="D1104" s="16" t="s">
        <v>2187</v>
      </c>
      <c r="E1104" s="17" t="s">
        <v>2188</v>
      </c>
      <c r="F1104" s="16" t="n">
        <v>33.39054295</v>
      </c>
      <c r="G1104" s="16" t="n">
        <v>44.46779352</v>
      </c>
      <c r="H1104" s="18" t="n">
        <v>10</v>
      </c>
      <c r="I1104" s="18" t="n">
        <v>60</v>
      </c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 t="n">
        <v>10</v>
      </c>
      <c r="W1104" s="19"/>
      <c r="X1104" s="19"/>
      <c r="Y1104" s="19"/>
      <c r="Z1104" s="19"/>
      <c r="AA1104" s="19"/>
      <c r="AB1104" s="19"/>
      <c r="AC1104" s="19" t="n">
        <v>4</v>
      </c>
      <c r="AD1104" s="19"/>
      <c r="AE1104" s="19"/>
      <c r="AF1104" s="19"/>
      <c r="AG1104" s="19"/>
      <c r="AH1104" s="19" t="n">
        <v>6</v>
      </c>
      <c r="AI1104" s="19"/>
      <c r="AJ1104" s="19"/>
      <c r="AK1104" s="19"/>
      <c r="AL1104" s="19"/>
      <c r="AM1104" s="19"/>
      <c r="AN1104" s="19" t="n">
        <v>10</v>
      </c>
      <c r="AO1104" s="19"/>
      <c r="AP1104" s="19"/>
      <c r="AQ1104" s="19"/>
      <c r="AR1104" s="19"/>
      <c r="AS1104" s="20" t="str">
        <f aca="false">HYPERLINK("http://www.openstreetmap.org/?mlat=33.3905&amp;mlon=44.4678&amp;zoom=12#map=12/33.3905/44.4678","Maplink1")</f>
        <v>Maplink1</v>
      </c>
      <c r="AT1104" s="20" t="str">
        <f aca="false">HYPERLINK("https://www.google.iq/maps/search/+33.3905,44.4678/@33.3905,44.4678,14z?hl=en","Maplink2")</f>
        <v>Maplink2</v>
      </c>
      <c r="AU1104" s="20" t="str">
        <f aca="false">HYPERLINK("http://www.bing.com/maps/?lvl=14&amp;sty=h&amp;cp=33.3905~44.4678&amp;sp=point.33.3905_44.4678","Maplink3")</f>
        <v>Maplink3</v>
      </c>
    </row>
    <row r="1105" customFormat="false" ht="15" hidden="false" customHeight="true" outlineLevel="0" collapsed="false">
      <c r="A1105" s="15" t="n">
        <v>22537</v>
      </c>
      <c r="B1105" s="16" t="s">
        <v>17</v>
      </c>
      <c r="C1105" s="16" t="s">
        <v>2168</v>
      </c>
      <c r="D1105" s="16" t="s">
        <v>2189</v>
      </c>
      <c r="E1105" s="17" t="s">
        <v>2190</v>
      </c>
      <c r="F1105" s="16" t="n">
        <v>33.38802477</v>
      </c>
      <c r="G1105" s="16" t="n">
        <v>44.44028395</v>
      </c>
      <c r="H1105" s="18" t="n">
        <v>27</v>
      </c>
      <c r="I1105" s="18" t="n">
        <v>162</v>
      </c>
      <c r="J1105" s="19" t="n">
        <v>7</v>
      </c>
      <c r="K1105" s="19"/>
      <c r="L1105" s="19"/>
      <c r="M1105" s="19"/>
      <c r="N1105" s="19"/>
      <c r="O1105" s="19" t="n">
        <v>3</v>
      </c>
      <c r="P1105" s="19"/>
      <c r="Q1105" s="19"/>
      <c r="R1105" s="19"/>
      <c r="S1105" s="19"/>
      <c r="T1105" s="19"/>
      <c r="U1105" s="19"/>
      <c r="V1105" s="19" t="n">
        <v>15</v>
      </c>
      <c r="W1105" s="19"/>
      <c r="X1105" s="19" t="n">
        <v>2</v>
      </c>
      <c r="Y1105" s="19"/>
      <c r="Z1105" s="19"/>
      <c r="AA1105" s="19"/>
      <c r="AB1105" s="19"/>
      <c r="AC1105" s="19" t="n">
        <v>6</v>
      </c>
      <c r="AD1105" s="19"/>
      <c r="AE1105" s="19"/>
      <c r="AF1105" s="19"/>
      <c r="AG1105" s="19"/>
      <c r="AH1105" s="19" t="n">
        <v>21</v>
      </c>
      <c r="AI1105" s="19"/>
      <c r="AJ1105" s="19"/>
      <c r="AK1105" s="19"/>
      <c r="AL1105" s="19" t="n">
        <v>3</v>
      </c>
      <c r="AM1105" s="19" t="n">
        <v>12</v>
      </c>
      <c r="AN1105" s="19"/>
      <c r="AO1105" s="19" t="n">
        <v>8</v>
      </c>
      <c r="AP1105" s="19" t="n">
        <v>4</v>
      </c>
      <c r="AQ1105" s="19"/>
      <c r="AR1105" s="19"/>
      <c r="AS1105" s="20" t="str">
        <f aca="false">HYPERLINK("http://www.openstreetmap.org/?mlat=33.388&amp;mlon=44.4403&amp;zoom=12#map=12/33.388/44.4403","Maplink1")</f>
        <v>Maplink1</v>
      </c>
      <c r="AT1105" s="20" t="str">
        <f aca="false">HYPERLINK("https://www.google.iq/maps/search/+33.388,44.4403/@33.388,44.4403,14z?hl=en","Maplink2")</f>
        <v>Maplink2</v>
      </c>
      <c r="AU1105" s="20" t="str">
        <f aca="false">HYPERLINK("http://www.bing.com/maps/?lvl=14&amp;sty=h&amp;cp=33.388~44.4403&amp;sp=point.33.388_44.4403","Maplink3")</f>
        <v>Maplink3</v>
      </c>
    </row>
    <row r="1106" customFormat="false" ht="15" hidden="false" customHeight="true" outlineLevel="0" collapsed="false">
      <c r="A1106" s="15" t="n">
        <v>24502</v>
      </c>
      <c r="B1106" s="16" t="s">
        <v>17</v>
      </c>
      <c r="C1106" s="16" t="s">
        <v>2168</v>
      </c>
      <c r="D1106" s="16" t="s">
        <v>2191</v>
      </c>
      <c r="E1106" s="17" t="s">
        <v>2192</v>
      </c>
      <c r="F1106" s="16" t="n">
        <v>33.40148686</v>
      </c>
      <c r="G1106" s="16" t="n">
        <v>44.45520608</v>
      </c>
      <c r="H1106" s="18" t="n">
        <v>70</v>
      </c>
      <c r="I1106" s="18" t="n">
        <v>420</v>
      </c>
      <c r="J1106" s="19" t="n">
        <v>5</v>
      </c>
      <c r="K1106" s="19"/>
      <c r="L1106" s="19"/>
      <c r="M1106" s="19"/>
      <c r="N1106" s="19"/>
      <c r="O1106" s="19" t="n">
        <v>18</v>
      </c>
      <c r="P1106" s="19"/>
      <c r="Q1106" s="19"/>
      <c r="R1106" s="19"/>
      <c r="S1106" s="19"/>
      <c r="T1106" s="19"/>
      <c r="U1106" s="19"/>
      <c r="V1106" s="19" t="n">
        <v>44</v>
      </c>
      <c r="W1106" s="19"/>
      <c r="X1106" s="19" t="n">
        <v>3</v>
      </c>
      <c r="Y1106" s="19"/>
      <c r="Z1106" s="19"/>
      <c r="AA1106" s="19"/>
      <c r="AB1106" s="19"/>
      <c r="AC1106" s="19" t="n">
        <v>16</v>
      </c>
      <c r="AD1106" s="19"/>
      <c r="AE1106" s="19"/>
      <c r="AF1106" s="19"/>
      <c r="AG1106" s="19"/>
      <c r="AH1106" s="19" t="n">
        <v>54</v>
      </c>
      <c r="AI1106" s="19"/>
      <c r="AJ1106" s="19"/>
      <c r="AK1106" s="19"/>
      <c r="AL1106" s="19"/>
      <c r="AM1106" s="19" t="n">
        <v>46</v>
      </c>
      <c r="AN1106" s="19" t="n">
        <v>6</v>
      </c>
      <c r="AO1106" s="19" t="n">
        <v>13</v>
      </c>
      <c r="AP1106" s="19" t="n">
        <v>5</v>
      </c>
      <c r="AQ1106" s="19"/>
      <c r="AR1106" s="19"/>
      <c r="AS1106" s="20" t="str">
        <f aca="false">HYPERLINK("http://www.openstreetmap.org/?mlat=33.4015&amp;mlon=44.4552&amp;zoom=12#map=12/33.4015/44.4552","Maplink1")</f>
        <v>Maplink1</v>
      </c>
      <c r="AT1106" s="20" t="str">
        <f aca="false">HYPERLINK("https://www.google.iq/maps/search/+33.4015,44.4552/@33.4015,44.4552,14z?hl=en","Maplink2")</f>
        <v>Maplink2</v>
      </c>
      <c r="AU1106" s="20" t="str">
        <f aca="false">HYPERLINK("http://www.bing.com/maps/?lvl=14&amp;sty=h&amp;cp=33.4015~44.4552&amp;sp=point.33.4015_44.4552","Maplink3")</f>
        <v>Maplink3</v>
      </c>
    </row>
    <row r="1107" customFormat="false" ht="15" hidden="false" customHeight="true" outlineLevel="0" collapsed="false">
      <c r="A1107" s="15" t="n">
        <v>24932</v>
      </c>
      <c r="B1107" s="16" t="s">
        <v>17</v>
      </c>
      <c r="C1107" s="16" t="s">
        <v>2168</v>
      </c>
      <c r="D1107" s="16" t="s">
        <v>2193</v>
      </c>
      <c r="E1107" s="17" t="s">
        <v>2194</v>
      </c>
      <c r="F1107" s="16" t="n">
        <v>33.3649666803</v>
      </c>
      <c r="G1107" s="16" t="n">
        <v>44.4616553948</v>
      </c>
      <c r="H1107" s="18" t="n">
        <v>18</v>
      </c>
      <c r="I1107" s="18" t="n">
        <v>108</v>
      </c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 t="n">
        <v>18</v>
      </c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 t="n">
        <v>18</v>
      </c>
      <c r="AI1107" s="19"/>
      <c r="AJ1107" s="19"/>
      <c r="AK1107" s="19"/>
      <c r="AL1107" s="19"/>
      <c r="AM1107" s="19" t="n">
        <v>18</v>
      </c>
      <c r="AN1107" s="19"/>
      <c r="AO1107" s="19"/>
      <c r="AP1107" s="19"/>
      <c r="AQ1107" s="19"/>
      <c r="AR1107" s="19"/>
      <c r="AS1107" s="20" t="str">
        <f aca="false">HYPERLINK("http://www.openstreetmap.org/?mlat=33.365&amp;mlon=44.4617&amp;zoom=12#map=12/33.365/44.4617","Maplink1")</f>
        <v>Maplink1</v>
      </c>
      <c r="AT1107" s="20" t="str">
        <f aca="false">HYPERLINK("https://www.google.iq/maps/search/+33.365,44.4617/@33.365,44.4617,14z?hl=en","Maplink2")</f>
        <v>Maplink2</v>
      </c>
      <c r="AU1107" s="20" t="str">
        <f aca="false">HYPERLINK("http://www.bing.com/maps/?lvl=14&amp;sty=h&amp;cp=33.365~44.4617&amp;sp=point.33.365_44.4617","Maplink3")</f>
        <v>Maplink3</v>
      </c>
    </row>
    <row r="1108" customFormat="false" ht="15" hidden="false" customHeight="true" outlineLevel="0" collapsed="false">
      <c r="A1108" s="15" t="n">
        <v>24584</v>
      </c>
      <c r="B1108" s="16" t="s">
        <v>17</v>
      </c>
      <c r="C1108" s="16" t="s">
        <v>2168</v>
      </c>
      <c r="D1108" s="16" t="s">
        <v>2195</v>
      </c>
      <c r="E1108" s="17" t="s">
        <v>2196</v>
      </c>
      <c r="F1108" s="16" t="n">
        <v>33.3650889705</v>
      </c>
      <c r="G1108" s="16" t="n">
        <v>44.4618640551</v>
      </c>
      <c r="H1108" s="18" t="n">
        <v>43</v>
      </c>
      <c r="I1108" s="18" t="n">
        <v>258</v>
      </c>
      <c r="J1108" s="19"/>
      <c r="K1108" s="19"/>
      <c r="L1108" s="19"/>
      <c r="M1108" s="19"/>
      <c r="N1108" s="19"/>
      <c r="O1108" s="19" t="n">
        <v>8</v>
      </c>
      <c r="P1108" s="19"/>
      <c r="Q1108" s="19"/>
      <c r="R1108" s="19" t="n">
        <v>12</v>
      </c>
      <c r="S1108" s="19"/>
      <c r="T1108" s="19"/>
      <c r="U1108" s="19"/>
      <c r="V1108" s="19" t="n">
        <v>23</v>
      </c>
      <c r="W1108" s="19"/>
      <c r="X1108" s="19"/>
      <c r="Y1108" s="19"/>
      <c r="Z1108" s="19"/>
      <c r="AA1108" s="19"/>
      <c r="AB1108" s="19"/>
      <c r="AC1108" s="19" t="n">
        <v>15</v>
      </c>
      <c r="AD1108" s="19"/>
      <c r="AE1108" s="19"/>
      <c r="AF1108" s="19"/>
      <c r="AG1108" s="19"/>
      <c r="AH1108" s="19" t="n">
        <v>28</v>
      </c>
      <c r="AI1108" s="19"/>
      <c r="AJ1108" s="19"/>
      <c r="AK1108" s="19"/>
      <c r="AL1108" s="19"/>
      <c r="AM1108" s="19"/>
      <c r="AN1108" s="19" t="n">
        <v>5</v>
      </c>
      <c r="AO1108" s="19" t="n">
        <v>34</v>
      </c>
      <c r="AP1108" s="19"/>
      <c r="AQ1108" s="19"/>
      <c r="AR1108" s="19" t="n">
        <v>4</v>
      </c>
      <c r="AS1108" s="20" t="str">
        <f aca="false">HYPERLINK("http://www.openstreetmap.org/?mlat=33.3651&amp;mlon=44.4619&amp;zoom=12#map=12/33.3651/44.4619","Maplink1")</f>
        <v>Maplink1</v>
      </c>
      <c r="AT1108" s="20" t="str">
        <f aca="false">HYPERLINK("https://www.google.iq/maps/search/+33.3651,44.4619/@33.3651,44.4619,14z?hl=en","Maplink2")</f>
        <v>Maplink2</v>
      </c>
      <c r="AU1108" s="20" t="str">
        <f aca="false">HYPERLINK("http://www.bing.com/maps/?lvl=14&amp;sty=h&amp;cp=33.3651~44.4619&amp;sp=point.33.3651_44.4619","Maplink3")</f>
        <v>Maplink3</v>
      </c>
    </row>
    <row r="1109" customFormat="false" ht="15" hidden="false" customHeight="true" outlineLevel="0" collapsed="false">
      <c r="A1109" s="15" t="n">
        <v>24933</v>
      </c>
      <c r="B1109" s="16" t="s">
        <v>17</v>
      </c>
      <c r="C1109" s="16" t="s">
        <v>2168</v>
      </c>
      <c r="D1109" s="16" t="s">
        <v>2197</v>
      </c>
      <c r="E1109" s="17" t="s">
        <v>2198</v>
      </c>
      <c r="F1109" s="16" t="n">
        <v>33.38354469</v>
      </c>
      <c r="G1109" s="16" t="n">
        <v>44.45987619</v>
      </c>
      <c r="H1109" s="18" t="n">
        <v>7</v>
      </c>
      <c r="I1109" s="18" t="n">
        <v>42</v>
      </c>
      <c r="J1109" s="19" t="n">
        <v>1</v>
      </c>
      <c r="K1109" s="19"/>
      <c r="L1109" s="19"/>
      <c r="M1109" s="19"/>
      <c r="N1109" s="19"/>
      <c r="O1109" s="19" t="n">
        <v>6</v>
      </c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 t="n">
        <v>7</v>
      </c>
      <c r="AI1109" s="19"/>
      <c r="AJ1109" s="19"/>
      <c r="AK1109" s="19"/>
      <c r="AL1109" s="19"/>
      <c r="AM1109" s="19" t="n">
        <v>6</v>
      </c>
      <c r="AN1109" s="19"/>
      <c r="AO1109" s="19"/>
      <c r="AP1109" s="19"/>
      <c r="AQ1109" s="19" t="n">
        <v>1</v>
      </c>
      <c r="AR1109" s="19"/>
      <c r="AS1109" s="20" t="str">
        <f aca="false">HYPERLINK("http://www.openstreetmap.org/?mlat=33.3835&amp;mlon=44.4599&amp;zoom=12#map=12/33.3835/44.4599","Maplink1")</f>
        <v>Maplink1</v>
      </c>
      <c r="AT1109" s="20" t="str">
        <f aca="false">HYPERLINK("https://www.google.iq/maps/search/+33.3835,44.4599/@33.3835,44.4599,14z?hl=en","Maplink2")</f>
        <v>Maplink2</v>
      </c>
      <c r="AU1109" s="20" t="str">
        <f aca="false">HYPERLINK("http://www.bing.com/maps/?lvl=14&amp;sty=h&amp;cp=33.3835~44.4599&amp;sp=point.33.3835_44.4599","Maplink3")</f>
        <v>Maplink3</v>
      </c>
    </row>
    <row r="1110" customFormat="false" ht="15" hidden="false" customHeight="true" outlineLevel="0" collapsed="false">
      <c r="A1110" s="15" t="n">
        <v>24585</v>
      </c>
      <c r="B1110" s="16" t="s">
        <v>17</v>
      </c>
      <c r="C1110" s="16" t="s">
        <v>2168</v>
      </c>
      <c r="D1110" s="16" t="s">
        <v>2199</v>
      </c>
      <c r="E1110" s="17" t="s">
        <v>2200</v>
      </c>
      <c r="F1110" s="16" t="n">
        <v>33.36273927</v>
      </c>
      <c r="G1110" s="16" t="n">
        <v>44.45327405</v>
      </c>
      <c r="H1110" s="18" t="n">
        <v>22</v>
      </c>
      <c r="I1110" s="18" t="n">
        <v>132</v>
      </c>
      <c r="J1110" s="19" t="n">
        <v>6</v>
      </c>
      <c r="K1110" s="19"/>
      <c r="L1110" s="19"/>
      <c r="M1110" s="19"/>
      <c r="N1110" s="19"/>
      <c r="O1110" s="19" t="n">
        <v>16</v>
      </c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 t="n">
        <v>22</v>
      </c>
      <c r="AI1110" s="19"/>
      <c r="AJ1110" s="19"/>
      <c r="AK1110" s="19"/>
      <c r="AL1110" s="19"/>
      <c r="AM1110" s="19"/>
      <c r="AN1110" s="19"/>
      <c r="AO1110" s="19" t="n">
        <v>16</v>
      </c>
      <c r="AP1110" s="19" t="n">
        <v>6</v>
      </c>
      <c r="AQ1110" s="19"/>
      <c r="AR1110" s="19"/>
      <c r="AS1110" s="20" t="str">
        <f aca="false">HYPERLINK("http://www.openstreetmap.org/?mlat=33.3627&amp;mlon=44.4533&amp;zoom=12#map=12/33.3627/44.4533","Maplink1")</f>
        <v>Maplink1</v>
      </c>
      <c r="AT1110" s="20" t="str">
        <f aca="false">HYPERLINK("https://www.google.iq/maps/search/+33.3627,44.4533/@33.3627,44.4533,14z?hl=en","Maplink2")</f>
        <v>Maplink2</v>
      </c>
      <c r="AU1110" s="20" t="str">
        <f aca="false">HYPERLINK("http://www.bing.com/maps/?lvl=14&amp;sty=h&amp;cp=33.3627~44.4533&amp;sp=point.33.3627_44.4533","Maplink3")</f>
        <v>Maplink3</v>
      </c>
    </row>
    <row r="1111" customFormat="false" ht="15" hidden="false" customHeight="true" outlineLevel="0" collapsed="false">
      <c r="A1111" s="15" t="n">
        <v>24586</v>
      </c>
      <c r="B1111" s="16" t="s">
        <v>17</v>
      </c>
      <c r="C1111" s="16" t="s">
        <v>2168</v>
      </c>
      <c r="D1111" s="16" t="s">
        <v>2201</v>
      </c>
      <c r="E1111" s="17" t="s">
        <v>2202</v>
      </c>
      <c r="F1111" s="16" t="n">
        <v>33.38197977</v>
      </c>
      <c r="G1111" s="16" t="n">
        <v>44.4417927</v>
      </c>
      <c r="H1111" s="18" t="n">
        <v>18</v>
      </c>
      <c r="I1111" s="18" t="n">
        <v>108</v>
      </c>
      <c r="J1111" s="19"/>
      <c r="K1111" s="19"/>
      <c r="L1111" s="19"/>
      <c r="M1111" s="19"/>
      <c r="N1111" s="19"/>
      <c r="O1111" s="19" t="n">
        <v>3</v>
      </c>
      <c r="P1111" s="19"/>
      <c r="Q1111" s="19"/>
      <c r="R1111" s="19"/>
      <c r="S1111" s="19"/>
      <c r="T1111" s="19"/>
      <c r="U1111" s="19"/>
      <c r="V1111" s="19" t="n">
        <v>15</v>
      </c>
      <c r="W1111" s="19"/>
      <c r="X1111" s="19"/>
      <c r="Y1111" s="19"/>
      <c r="Z1111" s="19"/>
      <c r="AA1111" s="19"/>
      <c r="AB1111" s="19"/>
      <c r="AC1111" s="19" t="n">
        <v>18</v>
      </c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 t="n">
        <v>3</v>
      </c>
      <c r="AO1111" s="19" t="n">
        <v>15</v>
      </c>
      <c r="AP1111" s="19"/>
      <c r="AQ1111" s="19"/>
      <c r="AR1111" s="19"/>
      <c r="AS1111" s="20" t="str">
        <f aca="false">HYPERLINK("http://www.openstreetmap.org/?mlat=33.382&amp;mlon=44.4418&amp;zoom=12#map=12/33.382/44.4418","Maplink1")</f>
        <v>Maplink1</v>
      </c>
      <c r="AT1111" s="20" t="str">
        <f aca="false">HYPERLINK("https://www.google.iq/maps/search/+33.382,44.4418/@33.382,44.4418,14z?hl=en","Maplink2")</f>
        <v>Maplink2</v>
      </c>
      <c r="AU1111" s="20" t="str">
        <f aca="false">HYPERLINK("http://www.bing.com/maps/?lvl=14&amp;sty=h&amp;cp=33.382~44.4418&amp;sp=point.33.382_44.4418","Maplink3")</f>
        <v>Maplink3</v>
      </c>
    </row>
    <row r="1112" customFormat="false" ht="15" hidden="false" customHeight="true" outlineLevel="0" collapsed="false">
      <c r="A1112" s="15" t="n">
        <v>24587</v>
      </c>
      <c r="B1112" s="16" t="s">
        <v>17</v>
      </c>
      <c r="C1112" s="16" t="s">
        <v>2168</v>
      </c>
      <c r="D1112" s="16" t="s">
        <v>2203</v>
      </c>
      <c r="E1112" s="17" t="s">
        <v>2204</v>
      </c>
      <c r="F1112" s="16" t="n">
        <v>33.37292193</v>
      </c>
      <c r="G1112" s="16" t="n">
        <v>44.45675047</v>
      </c>
      <c r="H1112" s="18" t="n">
        <v>9</v>
      </c>
      <c r="I1112" s="18" t="n">
        <v>54</v>
      </c>
      <c r="J1112" s="19" t="n">
        <v>6</v>
      </c>
      <c r="K1112" s="19"/>
      <c r="L1112" s="19"/>
      <c r="M1112" s="19"/>
      <c r="N1112" s="19"/>
      <c r="O1112" s="19"/>
      <c r="P1112" s="19"/>
      <c r="Q1112" s="19"/>
      <c r="R1112" s="19" t="n">
        <v>3</v>
      </c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 t="n">
        <v>9</v>
      </c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 t="n">
        <v>3</v>
      </c>
      <c r="AO1112" s="19" t="n">
        <v>6</v>
      </c>
      <c r="AP1112" s="19"/>
      <c r="AQ1112" s="19"/>
      <c r="AR1112" s="19"/>
      <c r="AS1112" s="20" t="str">
        <f aca="false">HYPERLINK("http://www.openstreetmap.org/?mlat=33.3729&amp;mlon=44.4568&amp;zoom=12#map=12/33.3729/44.4568","Maplink1")</f>
        <v>Maplink1</v>
      </c>
      <c r="AT1112" s="20" t="str">
        <f aca="false">HYPERLINK("https://www.google.iq/maps/search/+33.3729,44.4568/@33.3729,44.4568,14z?hl=en","Maplink2")</f>
        <v>Maplink2</v>
      </c>
      <c r="AU1112" s="20" t="str">
        <f aca="false">HYPERLINK("http://www.bing.com/maps/?lvl=14&amp;sty=h&amp;cp=33.3729~44.4568&amp;sp=point.33.3729_44.4568","Maplink3")</f>
        <v>Maplink3</v>
      </c>
    </row>
    <row r="1113" customFormat="false" ht="15" hidden="false" customHeight="true" outlineLevel="0" collapsed="false">
      <c r="A1113" s="15" t="n">
        <v>24588</v>
      </c>
      <c r="B1113" s="16" t="s">
        <v>17</v>
      </c>
      <c r="C1113" s="16" t="s">
        <v>2168</v>
      </c>
      <c r="D1113" s="16" t="s">
        <v>2205</v>
      </c>
      <c r="E1113" s="17" t="s">
        <v>2206</v>
      </c>
      <c r="F1113" s="16" t="n">
        <v>33.3680719</v>
      </c>
      <c r="G1113" s="16" t="n">
        <v>44.45648075</v>
      </c>
      <c r="H1113" s="18" t="n">
        <v>18</v>
      </c>
      <c r="I1113" s="18" t="n">
        <v>108</v>
      </c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 t="n">
        <v>18</v>
      </c>
      <c r="W1113" s="19"/>
      <c r="X1113" s="19"/>
      <c r="Y1113" s="19"/>
      <c r="Z1113" s="19"/>
      <c r="AA1113" s="19"/>
      <c r="AB1113" s="19"/>
      <c r="AC1113" s="19" t="n">
        <v>16</v>
      </c>
      <c r="AD1113" s="19"/>
      <c r="AE1113" s="19"/>
      <c r="AF1113" s="19"/>
      <c r="AG1113" s="19"/>
      <c r="AH1113" s="19" t="n">
        <v>2</v>
      </c>
      <c r="AI1113" s="19"/>
      <c r="AJ1113" s="19"/>
      <c r="AK1113" s="19"/>
      <c r="AL1113" s="19"/>
      <c r="AM1113" s="19" t="n">
        <v>6</v>
      </c>
      <c r="AN1113" s="19"/>
      <c r="AO1113" s="19" t="n">
        <v>12</v>
      </c>
      <c r="AP1113" s="19"/>
      <c r="AQ1113" s="19"/>
      <c r="AR1113" s="19"/>
      <c r="AS1113" s="20" t="str">
        <f aca="false">HYPERLINK("http://www.openstreetmap.org/?mlat=33.3681&amp;mlon=44.4565&amp;zoom=12#map=12/33.3681/44.4565","Maplink1")</f>
        <v>Maplink1</v>
      </c>
      <c r="AT1113" s="20" t="str">
        <f aca="false">HYPERLINK("https://www.google.iq/maps/search/+33.3681,44.4565/@33.3681,44.4565,14z?hl=en","Maplink2")</f>
        <v>Maplink2</v>
      </c>
      <c r="AU1113" s="20" t="str">
        <f aca="false">HYPERLINK("http://www.bing.com/maps/?lvl=14&amp;sty=h&amp;cp=33.3681~44.4565&amp;sp=point.33.3681_44.4565","Maplink3")</f>
        <v>Maplink3</v>
      </c>
    </row>
    <row r="1114" customFormat="false" ht="15" hidden="false" customHeight="true" outlineLevel="0" collapsed="false">
      <c r="A1114" s="15" t="n">
        <v>25721</v>
      </c>
      <c r="B1114" s="16" t="s">
        <v>17</v>
      </c>
      <c r="C1114" s="16" t="s">
        <v>2168</v>
      </c>
      <c r="D1114" s="16" t="s">
        <v>2207</v>
      </c>
      <c r="E1114" s="17" t="s">
        <v>2208</v>
      </c>
      <c r="F1114" s="16" t="n">
        <v>33.39529113</v>
      </c>
      <c r="G1114" s="16" t="n">
        <v>44.4938443</v>
      </c>
      <c r="H1114" s="18" t="n">
        <v>9</v>
      </c>
      <c r="I1114" s="18" t="n">
        <v>54</v>
      </c>
      <c r="J1114" s="19" t="n">
        <v>7</v>
      </c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 t="n">
        <v>2</v>
      </c>
      <c r="W1114" s="19"/>
      <c r="X1114" s="19"/>
      <c r="Y1114" s="19"/>
      <c r="Z1114" s="19"/>
      <c r="AA1114" s="19"/>
      <c r="AB1114" s="19"/>
      <c r="AC1114" s="19" t="n">
        <v>2</v>
      </c>
      <c r="AD1114" s="19"/>
      <c r="AE1114" s="19"/>
      <c r="AF1114" s="19"/>
      <c r="AG1114" s="19"/>
      <c r="AH1114" s="19" t="n">
        <v>7</v>
      </c>
      <c r="AI1114" s="19"/>
      <c r="AJ1114" s="19"/>
      <c r="AK1114" s="19"/>
      <c r="AL1114" s="19"/>
      <c r="AM1114" s="19"/>
      <c r="AN1114" s="19"/>
      <c r="AO1114" s="19" t="n">
        <v>7</v>
      </c>
      <c r="AP1114" s="19"/>
      <c r="AQ1114" s="19"/>
      <c r="AR1114" s="19" t="n">
        <v>2</v>
      </c>
      <c r="AS1114" s="20" t="str">
        <f aca="false">HYPERLINK("http://www.openstreetmap.org/?mlat=33.3953&amp;mlon=44.4938&amp;zoom=12#map=12/33.3953/44.4938","Maplink1")</f>
        <v>Maplink1</v>
      </c>
      <c r="AT1114" s="20" t="str">
        <f aca="false">HYPERLINK("https://www.google.iq/maps/search/+33.3953,44.4938/@33.3953,44.4938,14z?hl=en","Maplink2")</f>
        <v>Maplink2</v>
      </c>
      <c r="AU1114" s="20" t="str">
        <f aca="false">HYPERLINK("http://www.bing.com/maps/?lvl=14&amp;sty=h&amp;cp=33.3953~44.4938&amp;sp=point.33.3953_44.4938","Maplink3")</f>
        <v>Maplink3</v>
      </c>
    </row>
    <row r="1115" customFormat="false" ht="15" hidden="false" customHeight="true" outlineLevel="0" collapsed="false">
      <c r="A1115" s="15" t="n">
        <v>23039</v>
      </c>
      <c r="B1115" s="16" t="s">
        <v>17</v>
      </c>
      <c r="C1115" s="16" t="s">
        <v>2168</v>
      </c>
      <c r="D1115" s="16" t="s">
        <v>2209</v>
      </c>
      <c r="E1115" s="17" t="s">
        <v>2210</v>
      </c>
      <c r="F1115" s="16" t="n">
        <v>33.40102238</v>
      </c>
      <c r="G1115" s="16" t="n">
        <v>44.50068223</v>
      </c>
      <c r="H1115" s="18" t="n">
        <v>12</v>
      </c>
      <c r="I1115" s="18" t="n">
        <v>72</v>
      </c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 t="n">
        <v>12</v>
      </c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 t="n">
        <v>12</v>
      </c>
      <c r="AI1115" s="19"/>
      <c r="AJ1115" s="19"/>
      <c r="AK1115" s="19"/>
      <c r="AL1115" s="19"/>
      <c r="AM1115" s="19" t="n">
        <v>12</v>
      </c>
      <c r="AN1115" s="19"/>
      <c r="AO1115" s="19"/>
      <c r="AP1115" s="19"/>
      <c r="AQ1115" s="19"/>
      <c r="AR1115" s="19"/>
      <c r="AS1115" s="20" t="str">
        <f aca="false">HYPERLINK("http://www.openstreetmap.org/?mlat=33.401&amp;mlon=44.5007&amp;zoom=12#map=12/33.401/44.5007","Maplink1")</f>
        <v>Maplink1</v>
      </c>
      <c r="AT1115" s="20" t="str">
        <f aca="false">HYPERLINK("https://www.google.iq/maps/search/+33.401,44.5007/@33.401,44.5007,14z?hl=en","Maplink2")</f>
        <v>Maplink2</v>
      </c>
      <c r="AU1115" s="20" t="str">
        <f aca="false">HYPERLINK("http://www.bing.com/maps/?lvl=14&amp;sty=h&amp;cp=33.401~44.5007&amp;sp=point.33.401_44.5007","Maplink3")</f>
        <v>Maplink3</v>
      </c>
    </row>
    <row r="1116" customFormat="false" ht="15" hidden="false" customHeight="true" outlineLevel="0" collapsed="false">
      <c r="A1116" s="15" t="n">
        <v>24591</v>
      </c>
      <c r="B1116" s="16" t="s">
        <v>17</v>
      </c>
      <c r="C1116" s="16" t="s">
        <v>2168</v>
      </c>
      <c r="D1116" s="16" t="s">
        <v>2211</v>
      </c>
      <c r="E1116" s="17" t="s">
        <v>2212</v>
      </c>
      <c r="F1116" s="16" t="n">
        <v>33.37821547</v>
      </c>
      <c r="G1116" s="16" t="n">
        <v>44.45395637</v>
      </c>
      <c r="H1116" s="18" t="n">
        <v>29</v>
      </c>
      <c r="I1116" s="18" t="n">
        <v>174</v>
      </c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 t="n">
        <v>29</v>
      </c>
      <c r="W1116" s="19"/>
      <c r="X1116" s="19"/>
      <c r="Y1116" s="19"/>
      <c r="Z1116" s="19"/>
      <c r="AA1116" s="19"/>
      <c r="AB1116" s="19"/>
      <c r="AC1116" s="19" t="n">
        <v>29</v>
      </c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 t="n">
        <v>29</v>
      </c>
      <c r="AP1116" s="19"/>
      <c r="AQ1116" s="19"/>
      <c r="AR1116" s="19"/>
      <c r="AS1116" s="20" t="str">
        <f aca="false">HYPERLINK("http://www.openstreetmap.org/?mlat=33.3782&amp;mlon=44.454&amp;zoom=12#map=12/33.3782/44.454","Maplink1")</f>
        <v>Maplink1</v>
      </c>
      <c r="AT1116" s="20" t="str">
        <f aca="false">HYPERLINK("https://www.google.iq/maps/search/+33.3782,44.454/@33.3782,44.454,14z?hl=en","Maplink2")</f>
        <v>Maplink2</v>
      </c>
      <c r="AU1116" s="20" t="str">
        <f aca="false">HYPERLINK("http://www.bing.com/maps/?lvl=14&amp;sty=h&amp;cp=33.3782~44.454&amp;sp=point.33.3782_44.454","Maplink3")</f>
        <v>Maplink3</v>
      </c>
    </row>
    <row r="1117" customFormat="false" ht="15" hidden="false" customHeight="true" outlineLevel="0" collapsed="false">
      <c r="A1117" s="15" t="n">
        <v>24590</v>
      </c>
      <c r="B1117" s="16" t="s">
        <v>17</v>
      </c>
      <c r="C1117" s="16" t="s">
        <v>2168</v>
      </c>
      <c r="D1117" s="16" t="s">
        <v>2213</v>
      </c>
      <c r="E1117" s="17" t="s">
        <v>2214</v>
      </c>
      <c r="F1117" s="16" t="n">
        <v>33.3963687755</v>
      </c>
      <c r="G1117" s="16" t="n">
        <v>44.4496569493</v>
      </c>
      <c r="H1117" s="18" t="n">
        <v>10</v>
      </c>
      <c r="I1117" s="18" t="n">
        <v>60</v>
      </c>
      <c r="J1117" s="19"/>
      <c r="K1117" s="19"/>
      <c r="L1117" s="19"/>
      <c r="M1117" s="19"/>
      <c r="N1117" s="19"/>
      <c r="O1117" s="19" t="n">
        <v>10</v>
      </c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 t="n">
        <v>10</v>
      </c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 t="n">
        <v>10</v>
      </c>
      <c r="AP1117" s="19"/>
      <c r="AQ1117" s="19"/>
      <c r="AR1117" s="19"/>
      <c r="AS1117" s="20" t="str">
        <f aca="false">HYPERLINK("http://www.openstreetmap.org/?mlat=33.3964&amp;mlon=44.4497&amp;zoom=12#map=12/33.3964/44.4497","Maplink1")</f>
        <v>Maplink1</v>
      </c>
      <c r="AT1117" s="20" t="str">
        <f aca="false">HYPERLINK("https://www.google.iq/maps/search/+33.3964,44.4497/@33.3964,44.4497,14z?hl=en","Maplink2")</f>
        <v>Maplink2</v>
      </c>
      <c r="AU1117" s="20" t="str">
        <f aca="false">HYPERLINK("http://www.bing.com/maps/?lvl=14&amp;sty=h&amp;cp=33.3964~44.4497&amp;sp=point.33.3964_44.4497","Maplink3")</f>
        <v>Maplink3</v>
      </c>
    </row>
    <row r="1118" customFormat="false" ht="15" hidden="false" customHeight="true" outlineLevel="0" collapsed="false">
      <c r="A1118" s="15" t="n">
        <v>24589</v>
      </c>
      <c r="B1118" s="16" t="s">
        <v>17</v>
      </c>
      <c r="C1118" s="16" t="s">
        <v>2168</v>
      </c>
      <c r="D1118" s="16" t="s">
        <v>2215</v>
      </c>
      <c r="E1118" s="17" t="s">
        <v>2216</v>
      </c>
      <c r="F1118" s="16" t="n">
        <v>33.3965036488</v>
      </c>
      <c r="G1118" s="16" t="n">
        <v>44.4498718956</v>
      </c>
      <c r="H1118" s="18" t="n">
        <v>10</v>
      </c>
      <c r="I1118" s="18" t="n">
        <v>60</v>
      </c>
      <c r="J1118" s="19" t="n">
        <v>4</v>
      </c>
      <c r="K1118" s="19"/>
      <c r="L1118" s="19"/>
      <c r="M1118" s="19"/>
      <c r="N1118" s="19"/>
      <c r="O1118" s="19" t="n">
        <v>4</v>
      </c>
      <c r="P1118" s="19"/>
      <c r="Q1118" s="19"/>
      <c r="R1118" s="19" t="n">
        <v>2</v>
      </c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 t="n">
        <v>10</v>
      </c>
      <c r="AI1118" s="19"/>
      <c r="AJ1118" s="19"/>
      <c r="AK1118" s="19"/>
      <c r="AL1118" s="19"/>
      <c r="AM1118" s="19"/>
      <c r="AN1118" s="19"/>
      <c r="AO1118" s="19" t="n">
        <v>6</v>
      </c>
      <c r="AP1118" s="19" t="n">
        <v>4</v>
      </c>
      <c r="AQ1118" s="19"/>
      <c r="AR1118" s="19"/>
      <c r="AS1118" s="20" t="str">
        <f aca="false">HYPERLINK("http://www.openstreetmap.org/?mlat=33.3965&amp;mlon=44.4499&amp;zoom=12#map=12/33.3965/44.4499","Maplink1")</f>
        <v>Maplink1</v>
      </c>
      <c r="AT1118" s="20" t="str">
        <f aca="false">HYPERLINK("https://www.google.iq/maps/search/+33.3965,44.4499/@33.3965,44.4499,14z?hl=en","Maplink2")</f>
        <v>Maplink2</v>
      </c>
      <c r="AU1118" s="20" t="str">
        <f aca="false">HYPERLINK("http://www.bing.com/maps/?lvl=14&amp;sty=h&amp;cp=33.3965~44.4499&amp;sp=point.33.3965_44.4499","Maplink3")</f>
        <v>Maplink3</v>
      </c>
    </row>
    <row r="1119" customFormat="false" ht="15" hidden="false" customHeight="true" outlineLevel="0" collapsed="false">
      <c r="A1119" s="15" t="n">
        <v>24228</v>
      </c>
      <c r="B1119" s="16" t="s">
        <v>18</v>
      </c>
      <c r="C1119" s="16" t="s">
        <v>2217</v>
      </c>
      <c r="D1119" s="16" t="s">
        <v>2218</v>
      </c>
      <c r="E1119" s="17" t="s">
        <v>2219</v>
      </c>
      <c r="F1119" s="16" t="n">
        <v>30.48152522</v>
      </c>
      <c r="G1119" s="16" t="n">
        <v>47.86228767</v>
      </c>
      <c r="H1119" s="18" t="n">
        <v>3</v>
      </c>
      <c r="I1119" s="18" t="n">
        <v>18</v>
      </c>
      <c r="J1119" s="19" t="n">
        <v>1</v>
      </c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 t="n">
        <v>2</v>
      </c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 t="n">
        <v>3</v>
      </c>
      <c r="AI1119" s="19"/>
      <c r="AJ1119" s="19"/>
      <c r="AK1119" s="19"/>
      <c r="AL1119" s="19"/>
      <c r="AM1119" s="19"/>
      <c r="AN1119" s="19" t="n">
        <v>1</v>
      </c>
      <c r="AO1119" s="19" t="n">
        <v>2</v>
      </c>
      <c r="AP1119" s="19"/>
      <c r="AQ1119" s="19"/>
      <c r="AR1119" s="19"/>
      <c r="AS1119" s="20" t="str">
        <f aca="false">HYPERLINK("http://www.openstreetmap.org/?mlat=30.4815&amp;mlon=47.8623&amp;zoom=12#map=12/30.4815/47.8623","Maplink1")</f>
        <v>Maplink1</v>
      </c>
      <c r="AT1119" s="20" t="str">
        <f aca="false">HYPERLINK("https://www.google.iq/maps/search/+30.4815,47.8623/@30.4815,47.8623,14z?hl=en","Maplink2")</f>
        <v>Maplink2</v>
      </c>
      <c r="AU1119" s="20" t="str">
        <f aca="false">HYPERLINK("http://www.bing.com/maps/?lvl=14&amp;sty=h&amp;cp=30.4815~47.8623&amp;sp=point.30.4815_47.8623","Maplink3")</f>
        <v>Maplink3</v>
      </c>
    </row>
    <row r="1120" customFormat="false" ht="15" hidden="false" customHeight="true" outlineLevel="0" collapsed="false">
      <c r="A1120" s="15" t="n">
        <v>792</v>
      </c>
      <c r="B1120" s="16" t="s">
        <v>18</v>
      </c>
      <c r="C1120" s="16" t="s">
        <v>2217</v>
      </c>
      <c r="D1120" s="16" t="s">
        <v>2220</v>
      </c>
      <c r="E1120" s="17" t="s">
        <v>2221</v>
      </c>
      <c r="F1120" s="16" t="n">
        <v>30.44311762</v>
      </c>
      <c r="G1120" s="16" t="n">
        <v>48.00829665</v>
      </c>
      <c r="H1120" s="18" t="n">
        <v>2</v>
      </c>
      <c r="I1120" s="18" t="n">
        <v>12</v>
      </c>
      <c r="J1120" s="19" t="n">
        <v>2</v>
      </c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 t="n">
        <v>1</v>
      </c>
      <c r="AD1120" s="19"/>
      <c r="AE1120" s="19"/>
      <c r="AF1120" s="19"/>
      <c r="AG1120" s="19"/>
      <c r="AH1120" s="19" t="n">
        <v>1</v>
      </c>
      <c r="AI1120" s="19"/>
      <c r="AJ1120" s="19"/>
      <c r="AK1120" s="19"/>
      <c r="AL1120" s="19" t="n">
        <v>2</v>
      </c>
      <c r="AM1120" s="19"/>
      <c r="AN1120" s="19"/>
      <c r="AO1120" s="19"/>
      <c r="AP1120" s="19"/>
      <c r="AQ1120" s="19"/>
      <c r="AR1120" s="19"/>
      <c r="AS1120" s="20" t="str">
        <f aca="false">HYPERLINK("http://www.openstreetmap.org/?mlat=30.4431&amp;mlon=48.0083&amp;zoom=12#map=12/30.4431/48.0083","Maplink1")</f>
        <v>Maplink1</v>
      </c>
      <c r="AT1120" s="20" t="str">
        <f aca="false">HYPERLINK("https://www.google.iq/maps/search/+30.4431,48.0083/@30.4431,48.0083,14z?hl=en","Maplink2")</f>
        <v>Maplink2</v>
      </c>
      <c r="AU1120" s="20" t="str">
        <f aca="false">HYPERLINK("http://www.bing.com/maps/?lvl=14&amp;sty=h&amp;cp=30.4431~48.0083&amp;sp=point.30.4431_48.0083","Maplink3")</f>
        <v>Maplink3</v>
      </c>
    </row>
    <row r="1121" customFormat="false" ht="15" hidden="false" customHeight="true" outlineLevel="0" collapsed="false">
      <c r="A1121" s="15" t="n">
        <v>25540</v>
      </c>
      <c r="B1121" s="16" t="s">
        <v>18</v>
      </c>
      <c r="C1121" s="16" t="s">
        <v>2217</v>
      </c>
      <c r="D1121" s="16" t="s">
        <v>2222</v>
      </c>
      <c r="E1121" s="17" t="s">
        <v>2223</v>
      </c>
      <c r="F1121" s="16" t="n">
        <v>30.45550289</v>
      </c>
      <c r="G1121" s="16" t="n">
        <v>47.96500605</v>
      </c>
      <c r="H1121" s="18" t="n">
        <v>7</v>
      </c>
      <c r="I1121" s="18" t="n">
        <v>42</v>
      </c>
      <c r="J1121" s="19" t="n">
        <v>3</v>
      </c>
      <c r="K1121" s="19"/>
      <c r="L1121" s="19" t="n">
        <v>1</v>
      </c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 t="n">
        <v>3</v>
      </c>
      <c r="Y1121" s="19"/>
      <c r="Z1121" s="19"/>
      <c r="AA1121" s="19"/>
      <c r="AB1121" s="19"/>
      <c r="AC1121" s="19" t="n">
        <v>3</v>
      </c>
      <c r="AD1121" s="19"/>
      <c r="AE1121" s="19"/>
      <c r="AF1121" s="19"/>
      <c r="AG1121" s="19"/>
      <c r="AH1121" s="19" t="n">
        <v>4</v>
      </c>
      <c r="AI1121" s="19"/>
      <c r="AJ1121" s="19"/>
      <c r="AK1121" s="19"/>
      <c r="AL1121" s="19" t="n">
        <v>2</v>
      </c>
      <c r="AM1121" s="19" t="n">
        <v>1</v>
      </c>
      <c r="AN1121" s="19"/>
      <c r="AO1121" s="19" t="n">
        <v>3</v>
      </c>
      <c r="AP1121" s="19"/>
      <c r="AQ1121" s="19"/>
      <c r="AR1121" s="19" t="n">
        <v>1</v>
      </c>
      <c r="AS1121" s="20" t="str">
        <f aca="false">HYPERLINK("http://www.openstreetmap.org/?mlat=30.4555&amp;mlon=47.965&amp;zoom=12#map=12/30.4555/47.965","Maplink1")</f>
        <v>Maplink1</v>
      </c>
      <c r="AT1121" s="20" t="str">
        <f aca="false">HYPERLINK("https://www.google.iq/maps/search/+30.4555,47.965/@30.4555,47.965,14z?hl=en","Maplink2")</f>
        <v>Maplink2</v>
      </c>
      <c r="AU1121" s="20" t="str">
        <f aca="false">HYPERLINK("http://www.bing.com/maps/?lvl=14&amp;sty=h&amp;cp=30.4555~47.965&amp;sp=point.30.4555_47.965","Maplink3")</f>
        <v>Maplink3</v>
      </c>
    </row>
    <row r="1122" customFormat="false" ht="15" hidden="false" customHeight="true" outlineLevel="0" collapsed="false">
      <c r="A1122" s="15" t="n">
        <v>601</v>
      </c>
      <c r="B1122" s="16" t="s">
        <v>18</v>
      </c>
      <c r="C1122" s="16" t="s">
        <v>2217</v>
      </c>
      <c r="D1122" s="16" t="s">
        <v>2224</v>
      </c>
      <c r="E1122" s="17" t="s">
        <v>2225</v>
      </c>
      <c r="F1122" s="16" t="n">
        <v>30.46054008</v>
      </c>
      <c r="G1122" s="16" t="n">
        <v>47.95780524</v>
      </c>
      <c r="H1122" s="18" t="n">
        <v>4</v>
      </c>
      <c r="I1122" s="18" t="n">
        <v>24</v>
      </c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 t="n">
        <v>4</v>
      </c>
      <c r="Y1122" s="19"/>
      <c r="Z1122" s="19"/>
      <c r="AA1122" s="19"/>
      <c r="AB1122" s="19"/>
      <c r="AC1122" s="19" t="n">
        <v>4</v>
      </c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 t="n">
        <v>4</v>
      </c>
      <c r="AN1122" s="19"/>
      <c r="AO1122" s="19"/>
      <c r="AP1122" s="19"/>
      <c r="AQ1122" s="19"/>
      <c r="AR1122" s="19"/>
      <c r="AS1122" s="20" t="str">
        <f aca="false">HYPERLINK("http://www.openstreetmap.org/?mlat=30.4605&amp;mlon=47.9578&amp;zoom=12#map=12/30.4605/47.9578","Maplink1")</f>
        <v>Maplink1</v>
      </c>
      <c r="AT1122" s="20" t="str">
        <f aca="false">HYPERLINK("https://www.google.iq/maps/search/+30.4605,47.9578/@30.4605,47.9578,14z?hl=en","Maplink2")</f>
        <v>Maplink2</v>
      </c>
      <c r="AU1122" s="20" t="str">
        <f aca="false">HYPERLINK("http://www.bing.com/maps/?lvl=14&amp;sty=h&amp;cp=30.4605~47.9578&amp;sp=point.30.4605_47.9578","Maplink3")</f>
        <v>Maplink3</v>
      </c>
    </row>
    <row r="1123" customFormat="false" ht="15" hidden="false" customHeight="true" outlineLevel="0" collapsed="false">
      <c r="A1123" s="15" t="n">
        <v>25970</v>
      </c>
      <c r="B1123" s="16" t="s">
        <v>18</v>
      </c>
      <c r="C1123" s="16" t="s">
        <v>2217</v>
      </c>
      <c r="D1123" s="16" t="s">
        <v>2226</v>
      </c>
      <c r="E1123" s="17" t="s">
        <v>2227</v>
      </c>
      <c r="F1123" s="16" t="n">
        <v>30.44962923</v>
      </c>
      <c r="G1123" s="16" t="n">
        <v>47.98606256</v>
      </c>
      <c r="H1123" s="18" t="n">
        <v>8</v>
      </c>
      <c r="I1123" s="18" t="n">
        <v>48</v>
      </c>
      <c r="J1123" s="19" t="n">
        <v>2</v>
      </c>
      <c r="K1123" s="19"/>
      <c r="L1123" s="19"/>
      <c r="M1123" s="19"/>
      <c r="N1123" s="19"/>
      <c r="O1123" s="19"/>
      <c r="P1123" s="19"/>
      <c r="Q1123" s="19"/>
      <c r="R1123" s="19" t="n">
        <v>1</v>
      </c>
      <c r="S1123" s="19"/>
      <c r="T1123" s="19"/>
      <c r="U1123" s="19"/>
      <c r="V1123" s="19" t="n">
        <v>3</v>
      </c>
      <c r="W1123" s="19"/>
      <c r="X1123" s="19" t="n">
        <v>2</v>
      </c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 t="n">
        <v>8</v>
      </c>
      <c r="AI1123" s="19"/>
      <c r="AJ1123" s="19"/>
      <c r="AK1123" s="19"/>
      <c r="AL1123" s="19"/>
      <c r="AM1123" s="19" t="n">
        <v>5</v>
      </c>
      <c r="AN1123" s="19"/>
      <c r="AO1123" s="19" t="n">
        <v>2</v>
      </c>
      <c r="AP1123" s="19" t="n">
        <v>1</v>
      </c>
      <c r="AQ1123" s="19"/>
      <c r="AR1123" s="19"/>
      <c r="AS1123" s="20" t="str">
        <f aca="false">HYPERLINK("http://www.openstreetmap.org/?mlat=30.4496&amp;mlon=47.9861&amp;zoom=12#map=12/30.4496/47.9861","Maplink1")</f>
        <v>Maplink1</v>
      </c>
      <c r="AT1123" s="20" t="str">
        <f aca="false">HYPERLINK("https://www.google.iq/maps/search/+30.4496,47.9861/@30.4496,47.9861,14z?hl=en","Maplink2")</f>
        <v>Maplink2</v>
      </c>
      <c r="AU1123" s="20" t="str">
        <f aca="false">HYPERLINK("http://www.bing.com/maps/?lvl=14&amp;sty=h&amp;cp=30.4496~47.9861&amp;sp=point.30.4496_47.9861","Maplink3")</f>
        <v>Maplink3</v>
      </c>
    </row>
    <row r="1124" customFormat="false" ht="15" hidden="false" customHeight="true" outlineLevel="0" collapsed="false">
      <c r="A1124" s="15" t="n">
        <v>23896</v>
      </c>
      <c r="B1124" s="16" t="s">
        <v>18</v>
      </c>
      <c r="C1124" s="16" t="s">
        <v>2217</v>
      </c>
      <c r="D1124" s="16" t="s">
        <v>2228</v>
      </c>
      <c r="E1124" s="17" t="s">
        <v>2229</v>
      </c>
      <c r="F1124" s="16" t="n">
        <v>30.47730058</v>
      </c>
      <c r="G1124" s="16" t="n">
        <v>47.8664326</v>
      </c>
      <c r="H1124" s="18" t="n">
        <v>2</v>
      </c>
      <c r="I1124" s="18" t="n">
        <v>12</v>
      </c>
      <c r="J1124" s="19" t="n">
        <v>2</v>
      </c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 t="n">
        <v>2</v>
      </c>
      <c r="AD1124" s="19"/>
      <c r="AE1124" s="19"/>
      <c r="AF1124" s="19"/>
      <c r="AG1124" s="19"/>
      <c r="AH1124" s="19"/>
      <c r="AI1124" s="19"/>
      <c r="AJ1124" s="19"/>
      <c r="AK1124" s="19"/>
      <c r="AL1124" s="19" t="n">
        <v>2</v>
      </c>
      <c r="AM1124" s="19"/>
      <c r="AN1124" s="19"/>
      <c r="AO1124" s="19"/>
      <c r="AP1124" s="19"/>
      <c r="AQ1124" s="19"/>
      <c r="AR1124" s="19"/>
      <c r="AS1124" s="20" t="str">
        <f aca="false">HYPERLINK("http://www.openstreetmap.org/?mlat=30.4773&amp;mlon=47.8664&amp;zoom=12#map=12/30.4773/47.8664","Maplink1")</f>
        <v>Maplink1</v>
      </c>
      <c r="AT1124" s="20" t="str">
        <f aca="false">HYPERLINK("https://www.google.iq/maps/search/+30.4773,47.8664/@30.4773,47.8664,14z?hl=en","Maplink2")</f>
        <v>Maplink2</v>
      </c>
      <c r="AU1124" s="20" t="str">
        <f aca="false">HYPERLINK("http://www.bing.com/maps/?lvl=14&amp;sty=h&amp;cp=30.4773~47.8664&amp;sp=point.30.4773_47.8664","Maplink3")</f>
        <v>Maplink3</v>
      </c>
    </row>
    <row r="1125" customFormat="false" ht="15" hidden="false" customHeight="true" outlineLevel="0" collapsed="false">
      <c r="A1125" s="15" t="n">
        <v>23895</v>
      </c>
      <c r="B1125" s="16" t="s">
        <v>18</v>
      </c>
      <c r="C1125" s="16" t="s">
        <v>2217</v>
      </c>
      <c r="D1125" s="16" t="s">
        <v>2230</v>
      </c>
      <c r="E1125" s="17" t="s">
        <v>2231</v>
      </c>
      <c r="F1125" s="16" t="n">
        <v>30.4441571</v>
      </c>
      <c r="G1125" s="16" t="n">
        <v>47.97206973</v>
      </c>
      <c r="H1125" s="18" t="n">
        <v>9</v>
      </c>
      <c r="I1125" s="18" t="n">
        <v>54</v>
      </c>
      <c r="J1125" s="19" t="n">
        <v>3</v>
      </c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 t="n">
        <v>4</v>
      </c>
      <c r="W1125" s="19"/>
      <c r="X1125" s="19" t="n">
        <v>2</v>
      </c>
      <c r="Y1125" s="19"/>
      <c r="Z1125" s="19"/>
      <c r="AA1125" s="19"/>
      <c r="AB1125" s="19"/>
      <c r="AC1125" s="19" t="n">
        <v>2</v>
      </c>
      <c r="AD1125" s="19"/>
      <c r="AE1125" s="19"/>
      <c r="AF1125" s="19"/>
      <c r="AG1125" s="19"/>
      <c r="AH1125" s="19" t="n">
        <v>7</v>
      </c>
      <c r="AI1125" s="19"/>
      <c r="AJ1125" s="19"/>
      <c r="AK1125" s="19"/>
      <c r="AL1125" s="19"/>
      <c r="AM1125" s="19" t="n">
        <v>3</v>
      </c>
      <c r="AN1125" s="19" t="n">
        <v>3</v>
      </c>
      <c r="AO1125" s="19" t="n">
        <v>2</v>
      </c>
      <c r="AP1125" s="19"/>
      <c r="AQ1125" s="19"/>
      <c r="AR1125" s="19" t="n">
        <v>1</v>
      </c>
      <c r="AS1125" s="20" t="str">
        <f aca="false">HYPERLINK("http://www.openstreetmap.org/?mlat=30.4442&amp;mlon=47.9721&amp;zoom=12#map=12/30.4442/47.9721","Maplink1")</f>
        <v>Maplink1</v>
      </c>
      <c r="AT1125" s="20" t="str">
        <f aca="false">HYPERLINK("https://www.google.iq/maps/search/+30.4442,47.9721/@30.4442,47.9721,14z?hl=en","Maplink2")</f>
        <v>Maplink2</v>
      </c>
      <c r="AU1125" s="20" t="str">
        <f aca="false">HYPERLINK("http://www.bing.com/maps/?lvl=14&amp;sty=h&amp;cp=30.4442~47.9721&amp;sp=point.30.4442_47.9721","Maplink3")</f>
        <v>Maplink3</v>
      </c>
    </row>
    <row r="1126" customFormat="false" ht="15" hidden="false" customHeight="true" outlineLevel="0" collapsed="false">
      <c r="A1126" s="15" t="n">
        <v>587</v>
      </c>
      <c r="B1126" s="16" t="s">
        <v>18</v>
      </c>
      <c r="C1126" s="16" t="s">
        <v>2217</v>
      </c>
      <c r="D1126" s="16" t="s">
        <v>2232</v>
      </c>
      <c r="E1126" s="17" t="s">
        <v>2233</v>
      </c>
      <c r="F1126" s="16" t="n">
        <v>30.47321389</v>
      </c>
      <c r="G1126" s="16" t="n">
        <v>47.86790639</v>
      </c>
      <c r="H1126" s="18" t="n">
        <v>4</v>
      </c>
      <c r="I1126" s="18" t="n">
        <v>24</v>
      </c>
      <c r="J1126" s="19"/>
      <c r="K1126" s="19"/>
      <c r="L1126" s="19"/>
      <c r="M1126" s="19"/>
      <c r="N1126" s="19"/>
      <c r="O1126" s="19" t="n">
        <v>2</v>
      </c>
      <c r="P1126" s="19"/>
      <c r="Q1126" s="19"/>
      <c r="R1126" s="19"/>
      <c r="S1126" s="19"/>
      <c r="T1126" s="19"/>
      <c r="U1126" s="19"/>
      <c r="V1126" s="19" t="n">
        <v>1</v>
      </c>
      <c r="W1126" s="19"/>
      <c r="X1126" s="19" t="n">
        <v>1</v>
      </c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 t="n">
        <v>4</v>
      </c>
      <c r="AI1126" s="19"/>
      <c r="AJ1126" s="19"/>
      <c r="AK1126" s="19"/>
      <c r="AL1126" s="19"/>
      <c r="AM1126" s="19" t="n">
        <v>2</v>
      </c>
      <c r="AN1126" s="19"/>
      <c r="AO1126" s="19" t="n">
        <v>2</v>
      </c>
      <c r="AP1126" s="19"/>
      <c r="AQ1126" s="19"/>
      <c r="AR1126" s="19"/>
      <c r="AS1126" s="20" t="str">
        <f aca="false">HYPERLINK("http://www.openstreetmap.org/?mlat=30.4732&amp;mlon=47.8679&amp;zoom=12#map=12/30.4732/47.8679","Maplink1")</f>
        <v>Maplink1</v>
      </c>
      <c r="AT1126" s="20" t="str">
        <f aca="false">HYPERLINK("https://www.google.iq/maps/search/+30.4732,47.8679/@30.4732,47.8679,14z?hl=en","Maplink2")</f>
        <v>Maplink2</v>
      </c>
      <c r="AU1126" s="20" t="str">
        <f aca="false">HYPERLINK("http://www.bing.com/maps/?lvl=14&amp;sty=h&amp;cp=30.4732~47.8679&amp;sp=point.30.4732_47.8679","Maplink3")</f>
        <v>Maplink3</v>
      </c>
    </row>
    <row r="1127" customFormat="false" ht="15" hidden="false" customHeight="true" outlineLevel="0" collapsed="false">
      <c r="A1127" s="15" t="n">
        <v>780</v>
      </c>
      <c r="B1127" s="16" t="s">
        <v>18</v>
      </c>
      <c r="C1127" s="16" t="s">
        <v>2217</v>
      </c>
      <c r="D1127" s="16" t="s">
        <v>2234</v>
      </c>
      <c r="E1127" s="17" t="s">
        <v>2235</v>
      </c>
      <c r="F1127" s="16" t="n">
        <v>30.43245756</v>
      </c>
      <c r="G1127" s="16" t="n">
        <v>47.96543553</v>
      </c>
      <c r="H1127" s="18" t="n">
        <v>5</v>
      </c>
      <c r="I1127" s="18" t="n">
        <v>30</v>
      </c>
      <c r="J1127" s="19" t="n">
        <v>5</v>
      </c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 t="n">
        <v>1</v>
      </c>
      <c r="AD1127" s="19"/>
      <c r="AE1127" s="19"/>
      <c r="AF1127" s="19"/>
      <c r="AG1127" s="19"/>
      <c r="AH1127" s="19" t="n">
        <v>4</v>
      </c>
      <c r="AI1127" s="19"/>
      <c r="AJ1127" s="19"/>
      <c r="AK1127" s="19"/>
      <c r="AL1127" s="19"/>
      <c r="AM1127" s="19" t="n">
        <v>4</v>
      </c>
      <c r="AN1127" s="19"/>
      <c r="AO1127" s="19" t="n">
        <v>1</v>
      </c>
      <c r="AP1127" s="19"/>
      <c r="AQ1127" s="19"/>
      <c r="AR1127" s="19"/>
      <c r="AS1127" s="20" t="str">
        <f aca="false">HYPERLINK("http://www.openstreetmap.org/?mlat=30.4325&amp;mlon=47.9654&amp;zoom=12#map=12/30.4325/47.9654","Maplink1")</f>
        <v>Maplink1</v>
      </c>
      <c r="AT1127" s="20" t="str">
        <f aca="false">HYPERLINK("https://www.google.iq/maps/search/+30.4325,47.9654/@30.4325,47.9654,14z?hl=en","Maplink2")</f>
        <v>Maplink2</v>
      </c>
      <c r="AU1127" s="20" t="str">
        <f aca="false">HYPERLINK("http://www.bing.com/maps/?lvl=14&amp;sty=h&amp;cp=30.4325~47.9654&amp;sp=point.30.4325_47.9654","Maplink3")</f>
        <v>Maplink3</v>
      </c>
    </row>
    <row r="1128" customFormat="false" ht="15" hidden="false" customHeight="true" outlineLevel="0" collapsed="false">
      <c r="A1128" s="15" t="n">
        <v>820</v>
      </c>
      <c r="B1128" s="16" t="s">
        <v>18</v>
      </c>
      <c r="C1128" s="16" t="s">
        <v>2217</v>
      </c>
      <c r="D1128" s="16" t="s">
        <v>2236</v>
      </c>
      <c r="E1128" s="17" t="s">
        <v>2237</v>
      </c>
      <c r="F1128" s="16" t="n">
        <v>30.4504986</v>
      </c>
      <c r="G1128" s="16" t="n">
        <v>47.90412468</v>
      </c>
      <c r="H1128" s="18" t="n">
        <v>4</v>
      </c>
      <c r="I1128" s="18" t="n">
        <v>24</v>
      </c>
      <c r="J1128" s="19" t="n">
        <v>2</v>
      </c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 t="n">
        <v>2</v>
      </c>
      <c r="W1128" s="19"/>
      <c r="X1128" s="19"/>
      <c r="Y1128" s="19"/>
      <c r="Z1128" s="19"/>
      <c r="AA1128" s="19"/>
      <c r="AB1128" s="19"/>
      <c r="AC1128" s="19" t="n">
        <v>1</v>
      </c>
      <c r="AD1128" s="19"/>
      <c r="AE1128" s="19"/>
      <c r="AF1128" s="19"/>
      <c r="AG1128" s="19"/>
      <c r="AH1128" s="19" t="n">
        <v>3</v>
      </c>
      <c r="AI1128" s="19"/>
      <c r="AJ1128" s="19"/>
      <c r="AK1128" s="19"/>
      <c r="AL1128" s="19"/>
      <c r="AM1128" s="19"/>
      <c r="AN1128" s="19"/>
      <c r="AO1128" s="19" t="n">
        <v>4</v>
      </c>
      <c r="AP1128" s="19"/>
      <c r="AQ1128" s="19"/>
      <c r="AR1128" s="19"/>
      <c r="AS1128" s="20" t="str">
        <f aca="false">HYPERLINK("http://www.openstreetmap.org/?mlat=30.4505&amp;mlon=47.9041&amp;zoom=12#map=12/30.4505/47.9041","Maplink1")</f>
        <v>Maplink1</v>
      </c>
      <c r="AT1128" s="20" t="str">
        <f aca="false">HYPERLINK("https://www.google.iq/maps/search/+30.4505,47.9041/@30.4505,47.9041,14z?hl=en","Maplink2")</f>
        <v>Maplink2</v>
      </c>
      <c r="AU1128" s="20" t="str">
        <f aca="false">HYPERLINK("http://www.bing.com/maps/?lvl=14&amp;sty=h&amp;cp=30.4505~47.9041&amp;sp=point.30.4505_47.9041","Maplink3")</f>
        <v>Maplink3</v>
      </c>
    </row>
    <row r="1129" customFormat="false" ht="15" hidden="false" customHeight="true" outlineLevel="0" collapsed="false">
      <c r="A1129" s="15" t="n">
        <v>793</v>
      </c>
      <c r="B1129" s="16" t="s">
        <v>18</v>
      </c>
      <c r="C1129" s="16" t="s">
        <v>2217</v>
      </c>
      <c r="D1129" s="16" t="s">
        <v>2238</v>
      </c>
      <c r="E1129" s="17" t="s">
        <v>2239</v>
      </c>
      <c r="F1129" s="16" t="n">
        <v>30.44003761</v>
      </c>
      <c r="G1129" s="16" t="n">
        <v>47.97919686</v>
      </c>
      <c r="H1129" s="18" t="n">
        <v>3</v>
      </c>
      <c r="I1129" s="18" t="n">
        <v>18</v>
      </c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 t="n">
        <v>2</v>
      </c>
      <c r="W1129" s="19"/>
      <c r="X1129" s="19" t="n">
        <v>1</v>
      </c>
      <c r="Y1129" s="19"/>
      <c r="Z1129" s="19"/>
      <c r="AA1129" s="19"/>
      <c r="AB1129" s="19"/>
      <c r="AC1129" s="19" t="n">
        <v>1</v>
      </c>
      <c r="AD1129" s="19"/>
      <c r="AE1129" s="19"/>
      <c r="AF1129" s="19"/>
      <c r="AG1129" s="19"/>
      <c r="AH1129" s="19" t="n">
        <v>2</v>
      </c>
      <c r="AI1129" s="19"/>
      <c r="AJ1129" s="19"/>
      <c r="AK1129" s="19"/>
      <c r="AL1129" s="19"/>
      <c r="AM1129" s="19"/>
      <c r="AN1129" s="19"/>
      <c r="AO1129" s="19"/>
      <c r="AP1129" s="19" t="n">
        <v>3</v>
      </c>
      <c r="AQ1129" s="19"/>
      <c r="AR1129" s="19"/>
      <c r="AS1129" s="20" t="str">
        <f aca="false">HYPERLINK("http://www.openstreetmap.org/?mlat=30.44&amp;mlon=47.9792&amp;zoom=12#map=12/30.44/47.9792","Maplink1")</f>
        <v>Maplink1</v>
      </c>
      <c r="AT1129" s="20" t="str">
        <f aca="false">HYPERLINK("https://www.google.iq/maps/search/+30.44,47.9792/@30.44,47.9792,14z?hl=en","Maplink2")</f>
        <v>Maplink2</v>
      </c>
      <c r="AU1129" s="20" t="str">
        <f aca="false">HYPERLINK("http://www.bing.com/maps/?lvl=14&amp;sty=h&amp;cp=30.44~47.9792&amp;sp=point.30.44_47.9792","Maplink3")</f>
        <v>Maplink3</v>
      </c>
    </row>
    <row r="1130" customFormat="false" ht="15" hidden="false" customHeight="true" outlineLevel="0" collapsed="false">
      <c r="A1130" s="15" t="n">
        <v>834</v>
      </c>
      <c r="B1130" s="16" t="s">
        <v>18</v>
      </c>
      <c r="C1130" s="16" t="s">
        <v>2217</v>
      </c>
      <c r="D1130" s="16" t="s">
        <v>2240</v>
      </c>
      <c r="E1130" s="17" t="s">
        <v>2241</v>
      </c>
      <c r="F1130" s="16" t="n">
        <v>30.45493531</v>
      </c>
      <c r="G1130" s="16" t="n">
        <v>47.90987743</v>
      </c>
      <c r="H1130" s="18" t="n">
        <v>6</v>
      </c>
      <c r="I1130" s="18" t="n">
        <v>36</v>
      </c>
      <c r="J1130" s="19" t="n">
        <v>3</v>
      </c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 t="n">
        <v>1</v>
      </c>
      <c r="W1130" s="19"/>
      <c r="X1130" s="19" t="n">
        <v>2</v>
      </c>
      <c r="Y1130" s="19"/>
      <c r="Z1130" s="19"/>
      <c r="AA1130" s="19"/>
      <c r="AB1130" s="19"/>
      <c r="AC1130" s="19" t="n">
        <v>1</v>
      </c>
      <c r="AD1130" s="19"/>
      <c r="AE1130" s="19"/>
      <c r="AF1130" s="19"/>
      <c r="AG1130" s="19"/>
      <c r="AH1130" s="19" t="n">
        <v>5</v>
      </c>
      <c r="AI1130" s="19"/>
      <c r="AJ1130" s="19"/>
      <c r="AK1130" s="19"/>
      <c r="AL1130" s="19"/>
      <c r="AM1130" s="19" t="n">
        <v>1</v>
      </c>
      <c r="AN1130" s="19"/>
      <c r="AO1130" s="19" t="n">
        <v>5</v>
      </c>
      <c r="AP1130" s="19"/>
      <c r="AQ1130" s="19"/>
      <c r="AR1130" s="19"/>
      <c r="AS1130" s="20" t="str">
        <f aca="false">HYPERLINK("http://www.openstreetmap.org/?mlat=30.4549&amp;mlon=47.9099&amp;zoom=12#map=12/30.4549/47.9099","Maplink1")</f>
        <v>Maplink1</v>
      </c>
      <c r="AT1130" s="20" t="str">
        <f aca="false">HYPERLINK("https://www.google.iq/maps/search/+30.4549,47.9099/@30.4549,47.9099,14z?hl=en","Maplink2")</f>
        <v>Maplink2</v>
      </c>
      <c r="AU1130" s="20" t="str">
        <f aca="false">HYPERLINK("http://www.bing.com/maps/?lvl=14&amp;sty=h&amp;cp=30.4549~47.9099&amp;sp=point.30.4549_47.9099","Maplink3")</f>
        <v>Maplink3</v>
      </c>
    </row>
    <row r="1131" customFormat="false" ht="15" hidden="false" customHeight="true" outlineLevel="0" collapsed="false">
      <c r="A1131" s="15" t="n">
        <v>607</v>
      </c>
      <c r="B1131" s="16" t="s">
        <v>18</v>
      </c>
      <c r="C1131" s="16" t="s">
        <v>2217</v>
      </c>
      <c r="D1131" s="16" t="s">
        <v>2242</v>
      </c>
      <c r="E1131" s="17" t="s">
        <v>2243</v>
      </c>
      <c r="F1131" s="16" t="n">
        <v>30.46380244</v>
      </c>
      <c r="G1131" s="16" t="n">
        <v>47.93781767</v>
      </c>
      <c r="H1131" s="18" t="n">
        <v>4</v>
      </c>
      <c r="I1131" s="18" t="n">
        <v>24</v>
      </c>
      <c r="J1131" s="19" t="n">
        <v>1</v>
      </c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 t="n">
        <v>1</v>
      </c>
      <c r="W1131" s="19"/>
      <c r="X1131" s="19" t="n">
        <v>2</v>
      </c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 t="n">
        <v>4</v>
      </c>
      <c r="AI1131" s="19"/>
      <c r="AJ1131" s="19"/>
      <c r="AK1131" s="19"/>
      <c r="AL1131" s="19"/>
      <c r="AM1131" s="19"/>
      <c r="AN1131" s="19" t="n">
        <v>1</v>
      </c>
      <c r="AO1131" s="19" t="n">
        <v>3</v>
      </c>
      <c r="AP1131" s="19"/>
      <c r="AQ1131" s="19"/>
      <c r="AR1131" s="19"/>
      <c r="AS1131" s="20" t="str">
        <f aca="false">HYPERLINK("http://www.openstreetmap.org/?mlat=30.4638&amp;mlon=47.9378&amp;zoom=12#map=12/30.4638/47.9378","Maplink1")</f>
        <v>Maplink1</v>
      </c>
      <c r="AT1131" s="20" t="str">
        <f aca="false">HYPERLINK("https://www.google.iq/maps/search/+30.4638,47.9378/@30.4638,47.9378,14z?hl=en","Maplink2")</f>
        <v>Maplink2</v>
      </c>
      <c r="AU1131" s="20" t="str">
        <f aca="false">HYPERLINK("http://www.bing.com/maps/?lvl=14&amp;sty=h&amp;cp=30.4638~47.9378&amp;sp=point.30.4638_47.9378","Maplink3")</f>
        <v>Maplink3</v>
      </c>
    </row>
    <row r="1132" customFormat="false" ht="15" hidden="false" customHeight="true" outlineLevel="0" collapsed="false">
      <c r="A1132" s="15" t="n">
        <v>1307</v>
      </c>
      <c r="B1132" s="16" t="s">
        <v>18</v>
      </c>
      <c r="C1132" s="16" t="s">
        <v>2217</v>
      </c>
      <c r="D1132" s="16" t="s">
        <v>2244</v>
      </c>
      <c r="E1132" s="17" t="s">
        <v>2245</v>
      </c>
      <c r="F1132" s="16" t="n">
        <v>30.44586949</v>
      </c>
      <c r="G1132" s="16" t="n">
        <v>47.9448205</v>
      </c>
      <c r="H1132" s="18" t="n">
        <v>8</v>
      </c>
      <c r="I1132" s="18" t="n">
        <v>48</v>
      </c>
      <c r="J1132" s="19" t="n">
        <v>5</v>
      </c>
      <c r="K1132" s="19"/>
      <c r="L1132" s="19"/>
      <c r="M1132" s="19"/>
      <c r="N1132" s="19"/>
      <c r="O1132" s="19" t="n">
        <v>1</v>
      </c>
      <c r="P1132" s="19"/>
      <c r="Q1132" s="19"/>
      <c r="R1132" s="19"/>
      <c r="S1132" s="19"/>
      <c r="T1132" s="19"/>
      <c r="U1132" s="19"/>
      <c r="V1132" s="19" t="n">
        <v>2</v>
      </c>
      <c r="W1132" s="19"/>
      <c r="X1132" s="19"/>
      <c r="Y1132" s="19"/>
      <c r="Z1132" s="19"/>
      <c r="AA1132" s="19"/>
      <c r="AB1132" s="19"/>
      <c r="AC1132" s="19" t="n">
        <v>6</v>
      </c>
      <c r="AD1132" s="19"/>
      <c r="AE1132" s="19"/>
      <c r="AF1132" s="19"/>
      <c r="AG1132" s="19"/>
      <c r="AH1132" s="19" t="n">
        <v>2</v>
      </c>
      <c r="AI1132" s="19"/>
      <c r="AJ1132" s="19"/>
      <c r="AK1132" s="19"/>
      <c r="AL1132" s="19"/>
      <c r="AM1132" s="19" t="n">
        <v>1</v>
      </c>
      <c r="AN1132" s="19"/>
      <c r="AO1132" s="19" t="n">
        <v>5</v>
      </c>
      <c r="AP1132" s="19"/>
      <c r="AQ1132" s="19"/>
      <c r="AR1132" s="19" t="n">
        <v>2</v>
      </c>
      <c r="AS1132" s="20" t="str">
        <f aca="false">HYPERLINK("http://www.openstreetmap.org/?mlat=30.4459&amp;mlon=47.9448&amp;zoom=12#map=12/30.4459/47.9448","Maplink1")</f>
        <v>Maplink1</v>
      </c>
      <c r="AT1132" s="20" t="str">
        <f aca="false">HYPERLINK("https://www.google.iq/maps/search/+30.4459,47.9448/@30.4459,47.9448,14z?hl=en","Maplink2")</f>
        <v>Maplink2</v>
      </c>
      <c r="AU1132" s="20" t="str">
        <f aca="false">HYPERLINK("http://www.bing.com/maps/?lvl=14&amp;sty=h&amp;cp=30.4459~47.9448&amp;sp=point.30.4459_47.9448","Maplink3")</f>
        <v>Maplink3</v>
      </c>
    </row>
    <row r="1133" customFormat="false" ht="15" hidden="false" customHeight="true" outlineLevel="0" collapsed="false">
      <c r="A1133" s="15" t="n">
        <v>841</v>
      </c>
      <c r="B1133" s="16" t="s">
        <v>18</v>
      </c>
      <c r="C1133" s="16" t="s">
        <v>2217</v>
      </c>
      <c r="D1133" s="16" t="s">
        <v>2246</v>
      </c>
      <c r="E1133" s="17" t="s">
        <v>2247</v>
      </c>
      <c r="F1133" s="16" t="n">
        <v>30.48449615</v>
      </c>
      <c r="G1133" s="16" t="n">
        <v>47.85722449</v>
      </c>
      <c r="H1133" s="18" t="n">
        <v>12</v>
      </c>
      <c r="I1133" s="18" t="n">
        <v>72</v>
      </c>
      <c r="J1133" s="19" t="n">
        <v>5</v>
      </c>
      <c r="K1133" s="19"/>
      <c r="L1133" s="19"/>
      <c r="M1133" s="19"/>
      <c r="N1133" s="19"/>
      <c r="O1133" s="19" t="n">
        <v>2</v>
      </c>
      <c r="P1133" s="19"/>
      <c r="Q1133" s="19"/>
      <c r="R1133" s="19" t="n">
        <v>3</v>
      </c>
      <c r="S1133" s="19"/>
      <c r="T1133" s="19"/>
      <c r="U1133" s="19"/>
      <c r="V1133" s="19" t="n">
        <v>1</v>
      </c>
      <c r="W1133" s="19"/>
      <c r="X1133" s="19" t="n">
        <v>1</v>
      </c>
      <c r="Y1133" s="19"/>
      <c r="Z1133" s="19"/>
      <c r="AA1133" s="19"/>
      <c r="AB1133" s="19"/>
      <c r="AC1133" s="19" t="n">
        <v>8</v>
      </c>
      <c r="AD1133" s="19"/>
      <c r="AE1133" s="19"/>
      <c r="AF1133" s="19"/>
      <c r="AG1133" s="19"/>
      <c r="AH1133" s="19" t="n">
        <v>4</v>
      </c>
      <c r="AI1133" s="19"/>
      <c r="AJ1133" s="19"/>
      <c r="AK1133" s="19"/>
      <c r="AL1133" s="19" t="n">
        <v>1</v>
      </c>
      <c r="AM1133" s="19" t="n">
        <v>4</v>
      </c>
      <c r="AN1133" s="19" t="n">
        <v>2</v>
      </c>
      <c r="AO1133" s="19" t="n">
        <v>1</v>
      </c>
      <c r="AP1133" s="19" t="n">
        <v>2</v>
      </c>
      <c r="AQ1133" s="19" t="n">
        <v>1</v>
      </c>
      <c r="AR1133" s="19" t="n">
        <v>1</v>
      </c>
      <c r="AS1133" s="20" t="str">
        <f aca="false">HYPERLINK("http://www.openstreetmap.org/?mlat=30.4845&amp;mlon=47.8572&amp;zoom=12#map=12/30.4845/47.8572","Maplink1")</f>
        <v>Maplink1</v>
      </c>
      <c r="AT1133" s="20" t="str">
        <f aca="false">HYPERLINK("https://www.google.iq/maps/search/+30.4845,47.8572/@30.4845,47.8572,14z?hl=en","Maplink2")</f>
        <v>Maplink2</v>
      </c>
      <c r="AU1133" s="20" t="str">
        <f aca="false">HYPERLINK("http://www.bing.com/maps/?lvl=14&amp;sty=h&amp;cp=30.4845~47.8572&amp;sp=point.30.4845_47.8572","Maplink3")</f>
        <v>Maplink3</v>
      </c>
    </row>
    <row r="1134" customFormat="false" ht="15" hidden="false" customHeight="true" outlineLevel="0" collapsed="false">
      <c r="A1134" s="15" t="n">
        <v>809</v>
      </c>
      <c r="B1134" s="16" t="s">
        <v>18</v>
      </c>
      <c r="C1134" s="16" t="s">
        <v>2217</v>
      </c>
      <c r="D1134" s="16" t="s">
        <v>2248</v>
      </c>
      <c r="E1134" s="17" t="s">
        <v>2249</v>
      </c>
      <c r="F1134" s="16" t="n">
        <v>30.44927304</v>
      </c>
      <c r="G1134" s="16" t="n">
        <v>47.9970706</v>
      </c>
      <c r="H1134" s="18" t="n">
        <v>7</v>
      </c>
      <c r="I1134" s="18" t="n">
        <v>42</v>
      </c>
      <c r="J1134" s="19" t="n">
        <v>2</v>
      </c>
      <c r="K1134" s="19"/>
      <c r="L1134" s="19"/>
      <c r="M1134" s="19"/>
      <c r="N1134" s="19"/>
      <c r="O1134" s="19"/>
      <c r="P1134" s="19"/>
      <c r="Q1134" s="19"/>
      <c r="R1134" s="19" t="n">
        <v>2</v>
      </c>
      <c r="S1134" s="19"/>
      <c r="T1134" s="19"/>
      <c r="U1134" s="19"/>
      <c r="V1134" s="19" t="n">
        <v>2</v>
      </c>
      <c r="W1134" s="19"/>
      <c r="X1134" s="19" t="n">
        <v>1</v>
      </c>
      <c r="Y1134" s="19"/>
      <c r="Z1134" s="19"/>
      <c r="AA1134" s="19"/>
      <c r="AB1134" s="19"/>
      <c r="AC1134" s="19" t="n">
        <v>6</v>
      </c>
      <c r="AD1134" s="19"/>
      <c r="AE1134" s="19"/>
      <c r="AF1134" s="19"/>
      <c r="AG1134" s="19"/>
      <c r="AH1134" s="19" t="n">
        <v>1</v>
      </c>
      <c r="AI1134" s="19"/>
      <c r="AJ1134" s="19"/>
      <c r="AK1134" s="19"/>
      <c r="AL1134" s="19"/>
      <c r="AM1134" s="19" t="n">
        <v>4</v>
      </c>
      <c r="AN1134" s="19"/>
      <c r="AO1134" s="19" t="n">
        <v>1</v>
      </c>
      <c r="AP1134" s="19" t="n">
        <v>2</v>
      </c>
      <c r="AQ1134" s="19"/>
      <c r="AR1134" s="19"/>
      <c r="AS1134" s="20" t="str">
        <f aca="false">HYPERLINK("http://www.openstreetmap.org/?mlat=30.4493&amp;mlon=47.9971&amp;zoom=12#map=12/30.4493/47.9971","Maplink1")</f>
        <v>Maplink1</v>
      </c>
      <c r="AT1134" s="20" t="str">
        <f aca="false">HYPERLINK("https://www.google.iq/maps/search/+30.4493,47.9971/@30.4493,47.9971,14z?hl=en","Maplink2")</f>
        <v>Maplink2</v>
      </c>
      <c r="AU1134" s="20" t="str">
        <f aca="false">HYPERLINK("http://www.bing.com/maps/?lvl=14&amp;sty=h&amp;cp=30.4493~47.9971&amp;sp=point.30.4493_47.9971","Maplink3")</f>
        <v>Maplink3</v>
      </c>
    </row>
    <row r="1135" customFormat="false" ht="15" hidden="false" customHeight="true" outlineLevel="0" collapsed="false">
      <c r="A1135" s="15" t="n">
        <v>512</v>
      </c>
      <c r="B1135" s="16" t="s">
        <v>18</v>
      </c>
      <c r="C1135" s="16" t="s">
        <v>2217</v>
      </c>
      <c r="D1135" s="16" t="s">
        <v>2250</v>
      </c>
      <c r="E1135" s="17" t="s">
        <v>2251</v>
      </c>
      <c r="F1135" s="16" t="n">
        <v>30.45695652</v>
      </c>
      <c r="G1135" s="16" t="n">
        <v>47.99385178</v>
      </c>
      <c r="H1135" s="18" t="n">
        <v>8</v>
      </c>
      <c r="I1135" s="18" t="n">
        <v>48</v>
      </c>
      <c r="J1135" s="19" t="n">
        <v>1</v>
      </c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 t="n">
        <v>1</v>
      </c>
      <c r="W1135" s="19"/>
      <c r="X1135" s="19" t="n">
        <v>6</v>
      </c>
      <c r="Y1135" s="19"/>
      <c r="Z1135" s="19"/>
      <c r="AA1135" s="19"/>
      <c r="AB1135" s="19"/>
      <c r="AC1135" s="19" t="n">
        <v>1</v>
      </c>
      <c r="AD1135" s="19"/>
      <c r="AE1135" s="19"/>
      <c r="AF1135" s="19"/>
      <c r="AG1135" s="19"/>
      <c r="AH1135" s="19" t="n">
        <v>7</v>
      </c>
      <c r="AI1135" s="19"/>
      <c r="AJ1135" s="19"/>
      <c r="AK1135" s="19"/>
      <c r="AL1135" s="19"/>
      <c r="AM1135" s="19" t="n">
        <v>3</v>
      </c>
      <c r="AN1135" s="19"/>
      <c r="AO1135" s="19" t="n">
        <v>5</v>
      </c>
      <c r="AP1135" s="19"/>
      <c r="AQ1135" s="19"/>
      <c r="AR1135" s="19"/>
      <c r="AS1135" s="20" t="str">
        <f aca="false">HYPERLINK("http://www.openstreetmap.org/?mlat=30.457&amp;mlon=47.9939&amp;zoom=12#map=12/30.457/47.9939","Maplink1")</f>
        <v>Maplink1</v>
      </c>
      <c r="AT1135" s="20" t="str">
        <f aca="false">HYPERLINK("https://www.google.iq/maps/search/+30.457,47.9939/@30.457,47.9939,14z?hl=en","Maplink2")</f>
        <v>Maplink2</v>
      </c>
      <c r="AU1135" s="20" t="str">
        <f aca="false">HYPERLINK("http://www.bing.com/maps/?lvl=14&amp;sty=h&amp;cp=30.457~47.9939&amp;sp=point.30.457_47.9939","Maplink3")</f>
        <v>Maplink3</v>
      </c>
    </row>
    <row r="1136" customFormat="false" ht="15" hidden="false" customHeight="true" outlineLevel="0" collapsed="false">
      <c r="A1136" s="15" t="n">
        <v>811</v>
      </c>
      <c r="B1136" s="16" t="s">
        <v>18</v>
      </c>
      <c r="C1136" s="16" t="s">
        <v>2217</v>
      </c>
      <c r="D1136" s="16" t="s">
        <v>2252</v>
      </c>
      <c r="E1136" s="17" t="s">
        <v>2253</v>
      </c>
      <c r="F1136" s="16" t="n">
        <v>30.44688546</v>
      </c>
      <c r="G1136" s="16" t="n">
        <v>47.99609276</v>
      </c>
      <c r="H1136" s="18" t="n">
        <v>15</v>
      </c>
      <c r="I1136" s="18" t="n">
        <v>90</v>
      </c>
      <c r="J1136" s="19" t="n">
        <v>3</v>
      </c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 t="n">
        <v>1</v>
      </c>
      <c r="W1136" s="19"/>
      <c r="X1136" s="19" t="n">
        <v>11</v>
      </c>
      <c r="Y1136" s="19"/>
      <c r="Z1136" s="19"/>
      <c r="AA1136" s="19"/>
      <c r="AB1136" s="19"/>
      <c r="AC1136" s="19" t="n">
        <v>9</v>
      </c>
      <c r="AD1136" s="19"/>
      <c r="AE1136" s="19"/>
      <c r="AF1136" s="19"/>
      <c r="AG1136" s="19"/>
      <c r="AH1136" s="19" t="n">
        <v>6</v>
      </c>
      <c r="AI1136" s="19"/>
      <c r="AJ1136" s="19"/>
      <c r="AK1136" s="19"/>
      <c r="AL1136" s="19" t="n">
        <v>1</v>
      </c>
      <c r="AM1136" s="19" t="n">
        <v>5</v>
      </c>
      <c r="AN1136" s="19" t="n">
        <v>3</v>
      </c>
      <c r="AO1136" s="19" t="n">
        <v>5</v>
      </c>
      <c r="AP1136" s="19" t="n">
        <v>1</v>
      </c>
      <c r="AQ1136" s="19"/>
      <c r="AR1136" s="19"/>
      <c r="AS1136" s="20" t="str">
        <f aca="false">HYPERLINK("http://www.openstreetmap.org/?mlat=30.4469&amp;mlon=47.9961&amp;zoom=12#map=12/30.4469/47.9961","Maplink1")</f>
        <v>Maplink1</v>
      </c>
      <c r="AT1136" s="20" t="str">
        <f aca="false">HYPERLINK("https://www.google.iq/maps/search/+30.4469,47.9961/@30.4469,47.9961,14z?hl=en","Maplink2")</f>
        <v>Maplink2</v>
      </c>
      <c r="AU1136" s="20" t="str">
        <f aca="false">HYPERLINK("http://www.bing.com/maps/?lvl=14&amp;sty=h&amp;cp=30.4469~47.9961&amp;sp=point.30.4469_47.9961","Maplink3")</f>
        <v>Maplink3</v>
      </c>
    </row>
    <row r="1137" customFormat="false" ht="15" hidden="false" customHeight="true" outlineLevel="0" collapsed="false">
      <c r="A1137" s="15" t="n">
        <v>797</v>
      </c>
      <c r="B1137" s="16" t="s">
        <v>18</v>
      </c>
      <c r="C1137" s="16" t="s">
        <v>2217</v>
      </c>
      <c r="D1137" s="16" t="s">
        <v>2254</v>
      </c>
      <c r="E1137" s="17" t="s">
        <v>2255</v>
      </c>
      <c r="F1137" s="16" t="n">
        <v>30.44640404</v>
      </c>
      <c r="G1137" s="16" t="n">
        <v>47.99105633</v>
      </c>
      <c r="H1137" s="18" t="n">
        <v>3</v>
      </c>
      <c r="I1137" s="18" t="n">
        <v>18</v>
      </c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 t="n">
        <v>3</v>
      </c>
      <c r="Y1137" s="19"/>
      <c r="Z1137" s="19"/>
      <c r="AA1137" s="19"/>
      <c r="AB1137" s="19"/>
      <c r="AC1137" s="19" t="n">
        <v>3</v>
      </c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 t="n">
        <v>3</v>
      </c>
      <c r="AP1137" s="19"/>
      <c r="AQ1137" s="19"/>
      <c r="AR1137" s="19"/>
      <c r="AS1137" s="20" t="str">
        <f aca="false">HYPERLINK("http://www.openstreetmap.org/?mlat=30.4464&amp;mlon=47.9911&amp;zoom=12#map=12/30.4464/47.9911","Maplink1")</f>
        <v>Maplink1</v>
      </c>
      <c r="AT1137" s="20" t="str">
        <f aca="false">HYPERLINK("https://www.google.iq/maps/search/+30.4464,47.9911/@30.4464,47.9911,14z?hl=en","Maplink2")</f>
        <v>Maplink2</v>
      </c>
      <c r="AU1137" s="20" t="str">
        <f aca="false">HYPERLINK("http://www.bing.com/maps/?lvl=14&amp;sty=h&amp;cp=30.4464~47.9911&amp;sp=point.30.4464_47.9911","Maplink3")</f>
        <v>Maplink3</v>
      </c>
    </row>
    <row r="1138" customFormat="false" ht="15" hidden="false" customHeight="true" outlineLevel="0" collapsed="false">
      <c r="A1138" s="15" t="n">
        <v>20783</v>
      </c>
      <c r="B1138" s="16" t="s">
        <v>18</v>
      </c>
      <c r="C1138" s="16" t="s">
        <v>2217</v>
      </c>
      <c r="D1138" s="16" t="s">
        <v>2256</v>
      </c>
      <c r="E1138" s="17" t="s">
        <v>2257</v>
      </c>
      <c r="F1138" s="16" t="n">
        <v>30.45385132</v>
      </c>
      <c r="G1138" s="16" t="n">
        <v>47.98592535</v>
      </c>
      <c r="H1138" s="18" t="n">
        <v>6</v>
      </c>
      <c r="I1138" s="18" t="n">
        <v>36</v>
      </c>
      <c r="J1138" s="19" t="n">
        <v>3</v>
      </c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 t="n">
        <v>3</v>
      </c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 t="n">
        <v>6</v>
      </c>
      <c r="AI1138" s="19"/>
      <c r="AJ1138" s="19"/>
      <c r="AK1138" s="19"/>
      <c r="AL1138" s="19" t="n">
        <v>6</v>
      </c>
      <c r="AM1138" s="19"/>
      <c r="AN1138" s="19"/>
      <c r="AO1138" s="19"/>
      <c r="AP1138" s="19"/>
      <c r="AQ1138" s="19"/>
      <c r="AR1138" s="19"/>
      <c r="AS1138" s="20" t="str">
        <f aca="false">HYPERLINK("http://www.openstreetmap.org/?mlat=30.4539&amp;mlon=47.9859&amp;zoom=12#map=12/30.4539/47.9859","Maplink1")</f>
        <v>Maplink1</v>
      </c>
      <c r="AT1138" s="20" t="str">
        <f aca="false">HYPERLINK("https://www.google.iq/maps/search/+30.4539,47.9859/@30.4539,47.9859,14z?hl=en","Maplink2")</f>
        <v>Maplink2</v>
      </c>
      <c r="AU1138" s="20" t="str">
        <f aca="false">HYPERLINK("http://www.bing.com/maps/?lvl=14&amp;sty=h&amp;cp=30.4539~47.9859&amp;sp=point.30.4539_47.9859","Maplink3")</f>
        <v>Maplink3</v>
      </c>
    </row>
    <row r="1139" customFormat="false" ht="15" hidden="false" customHeight="true" outlineLevel="0" collapsed="false">
      <c r="A1139" s="15" t="n">
        <v>24480</v>
      </c>
      <c r="B1139" s="16" t="s">
        <v>18</v>
      </c>
      <c r="C1139" s="16" t="s">
        <v>2217</v>
      </c>
      <c r="D1139" s="16" t="s">
        <v>2258</v>
      </c>
      <c r="E1139" s="17" t="s">
        <v>2259</v>
      </c>
      <c r="F1139" s="16" t="n">
        <v>30.44450759</v>
      </c>
      <c r="G1139" s="16" t="n">
        <v>48.02594793</v>
      </c>
      <c r="H1139" s="18" t="n">
        <v>6</v>
      </c>
      <c r="I1139" s="18" t="n">
        <v>36</v>
      </c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 t="n">
        <v>5</v>
      </c>
      <c r="W1139" s="19"/>
      <c r="X1139" s="19" t="n">
        <v>1</v>
      </c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 t="n">
        <v>6</v>
      </c>
      <c r="AI1139" s="19"/>
      <c r="AJ1139" s="19"/>
      <c r="AK1139" s="19"/>
      <c r="AL1139" s="19"/>
      <c r="AM1139" s="19" t="n">
        <v>1</v>
      </c>
      <c r="AN1139" s="19" t="n">
        <v>5</v>
      </c>
      <c r="AO1139" s="19"/>
      <c r="AP1139" s="19"/>
      <c r="AQ1139" s="19"/>
      <c r="AR1139" s="19"/>
      <c r="AS1139" s="20" t="str">
        <f aca="false">HYPERLINK("http://www.openstreetmap.org/?mlat=30.4445&amp;mlon=48.0259&amp;zoom=12#map=12/30.4445/48.0259","Maplink1")</f>
        <v>Maplink1</v>
      </c>
      <c r="AT1139" s="20" t="str">
        <f aca="false">HYPERLINK("https://www.google.iq/maps/search/+30.4445,48.0259/@30.4445,48.0259,14z?hl=en","Maplink2")</f>
        <v>Maplink2</v>
      </c>
      <c r="AU1139" s="20" t="str">
        <f aca="false">HYPERLINK("http://www.bing.com/maps/?lvl=14&amp;sty=h&amp;cp=30.4445~48.0259&amp;sp=point.30.4445_48.0259","Maplink3")</f>
        <v>Maplink3</v>
      </c>
    </row>
    <row r="1140" customFormat="false" ht="15" hidden="false" customHeight="true" outlineLevel="0" collapsed="false">
      <c r="A1140" s="15" t="n">
        <v>381</v>
      </c>
      <c r="B1140" s="16" t="s">
        <v>18</v>
      </c>
      <c r="C1140" s="16" t="s">
        <v>2217</v>
      </c>
      <c r="D1140" s="16" t="s">
        <v>2260</v>
      </c>
      <c r="E1140" s="17" t="s">
        <v>2261</v>
      </c>
      <c r="F1140" s="16" t="n">
        <v>30.4565329</v>
      </c>
      <c r="G1140" s="16" t="n">
        <v>47.89175098</v>
      </c>
      <c r="H1140" s="18" t="n">
        <v>50</v>
      </c>
      <c r="I1140" s="18" t="n">
        <v>300</v>
      </c>
      <c r="J1140" s="19" t="n">
        <v>17</v>
      </c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 t="n">
        <v>17</v>
      </c>
      <c r="W1140" s="19"/>
      <c r="X1140" s="19" t="n">
        <v>16</v>
      </c>
      <c r="Y1140" s="19"/>
      <c r="Z1140" s="19"/>
      <c r="AA1140" s="19"/>
      <c r="AB1140" s="19"/>
      <c r="AC1140" s="19" t="n">
        <v>12</v>
      </c>
      <c r="AD1140" s="19"/>
      <c r="AE1140" s="19"/>
      <c r="AF1140" s="19"/>
      <c r="AG1140" s="19"/>
      <c r="AH1140" s="19" t="n">
        <v>38</v>
      </c>
      <c r="AI1140" s="19"/>
      <c r="AJ1140" s="19"/>
      <c r="AK1140" s="19"/>
      <c r="AL1140" s="19"/>
      <c r="AM1140" s="19" t="n">
        <v>27</v>
      </c>
      <c r="AN1140" s="19" t="n">
        <v>7</v>
      </c>
      <c r="AO1140" s="19" t="n">
        <v>14</v>
      </c>
      <c r="AP1140" s="19" t="n">
        <v>1</v>
      </c>
      <c r="AQ1140" s="19"/>
      <c r="AR1140" s="19" t="n">
        <v>1</v>
      </c>
      <c r="AS1140" s="20" t="str">
        <f aca="false">HYPERLINK("http://www.openstreetmap.org/?mlat=30.4565&amp;mlon=47.8918&amp;zoom=12#map=12/30.4565/47.8918","Maplink1")</f>
        <v>Maplink1</v>
      </c>
      <c r="AT1140" s="20" t="str">
        <f aca="false">HYPERLINK("https://www.google.iq/maps/search/+30.4565,47.8918/@30.4565,47.8918,14z?hl=en","Maplink2")</f>
        <v>Maplink2</v>
      </c>
      <c r="AU1140" s="20" t="str">
        <f aca="false">HYPERLINK("http://www.bing.com/maps/?lvl=14&amp;sty=h&amp;cp=30.4565~47.8918&amp;sp=point.30.4565_47.8918","Maplink3")</f>
        <v>Maplink3</v>
      </c>
    </row>
    <row r="1141" customFormat="false" ht="15" hidden="false" customHeight="true" outlineLevel="0" collapsed="false">
      <c r="A1141" s="15" t="n">
        <v>505</v>
      </c>
      <c r="B1141" s="16" t="s">
        <v>18</v>
      </c>
      <c r="C1141" s="16" t="s">
        <v>2217</v>
      </c>
      <c r="D1141" s="16" t="s">
        <v>2262</v>
      </c>
      <c r="E1141" s="17" t="s">
        <v>2263</v>
      </c>
      <c r="F1141" s="16" t="n">
        <v>30.4378001</v>
      </c>
      <c r="G1141" s="16" t="n">
        <v>47.94144703</v>
      </c>
      <c r="H1141" s="18" t="n">
        <v>13</v>
      </c>
      <c r="I1141" s="18" t="n">
        <v>78</v>
      </c>
      <c r="J1141" s="19" t="n">
        <v>6</v>
      </c>
      <c r="K1141" s="19"/>
      <c r="L1141" s="19"/>
      <c r="M1141" s="19"/>
      <c r="N1141" s="19"/>
      <c r="O1141" s="19"/>
      <c r="P1141" s="19"/>
      <c r="Q1141" s="19"/>
      <c r="R1141" s="19" t="n">
        <v>2</v>
      </c>
      <c r="S1141" s="19"/>
      <c r="T1141" s="19"/>
      <c r="U1141" s="19"/>
      <c r="V1141" s="19" t="n">
        <v>2</v>
      </c>
      <c r="W1141" s="19"/>
      <c r="X1141" s="19" t="n">
        <v>3</v>
      </c>
      <c r="Y1141" s="19"/>
      <c r="Z1141" s="19"/>
      <c r="AA1141" s="19"/>
      <c r="AB1141" s="19"/>
      <c r="AC1141" s="19" t="n">
        <v>3</v>
      </c>
      <c r="AD1141" s="19"/>
      <c r="AE1141" s="19"/>
      <c r="AF1141" s="19"/>
      <c r="AG1141" s="19"/>
      <c r="AH1141" s="19" t="n">
        <v>10</v>
      </c>
      <c r="AI1141" s="19"/>
      <c r="AJ1141" s="19"/>
      <c r="AK1141" s="19"/>
      <c r="AL1141" s="19" t="n">
        <v>1</v>
      </c>
      <c r="AM1141" s="19" t="n">
        <v>10</v>
      </c>
      <c r="AN1141" s="19" t="n">
        <v>2</v>
      </c>
      <c r="AO1141" s="19"/>
      <c r="AP1141" s="19"/>
      <c r="AQ1141" s="19"/>
      <c r="AR1141" s="19"/>
      <c r="AS1141" s="20" t="str">
        <f aca="false">HYPERLINK("http://www.openstreetmap.org/?mlat=30.4378&amp;mlon=47.9414&amp;zoom=12#map=12/30.4378/47.9414","Maplink1")</f>
        <v>Maplink1</v>
      </c>
      <c r="AT1141" s="20" t="str">
        <f aca="false">HYPERLINK("https://www.google.iq/maps/search/+30.4378,47.9414/@30.4378,47.9414,14z?hl=en","Maplink2")</f>
        <v>Maplink2</v>
      </c>
      <c r="AU1141" s="20" t="str">
        <f aca="false">HYPERLINK("http://www.bing.com/maps/?lvl=14&amp;sty=h&amp;cp=30.4378~47.9414&amp;sp=point.30.4378_47.9414","Maplink3")</f>
        <v>Maplink3</v>
      </c>
    </row>
    <row r="1142" customFormat="false" ht="15" hidden="false" customHeight="true" outlineLevel="0" collapsed="false">
      <c r="A1142" s="15" t="n">
        <v>24158</v>
      </c>
      <c r="B1142" s="16" t="s">
        <v>18</v>
      </c>
      <c r="C1142" s="16" t="s">
        <v>2217</v>
      </c>
      <c r="D1142" s="16" t="s">
        <v>2264</v>
      </c>
      <c r="E1142" s="17" t="s">
        <v>2265</v>
      </c>
      <c r="F1142" s="16" t="n">
        <v>30.45204033</v>
      </c>
      <c r="G1142" s="16" t="n">
        <v>47.9112177</v>
      </c>
      <c r="H1142" s="18" t="n">
        <v>12</v>
      </c>
      <c r="I1142" s="18" t="n">
        <v>72</v>
      </c>
      <c r="J1142" s="19" t="n">
        <v>3</v>
      </c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 t="n">
        <v>6</v>
      </c>
      <c r="W1142" s="19"/>
      <c r="X1142" s="19" t="n">
        <v>3</v>
      </c>
      <c r="Y1142" s="19"/>
      <c r="Z1142" s="19"/>
      <c r="AA1142" s="19"/>
      <c r="AB1142" s="19"/>
      <c r="AC1142" s="19" t="n">
        <v>4</v>
      </c>
      <c r="AD1142" s="19"/>
      <c r="AE1142" s="19"/>
      <c r="AF1142" s="19"/>
      <c r="AG1142" s="19"/>
      <c r="AH1142" s="19" t="n">
        <v>8</v>
      </c>
      <c r="AI1142" s="19"/>
      <c r="AJ1142" s="19"/>
      <c r="AK1142" s="19"/>
      <c r="AL1142" s="19" t="n">
        <v>2</v>
      </c>
      <c r="AM1142" s="19" t="n">
        <v>5</v>
      </c>
      <c r="AN1142" s="19" t="n">
        <v>3</v>
      </c>
      <c r="AO1142" s="19" t="n">
        <v>2</v>
      </c>
      <c r="AP1142" s="19"/>
      <c r="AQ1142" s="19"/>
      <c r="AR1142" s="19"/>
      <c r="AS1142" s="20" t="str">
        <f aca="false">HYPERLINK("http://www.openstreetmap.org/?mlat=30.452&amp;mlon=47.9112&amp;zoom=12#map=12/30.452/47.9112","Maplink1")</f>
        <v>Maplink1</v>
      </c>
      <c r="AT1142" s="20" t="str">
        <f aca="false">HYPERLINK("https://www.google.iq/maps/search/+30.452,47.9112/@30.452,47.9112,14z?hl=en","Maplink2")</f>
        <v>Maplink2</v>
      </c>
      <c r="AU1142" s="20" t="str">
        <f aca="false">HYPERLINK("http://www.bing.com/maps/?lvl=14&amp;sty=h&amp;cp=30.452~47.9112&amp;sp=point.30.452_47.9112","Maplink3")</f>
        <v>Maplink3</v>
      </c>
    </row>
    <row r="1143" customFormat="false" ht="15" hidden="false" customHeight="true" outlineLevel="0" collapsed="false">
      <c r="A1143" s="15" t="n">
        <v>813</v>
      </c>
      <c r="B1143" s="16" t="s">
        <v>18</v>
      </c>
      <c r="C1143" s="16" t="s">
        <v>2217</v>
      </c>
      <c r="D1143" s="16" t="s">
        <v>2266</v>
      </c>
      <c r="E1143" s="17" t="s">
        <v>2267</v>
      </c>
      <c r="F1143" s="16" t="n">
        <v>30.4662</v>
      </c>
      <c r="G1143" s="16" t="n">
        <v>47.89150371</v>
      </c>
      <c r="H1143" s="18" t="n">
        <v>5</v>
      </c>
      <c r="I1143" s="18" t="n">
        <v>30</v>
      </c>
      <c r="J1143" s="19" t="n">
        <v>1</v>
      </c>
      <c r="K1143" s="19"/>
      <c r="L1143" s="19"/>
      <c r="M1143" s="19"/>
      <c r="N1143" s="19"/>
      <c r="O1143" s="19"/>
      <c r="P1143" s="19"/>
      <c r="Q1143" s="19"/>
      <c r="R1143" s="19" t="n">
        <v>1</v>
      </c>
      <c r="S1143" s="19"/>
      <c r="T1143" s="19"/>
      <c r="U1143" s="19"/>
      <c r="V1143" s="19" t="n">
        <v>1</v>
      </c>
      <c r="W1143" s="19"/>
      <c r="X1143" s="19" t="n">
        <v>2</v>
      </c>
      <c r="Y1143" s="19"/>
      <c r="Z1143" s="19"/>
      <c r="AA1143" s="19"/>
      <c r="AB1143" s="19"/>
      <c r="AC1143" s="19" t="n">
        <v>3</v>
      </c>
      <c r="AD1143" s="19"/>
      <c r="AE1143" s="19"/>
      <c r="AF1143" s="19"/>
      <c r="AG1143" s="19"/>
      <c r="AH1143" s="19" t="n">
        <v>2</v>
      </c>
      <c r="AI1143" s="19"/>
      <c r="AJ1143" s="19"/>
      <c r="AK1143" s="19"/>
      <c r="AL1143" s="19"/>
      <c r="AM1143" s="19" t="n">
        <v>2</v>
      </c>
      <c r="AN1143" s="19" t="n">
        <v>1</v>
      </c>
      <c r="AO1143" s="19" t="n">
        <v>2</v>
      </c>
      <c r="AP1143" s="19"/>
      <c r="AQ1143" s="19"/>
      <c r="AR1143" s="19"/>
      <c r="AS1143" s="20" t="str">
        <f aca="false">HYPERLINK("http://www.openstreetmap.org/?mlat=30.4662&amp;mlon=47.8915&amp;zoom=12#map=12/30.4662/47.8915","Maplink1")</f>
        <v>Maplink1</v>
      </c>
      <c r="AT1143" s="20" t="str">
        <f aca="false">HYPERLINK("https://www.google.iq/maps/search/+30.4662,47.8915/@30.4662,47.8915,14z?hl=en","Maplink2")</f>
        <v>Maplink2</v>
      </c>
      <c r="AU1143" s="20" t="str">
        <f aca="false">HYPERLINK("http://www.bing.com/maps/?lvl=14&amp;sty=h&amp;cp=30.4662~47.8915&amp;sp=point.30.4662_47.8915","Maplink3")</f>
        <v>Maplink3</v>
      </c>
    </row>
    <row r="1144" customFormat="false" ht="15" hidden="false" customHeight="true" outlineLevel="0" collapsed="false">
      <c r="A1144" s="15" t="n">
        <v>583</v>
      </c>
      <c r="B1144" s="16" t="s">
        <v>18</v>
      </c>
      <c r="C1144" s="16" t="s">
        <v>2217</v>
      </c>
      <c r="D1144" s="16" t="s">
        <v>2268</v>
      </c>
      <c r="E1144" s="17" t="s">
        <v>2269</v>
      </c>
      <c r="F1144" s="16" t="n">
        <v>30.46074334</v>
      </c>
      <c r="G1144" s="16" t="n">
        <v>47.92905715</v>
      </c>
      <c r="H1144" s="18" t="n">
        <v>7</v>
      </c>
      <c r="I1144" s="18" t="n">
        <v>42</v>
      </c>
      <c r="J1144" s="19" t="n">
        <v>4</v>
      </c>
      <c r="K1144" s="19"/>
      <c r="L1144" s="19"/>
      <c r="M1144" s="19"/>
      <c r="N1144" s="19"/>
      <c r="O1144" s="19"/>
      <c r="P1144" s="19"/>
      <c r="Q1144" s="19"/>
      <c r="R1144" s="19" t="n">
        <v>3</v>
      </c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 t="n">
        <v>5</v>
      </c>
      <c r="AD1144" s="19"/>
      <c r="AE1144" s="19"/>
      <c r="AF1144" s="19"/>
      <c r="AG1144" s="19"/>
      <c r="AH1144" s="19" t="n">
        <v>2</v>
      </c>
      <c r="AI1144" s="19"/>
      <c r="AJ1144" s="19"/>
      <c r="AK1144" s="19"/>
      <c r="AL1144" s="19"/>
      <c r="AM1144" s="19" t="n">
        <v>2</v>
      </c>
      <c r="AN1144" s="19" t="n">
        <v>3</v>
      </c>
      <c r="AO1144" s="19" t="n">
        <v>1</v>
      </c>
      <c r="AP1144" s="19" t="n">
        <v>1</v>
      </c>
      <c r="AQ1144" s="19"/>
      <c r="AR1144" s="19"/>
      <c r="AS1144" s="20" t="str">
        <f aca="false">HYPERLINK("http://www.openstreetmap.org/?mlat=30.4607&amp;mlon=47.9291&amp;zoom=12#map=12/30.4607/47.9291","Maplink1")</f>
        <v>Maplink1</v>
      </c>
      <c r="AT1144" s="20" t="str">
        <f aca="false">HYPERLINK("https://www.google.iq/maps/search/+30.4607,47.9291/@30.4607,47.9291,14z?hl=en","Maplink2")</f>
        <v>Maplink2</v>
      </c>
      <c r="AU1144" s="20" t="str">
        <f aca="false">HYPERLINK("http://www.bing.com/maps/?lvl=14&amp;sty=h&amp;cp=30.4607~47.9291&amp;sp=point.30.4607_47.9291","Maplink3")</f>
        <v>Maplink3</v>
      </c>
    </row>
    <row r="1145" customFormat="false" ht="15" hidden="false" customHeight="true" outlineLevel="0" collapsed="false">
      <c r="A1145" s="15" t="n">
        <v>24526</v>
      </c>
      <c r="B1145" s="16" t="s">
        <v>18</v>
      </c>
      <c r="C1145" s="16" t="s">
        <v>2217</v>
      </c>
      <c r="D1145" s="16" t="s">
        <v>2270</v>
      </c>
      <c r="E1145" s="17" t="s">
        <v>2271</v>
      </c>
      <c r="F1145" s="16" t="n">
        <v>30.46574009</v>
      </c>
      <c r="G1145" s="16" t="n">
        <v>47.88410014</v>
      </c>
      <c r="H1145" s="18" t="n">
        <v>12</v>
      </c>
      <c r="I1145" s="18" t="n">
        <v>72</v>
      </c>
      <c r="J1145" s="19" t="n">
        <v>6</v>
      </c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 t="n">
        <v>3</v>
      </c>
      <c r="W1145" s="19"/>
      <c r="X1145" s="19" t="n">
        <v>3</v>
      </c>
      <c r="Y1145" s="19"/>
      <c r="Z1145" s="19"/>
      <c r="AA1145" s="19"/>
      <c r="AB1145" s="19"/>
      <c r="AC1145" s="19" t="n">
        <v>3</v>
      </c>
      <c r="AD1145" s="19"/>
      <c r="AE1145" s="19"/>
      <c r="AF1145" s="19"/>
      <c r="AG1145" s="19"/>
      <c r="AH1145" s="19" t="n">
        <v>9</v>
      </c>
      <c r="AI1145" s="19"/>
      <c r="AJ1145" s="19"/>
      <c r="AK1145" s="19"/>
      <c r="AL1145" s="19"/>
      <c r="AM1145" s="19" t="n">
        <v>4</v>
      </c>
      <c r="AN1145" s="19" t="n">
        <v>2</v>
      </c>
      <c r="AO1145" s="19" t="n">
        <v>5</v>
      </c>
      <c r="AP1145" s="19" t="n">
        <v>1</v>
      </c>
      <c r="AQ1145" s="19"/>
      <c r="AR1145" s="19"/>
      <c r="AS1145" s="20" t="str">
        <f aca="false">HYPERLINK("http://www.openstreetmap.org/?mlat=30.4657&amp;mlon=47.8841&amp;zoom=12#map=12/30.4657/47.8841","Maplink1")</f>
        <v>Maplink1</v>
      </c>
      <c r="AT1145" s="20" t="str">
        <f aca="false">HYPERLINK("https://www.google.iq/maps/search/+30.4657,47.8841/@30.4657,47.8841,14z?hl=en","Maplink2")</f>
        <v>Maplink2</v>
      </c>
      <c r="AU1145" s="20" t="str">
        <f aca="false">HYPERLINK("http://www.bing.com/maps/?lvl=14&amp;sty=h&amp;cp=30.4657~47.8841&amp;sp=point.30.4657_47.8841","Maplink3")</f>
        <v>Maplink3</v>
      </c>
    </row>
    <row r="1146" customFormat="false" ht="15" hidden="false" customHeight="true" outlineLevel="0" collapsed="false">
      <c r="A1146" s="15" t="n">
        <v>27197</v>
      </c>
      <c r="B1146" s="16" t="s">
        <v>18</v>
      </c>
      <c r="C1146" s="16" t="s">
        <v>2217</v>
      </c>
      <c r="D1146" s="16" t="s">
        <v>2272</v>
      </c>
      <c r="E1146" s="17" t="s">
        <v>2273</v>
      </c>
      <c r="F1146" s="16" t="n">
        <v>30.48437842</v>
      </c>
      <c r="G1146" s="16" t="n">
        <v>47.87210396</v>
      </c>
      <c r="H1146" s="18" t="n">
        <v>2</v>
      </c>
      <c r="I1146" s="18" t="n">
        <v>12</v>
      </c>
      <c r="J1146" s="19" t="n">
        <v>1</v>
      </c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 t="n">
        <v>1</v>
      </c>
      <c r="Y1146" s="19"/>
      <c r="Z1146" s="19"/>
      <c r="AA1146" s="19"/>
      <c r="AB1146" s="19"/>
      <c r="AC1146" s="19" t="n">
        <v>1</v>
      </c>
      <c r="AD1146" s="19"/>
      <c r="AE1146" s="19"/>
      <c r="AF1146" s="19"/>
      <c r="AG1146" s="19"/>
      <c r="AH1146" s="19" t="n">
        <v>1</v>
      </c>
      <c r="AI1146" s="19"/>
      <c r="AJ1146" s="19"/>
      <c r="AK1146" s="19"/>
      <c r="AL1146" s="19"/>
      <c r="AM1146" s="19" t="n">
        <v>1</v>
      </c>
      <c r="AN1146" s="19"/>
      <c r="AO1146" s="19" t="n">
        <v>1</v>
      </c>
      <c r="AP1146" s="19"/>
      <c r="AQ1146" s="19"/>
      <c r="AR1146" s="19"/>
      <c r="AS1146" s="20" t="str">
        <f aca="false">HYPERLINK("http://www.openstreetmap.org/?mlat=30.4844&amp;mlon=47.8721&amp;zoom=12#map=12/30.4844/47.8721","Maplink1")</f>
        <v>Maplink1</v>
      </c>
      <c r="AT1146" s="20" t="str">
        <f aca="false">HYPERLINK("https://www.google.iq/maps/search/+30.4844,47.8721/@30.4844,47.8721,14z?hl=en","Maplink2")</f>
        <v>Maplink2</v>
      </c>
      <c r="AU1146" s="20" t="str">
        <f aca="false">HYPERLINK("http://www.bing.com/maps/?lvl=14&amp;sty=h&amp;cp=30.4844~47.8721&amp;sp=point.30.4844_47.8721","Maplink3")</f>
        <v>Maplink3</v>
      </c>
    </row>
    <row r="1147" customFormat="false" ht="15" hidden="false" customHeight="true" outlineLevel="0" collapsed="false">
      <c r="A1147" s="15" t="n">
        <v>599</v>
      </c>
      <c r="B1147" s="16" t="s">
        <v>18</v>
      </c>
      <c r="C1147" s="16" t="s">
        <v>2217</v>
      </c>
      <c r="D1147" s="16" t="s">
        <v>2274</v>
      </c>
      <c r="E1147" s="17" t="s">
        <v>2275</v>
      </c>
      <c r="F1147" s="16" t="n">
        <v>30.4591706</v>
      </c>
      <c r="G1147" s="16" t="n">
        <v>47.96665602</v>
      </c>
      <c r="H1147" s="18" t="n">
        <v>2</v>
      </c>
      <c r="I1147" s="18" t="n">
        <v>12</v>
      </c>
      <c r="J1147" s="19" t="n">
        <v>1</v>
      </c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 t="n">
        <v>1</v>
      </c>
      <c r="W1147" s="19"/>
      <c r="X1147" s="19"/>
      <c r="Y1147" s="19"/>
      <c r="Z1147" s="19"/>
      <c r="AA1147" s="19"/>
      <c r="AB1147" s="19"/>
      <c r="AC1147" s="19" t="n">
        <v>1</v>
      </c>
      <c r="AD1147" s="19"/>
      <c r="AE1147" s="19"/>
      <c r="AF1147" s="19"/>
      <c r="AG1147" s="19"/>
      <c r="AH1147" s="19" t="n">
        <v>1</v>
      </c>
      <c r="AI1147" s="19"/>
      <c r="AJ1147" s="19"/>
      <c r="AK1147" s="19"/>
      <c r="AL1147" s="19" t="n">
        <v>1</v>
      </c>
      <c r="AM1147" s="19"/>
      <c r="AN1147" s="19"/>
      <c r="AO1147" s="19"/>
      <c r="AP1147" s="19"/>
      <c r="AQ1147" s="19" t="n">
        <v>1</v>
      </c>
      <c r="AR1147" s="19"/>
      <c r="AS1147" s="20" t="str">
        <f aca="false">HYPERLINK("http://www.openstreetmap.org/?mlat=30.4592&amp;mlon=47.9667&amp;zoom=12#map=12/30.4592/47.9667","Maplink1")</f>
        <v>Maplink1</v>
      </c>
      <c r="AT1147" s="20" t="str">
        <f aca="false">HYPERLINK("https://www.google.iq/maps/search/+30.4592,47.9667/@30.4592,47.9667,14z?hl=en","Maplink2")</f>
        <v>Maplink2</v>
      </c>
      <c r="AU1147" s="20" t="str">
        <f aca="false">HYPERLINK("http://www.bing.com/maps/?lvl=14&amp;sty=h&amp;cp=30.4592~47.9667&amp;sp=point.30.4592_47.9667","Maplink3")</f>
        <v>Maplink3</v>
      </c>
    </row>
    <row r="1148" customFormat="false" ht="15" hidden="false" customHeight="true" outlineLevel="0" collapsed="false">
      <c r="A1148" s="15" t="n">
        <v>20943</v>
      </c>
      <c r="B1148" s="16" t="s">
        <v>18</v>
      </c>
      <c r="C1148" s="16" t="s">
        <v>2217</v>
      </c>
      <c r="D1148" s="16" t="s">
        <v>2276</v>
      </c>
      <c r="E1148" s="17" t="s">
        <v>2277</v>
      </c>
      <c r="F1148" s="16" t="n">
        <v>30.44767717</v>
      </c>
      <c r="G1148" s="16" t="n">
        <v>47.97619354</v>
      </c>
      <c r="H1148" s="18" t="n">
        <v>7</v>
      </c>
      <c r="I1148" s="18" t="n">
        <v>42</v>
      </c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 t="n">
        <v>6</v>
      </c>
      <c r="W1148" s="19"/>
      <c r="X1148" s="19" t="n">
        <v>1</v>
      </c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 t="n">
        <v>7</v>
      </c>
      <c r="AI1148" s="19"/>
      <c r="AJ1148" s="19"/>
      <c r="AK1148" s="19"/>
      <c r="AL1148" s="19"/>
      <c r="AM1148" s="19" t="n">
        <v>6</v>
      </c>
      <c r="AN1148" s="19"/>
      <c r="AO1148" s="19" t="n">
        <v>1</v>
      </c>
      <c r="AP1148" s="19"/>
      <c r="AQ1148" s="19"/>
      <c r="AR1148" s="19"/>
      <c r="AS1148" s="20" t="str">
        <f aca="false">HYPERLINK("http://www.openstreetmap.org/?mlat=30.4477&amp;mlon=47.9762&amp;zoom=12#map=12/30.4477/47.9762","Maplink1")</f>
        <v>Maplink1</v>
      </c>
      <c r="AT1148" s="20" t="str">
        <f aca="false">HYPERLINK("https://www.google.iq/maps/search/+30.4477,47.9762/@30.4477,47.9762,14z?hl=en","Maplink2")</f>
        <v>Maplink2</v>
      </c>
      <c r="AU1148" s="20" t="str">
        <f aca="false">HYPERLINK("http://www.bing.com/maps/?lvl=14&amp;sty=h&amp;cp=30.4477~47.9762&amp;sp=point.30.4477_47.9762","Maplink3")</f>
        <v>Maplink3</v>
      </c>
    </row>
    <row r="1149" customFormat="false" ht="15" hidden="false" customHeight="true" outlineLevel="0" collapsed="false">
      <c r="A1149" s="15" t="n">
        <v>622</v>
      </c>
      <c r="B1149" s="16" t="s">
        <v>18</v>
      </c>
      <c r="C1149" s="16" t="s">
        <v>2217</v>
      </c>
      <c r="D1149" s="16" t="s">
        <v>2278</v>
      </c>
      <c r="E1149" s="17" t="s">
        <v>2279</v>
      </c>
      <c r="F1149" s="16" t="n">
        <v>30.4710815</v>
      </c>
      <c r="G1149" s="16" t="n">
        <v>47.89731388</v>
      </c>
      <c r="H1149" s="18" t="n">
        <v>3</v>
      </c>
      <c r="I1149" s="18" t="n">
        <v>18</v>
      </c>
      <c r="J1149" s="19" t="n">
        <v>3</v>
      </c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 t="n">
        <v>3</v>
      </c>
      <c r="AI1149" s="19"/>
      <c r="AJ1149" s="19"/>
      <c r="AK1149" s="19"/>
      <c r="AL1149" s="19" t="n">
        <v>2</v>
      </c>
      <c r="AM1149" s="19"/>
      <c r="AN1149" s="19"/>
      <c r="AO1149" s="19" t="n">
        <v>1</v>
      </c>
      <c r="AP1149" s="19"/>
      <c r="AQ1149" s="19"/>
      <c r="AR1149" s="19"/>
      <c r="AS1149" s="20" t="str">
        <f aca="false">HYPERLINK("http://www.openstreetmap.org/?mlat=30.4711&amp;mlon=47.8973&amp;zoom=12#map=12/30.4711/47.8973","Maplink1")</f>
        <v>Maplink1</v>
      </c>
      <c r="AT1149" s="20" t="str">
        <f aca="false">HYPERLINK("https://www.google.iq/maps/search/+30.4711,47.8973/@30.4711,47.8973,14z?hl=en","Maplink2")</f>
        <v>Maplink2</v>
      </c>
      <c r="AU1149" s="20" t="str">
        <f aca="false">HYPERLINK("http://www.bing.com/maps/?lvl=14&amp;sty=h&amp;cp=30.4711~47.8973&amp;sp=point.30.4711_47.8973","Maplink3")</f>
        <v>Maplink3</v>
      </c>
    </row>
    <row r="1150" customFormat="false" ht="15" hidden="false" customHeight="true" outlineLevel="0" collapsed="false">
      <c r="A1150" s="15" t="n">
        <v>1168</v>
      </c>
      <c r="B1150" s="16" t="s">
        <v>18</v>
      </c>
      <c r="C1150" s="16" t="s">
        <v>2280</v>
      </c>
      <c r="D1150" s="16" t="s">
        <v>2281</v>
      </c>
      <c r="E1150" s="17" t="s">
        <v>2282</v>
      </c>
      <c r="F1150" s="16" t="n">
        <v>30.9493523</v>
      </c>
      <c r="G1150" s="16" t="n">
        <v>47.26001825</v>
      </c>
      <c r="H1150" s="18" t="n">
        <v>38</v>
      </c>
      <c r="I1150" s="18" t="n">
        <v>228</v>
      </c>
      <c r="J1150" s="19"/>
      <c r="K1150" s="19"/>
      <c r="L1150" s="19"/>
      <c r="M1150" s="19"/>
      <c r="N1150" s="19"/>
      <c r="O1150" s="19" t="n">
        <v>2</v>
      </c>
      <c r="P1150" s="19"/>
      <c r="Q1150" s="19"/>
      <c r="R1150" s="19"/>
      <c r="S1150" s="19"/>
      <c r="T1150" s="19"/>
      <c r="U1150" s="19"/>
      <c r="V1150" s="19" t="n">
        <v>30</v>
      </c>
      <c r="W1150" s="19"/>
      <c r="X1150" s="19" t="n">
        <v>6</v>
      </c>
      <c r="Y1150" s="19"/>
      <c r="Z1150" s="19"/>
      <c r="AA1150" s="19"/>
      <c r="AB1150" s="19"/>
      <c r="AC1150" s="19" t="n">
        <v>1</v>
      </c>
      <c r="AD1150" s="19"/>
      <c r="AE1150" s="19"/>
      <c r="AF1150" s="19"/>
      <c r="AG1150" s="19" t="n">
        <v>3</v>
      </c>
      <c r="AH1150" s="19" t="n">
        <v>34</v>
      </c>
      <c r="AI1150" s="19"/>
      <c r="AJ1150" s="19"/>
      <c r="AK1150" s="19"/>
      <c r="AL1150" s="19" t="n">
        <v>4</v>
      </c>
      <c r="AM1150" s="19" t="n">
        <v>1</v>
      </c>
      <c r="AN1150" s="19" t="n">
        <v>23</v>
      </c>
      <c r="AO1150" s="19" t="n">
        <v>5</v>
      </c>
      <c r="AP1150" s="19" t="n">
        <v>3</v>
      </c>
      <c r="AQ1150" s="19" t="n">
        <v>2</v>
      </c>
      <c r="AR1150" s="19"/>
      <c r="AS1150" s="20" t="str">
        <f aca="false">HYPERLINK("http://www.openstreetmap.org/?mlat=30.9494&amp;mlon=47.26&amp;zoom=12#map=12/30.9494/47.26","Maplink1")</f>
        <v>Maplink1</v>
      </c>
      <c r="AT1150" s="20" t="str">
        <f aca="false">HYPERLINK("https://www.google.iq/maps/search/+30.9494,47.26/@30.9494,47.26,14z?hl=en","Maplink2")</f>
        <v>Maplink2</v>
      </c>
      <c r="AU1150" s="20" t="str">
        <f aca="false">HYPERLINK("http://www.bing.com/maps/?lvl=14&amp;sty=h&amp;cp=30.9494~47.26&amp;sp=point.30.9494_47.26","Maplink3")</f>
        <v>Maplink3</v>
      </c>
    </row>
    <row r="1151" customFormat="false" ht="15" hidden="false" customHeight="true" outlineLevel="0" collapsed="false">
      <c r="A1151" s="15" t="n">
        <v>29633</v>
      </c>
      <c r="B1151" s="16" t="s">
        <v>18</v>
      </c>
      <c r="C1151" s="16" t="s">
        <v>2280</v>
      </c>
      <c r="D1151" s="16" t="s">
        <v>2283</v>
      </c>
      <c r="E1151" s="17" t="s">
        <v>2284</v>
      </c>
      <c r="F1151" s="16" t="n">
        <v>30.927222</v>
      </c>
      <c r="G1151" s="16" t="n">
        <v>47.255833</v>
      </c>
      <c r="H1151" s="18" t="n">
        <v>1</v>
      </c>
      <c r="I1151" s="18" t="n">
        <v>6</v>
      </c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 t="n">
        <v>1</v>
      </c>
      <c r="Y1151" s="19"/>
      <c r="Z1151" s="19"/>
      <c r="AA1151" s="19"/>
      <c r="AB1151" s="19"/>
      <c r="AC1151" s="19" t="n">
        <v>1</v>
      </c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 t="n">
        <v>1</v>
      </c>
      <c r="AP1151" s="19"/>
      <c r="AQ1151" s="19"/>
      <c r="AR1151" s="19"/>
      <c r="AS1151" s="20" t="str">
        <f aca="false">HYPERLINK("http://www.openstreetmap.org/?mlat=30.9272&amp;mlon=47.2558&amp;zoom=12#map=12/30.9272/47.2558","Maplink1")</f>
        <v>Maplink1</v>
      </c>
      <c r="AT1151" s="20" t="str">
        <f aca="false">HYPERLINK("https://www.google.iq/maps/search/+30.9272,47.2558/@30.9272,47.2558,14z?hl=en","Maplink2")</f>
        <v>Maplink2</v>
      </c>
      <c r="AU1151" s="20" t="str">
        <f aca="false">HYPERLINK("http://www.bing.com/maps/?lvl=14&amp;sty=h&amp;cp=30.9272~47.2558&amp;sp=point.30.9272_47.2558","Maplink3")</f>
        <v>Maplink3</v>
      </c>
    </row>
    <row r="1152" customFormat="false" ht="15" hidden="false" customHeight="true" outlineLevel="0" collapsed="false">
      <c r="A1152" s="15" t="n">
        <v>24921</v>
      </c>
      <c r="B1152" s="16" t="s">
        <v>18</v>
      </c>
      <c r="C1152" s="16" t="s">
        <v>2280</v>
      </c>
      <c r="D1152" s="16" t="s">
        <v>2285</v>
      </c>
      <c r="E1152" s="17" t="s">
        <v>2286</v>
      </c>
      <c r="F1152" s="16" t="n">
        <v>30.96383783</v>
      </c>
      <c r="G1152" s="16" t="n">
        <v>47.30054392</v>
      </c>
      <c r="H1152" s="18" t="n">
        <v>6</v>
      </c>
      <c r="I1152" s="18" t="n">
        <v>36</v>
      </c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 t="n">
        <v>6</v>
      </c>
      <c r="Y1152" s="19"/>
      <c r="Z1152" s="19"/>
      <c r="AA1152" s="19"/>
      <c r="AB1152" s="19"/>
      <c r="AC1152" s="19" t="n">
        <v>1</v>
      </c>
      <c r="AD1152" s="19"/>
      <c r="AE1152" s="19"/>
      <c r="AF1152" s="19"/>
      <c r="AG1152" s="19"/>
      <c r="AH1152" s="19" t="n">
        <v>5</v>
      </c>
      <c r="AI1152" s="19"/>
      <c r="AJ1152" s="19"/>
      <c r="AK1152" s="19"/>
      <c r="AL1152" s="19" t="n">
        <v>4</v>
      </c>
      <c r="AM1152" s="19" t="n">
        <v>2</v>
      </c>
      <c r="AN1152" s="19"/>
      <c r="AO1152" s="19"/>
      <c r="AP1152" s="19"/>
      <c r="AQ1152" s="19"/>
      <c r="AR1152" s="19"/>
      <c r="AS1152" s="20" t="str">
        <f aca="false">HYPERLINK("http://www.openstreetmap.org/?mlat=30.9638&amp;mlon=47.3005&amp;zoom=12#map=12/30.9638/47.3005","Maplink1")</f>
        <v>Maplink1</v>
      </c>
      <c r="AT1152" s="20" t="str">
        <f aca="false">HYPERLINK("https://www.google.iq/maps/search/+30.9638,47.3005/@30.9638,47.3005,14z?hl=en","Maplink2")</f>
        <v>Maplink2</v>
      </c>
      <c r="AU1152" s="20" t="str">
        <f aca="false">HYPERLINK("http://www.bing.com/maps/?lvl=14&amp;sty=h&amp;cp=30.9638~47.3005&amp;sp=point.30.9638_47.3005","Maplink3")</f>
        <v>Maplink3</v>
      </c>
    </row>
    <row r="1153" customFormat="false" ht="15" hidden="false" customHeight="true" outlineLevel="0" collapsed="false">
      <c r="A1153" s="15" t="n">
        <v>1202</v>
      </c>
      <c r="B1153" s="16" t="s">
        <v>18</v>
      </c>
      <c r="C1153" s="16" t="s">
        <v>2280</v>
      </c>
      <c r="D1153" s="16" t="s">
        <v>2287</v>
      </c>
      <c r="E1153" s="17" t="s">
        <v>2288</v>
      </c>
      <c r="F1153" s="16" t="n">
        <v>30.97776784</v>
      </c>
      <c r="G1153" s="16" t="n">
        <v>47.3255618</v>
      </c>
      <c r="H1153" s="18" t="n">
        <v>6</v>
      </c>
      <c r="I1153" s="18" t="n">
        <v>36</v>
      </c>
      <c r="J1153" s="19" t="n">
        <v>1</v>
      </c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 t="n">
        <v>5</v>
      </c>
      <c r="W1153" s="19"/>
      <c r="X1153" s="19"/>
      <c r="Y1153" s="19"/>
      <c r="Z1153" s="19"/>
      <c r="AA1153" s="19"/>
      <c r="AB1153" s="19"/>
      <c r="AC1153" s="19" t="n">
        <v>2</v>
      </c>
      <c r="AD1153" s="19"/>
      <c r="AE1153" s="19"/>
      <c r="AF1153" s="19"/>
      <c r="AG1153" s="19"/>
      <c r="AH1153" s="19" t="n">
        <v>4</v>
      </c>
      <c r="AI1153" s="19"/>
      <c r="AJ1153" s="19"/>
      <c r="AK1153" s="19"/>
      <c r="AL1153" s="19" t="n">
        <v>2</v>
      </c>
      <c r="AM1153" s="19" t="n">
        <v>1</v>
      </c>
      <c r="AN1153" s="19" t="n">
        <v>2</v>
      </c>
      <c r="AO1153" s="19"/>
      <c r="AP1153" s="19" t="n">
        <v>1</v>
      </c>
      <c r="AQ1153" s="19"/>
      <c r="AR1153" s="19"/>
      <c r="AS1153" s="20" t="str">
        <f aca="false">HYPERLINK("http://www.openstreetmap.org/?mlat=30.9778&amp;mlon=47.3256&amp;zoom=12#map=12/30.9778/47.3256","Maplink1")</f>
        <v>Maplink1</v>
      </c>
      <c r="AT1153" s="20" t="str">
        <f aca="false">HYPERLINK("https://www.google.iq/maps/search/+30.9778,47.3256/@30.9778,47.3256,14z?hl=en","Maplink2")</f>
        <v>Maplink2</v>
      </c>
      <c r="AU1153" s="20" t="str">
        <f aca="false">HYPERLINK("http://www.bing.com/maps/?lvl=14&amp;sty=h&amp;cp=30.9778~47.3256&amp;sp=point.30.9778_47.3256","Maplink3")</f>
        <v>Maplink3</v>
      </c>
    </row>
    <row r="1154" customFormat="false" ht="15" hidden="false" customHeight="true" outlineLevel="0" collapsed="false">
      <c r="A1154" s="15" t="n">
        <v>1120</v>
      </c>
      <c r="B1154" s="16" t="s">
        <v>18</v>
      </c>
      <c r="C1154" s="16" t="s">
        <v>2280</v>
      </c>
      <c r="D1154" s="16" t="s">
        <v>2289</v>
      </c>
      <c r="E1154" s="17" t="s">
        <v>2290</v>
      </c>
      <c r="F1154" s="16" t="n">
        <v>30.92813846</v>
      </c>
      <c r="G1154" s="16" t="n">
        <v>47.29052075</v>
      </c>
      <c r="H1154" s="18" t="n">
        <v>4</v>
      </c>
      <c r="I1154" s="18" t="n">
        <v>24</v>
      </c>
      <c r="J1154" s="19" t="n">
        <v>1</v>
      </c>
      <c r="K1154" s="19"/>
      <c r="L1154" s="19" t="n">
        <v>1</v>
      </c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 t="n">
        <v>2</v>
      </c>
      <c r="Y1154" s="19"/>
      <c r="Z1154" s="19"/>
      <c r="AA1154" s="19"/>
      <c r="AB1154" s="19"/>
      <c r="AC1154" s="19" t="n">
        <v>3</v>
      </c>
      <c r="AD1154" s="19"/>
      <c r="AE1154" s="19"/>
      <c r="AF1154" s="19"/>
      <c r="AG1154" s="19"/>
      <c r="AH1154" s="19" t="n">
        <v>1</v>
      </c>
      <c r="AI1154" s="19"/>
      <c r="AJ1154" s="19"/>
      <c r="AK1154" s="19"/>
      <c r="AL1154" s="19" t="n">
        <v>1</v>
      </c>
      <c r="AM1154" s="19"/>
      <c r="AN1154" s="19" t="n">
        <v>2</v>
      </c>
      <c r="AO1154" s="19"/>
      <c r="AP1154" s="19" t="n">
        <v>1</v>
      </c>
      <c r="AQ1154" s="19"/>
      <c r="AR1154" s="19"/>
      <c r="AS1154" s="20" t="str">
        <f aca="false">HYPERLINK("http://www.openstreetmap.org/?mlat=30.9281&amp;mlon=47.2905&amp;zoom=12#map=12/30.9281/47.2905","Maplink1")</f>
        <v>Maplink1</v>
      </c>
      <c r="AT1154" s="20" t="str">
        <f aca="false">HYPERLINK("https://www.google.iq/maps/search/+30.9281,47.2905/@30.9281,47.2905,14z?hl=en","Maplink2")</f>
        <v>Maplink2</v>
      </c>
      <c r="AU1154" s="20" t="str">
        <f aca="false">HYPERLINK("http://www.bing.com/maps/?lvl=14&amp;sty=h&amp;cp=30.9281~47.2905&amp;sp=point.30.9281_47.2905","Maplink3")</f>
        <v>Maplink3</v>
      </c>
    </row>
    <row r="1155" customFormat="false" ht="15" hidden="false" customHeight="true" outlineLevel="0" collapsed="false">
      <c r="A1155" s="15" t="n">
        <v>1166</v>
      </c>
      <c r="B1155" s="16" t="s">
        <v>18</v>
      </c>
      <c r="C1155" s="16" t="s">
        <v>2280</v>
      </c>
      <c r="D1155" s="16" t="s">
        <v>2291</v>
      </c>
      <c r="E1155" s="17" t="s">
        <v>2292</v>
      </c>
      <c r="F1155" s="16" t="n">
        <v>30.95331967</v>
      </c>
      <c r="G1155" s="16" t="n">
        <v>47.26636386</v>
      </c>
      <c r="H1155" s="18" t="n">
        <v>7</v>
      </c>
      <c r="I1155" s="18" t="n">
        <v>42</v>
      </c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 t="n">
        <v>1</v>
      </c>
      <c r="W1155" s="19"/>
      <c r="X1155" s="19" t="n">
        <v>6</v>
      </c>
      <c r="Y1155" s="19"/>
      <c r="Z1155" s="19"/>
      <c r="AA1155" s="19"/>
      <c r="AB1155" s="19"/>
      <c r="AC1155" s="19" t="n">
        <v>1</v>
      </c>
      <c r="AD1155" s="19"/>
      <c r="AE1155" s="19"/>
      <c r="AF1155" s="19"/>
      <c r="AG1155" s="19"/>
      <c r="AH1155" s="19" t="n">
        <v>6</v>
      </c>
      <c r="AI1155" s="19"/>
      <c r="AJ1155" s="19"/>
      <c r="AK1155" s="19"/>
      <c r="AL1155" s="19"/>
      <c r="AM1155" s="19"/>
      <c r="AN1155" s="19" t="n">
        <v>1</v>
      </c>
      <c r="AO1155" s="19" t="n">
        <v>6</v>
      </c>
      <c r="AP1155" s="19"/>
      <c r="AQ1155" s="19"/>
      <c r="AR1155" s="19"/>
      <c r="AS1155" s="20" t="str">
        <f aca="false">HYPERLINK("http://www.openstreetmap.org/?mlat=30.9533&amp;mlon=47.2664&amp;zoom=12#map=12/30.9533/47.2664","Maplink1")</f>
        <v>Maplink1</v>
      </c>
      <c r="AT1155" s="20" t="str">
        <f aca="false">HYPERLINK("https://www.google.iq/maps/search/+30.9533,47.2664/@30.9533,47.2664,14z?hl=en","Maplink2")</f>
        <v>Maplink2</v>
      </c>
      <c r="AU1155" s="20" t="str">
        <f aca="false">HYPERLINK("http://www.bing.com/maps/?lvl=14&amp;sty=h&amp;cp=30.9533~47.2664&amp;sp=point.30.9533_47.2664","Maplink3")</f>
        <v>Maplink3</v>
      </c>
    </row>
    <row r="1156" customFormat="false" ht="15" hidden="false" customHeight="true" outlineLevel="0" collapsed="false">
      <c r="A1156" s="15" t="n">
        <v>1129</v>
      </c>
      <c r="B1156" s="16" t="s">
        <v>18</v>
      </c>
      <c r="C1156" s="16" t="s">
        <v>2280</v>
      </c>
      <c r="D1156" s="16" t="s">
        <v>2293</v>
      </c>
      <c r="E1156" s="17" t="s">
        <v>2294</v>
      </c>
      <c r="F1156" s="16" t="n">
        <v>30.93216928</v>
      </c>
      <c r="G1156" s="16" t="n">
        <v>47.27720107</v>
      </c>
      <c r="H1156" s="18" t="n">
        <v>3</v>
      </c>
      <c r="I1156" s="18" t="n">
        <v>18</v>
      </c>
      <c r="J1156" s="19" t="n">
        <v>1</v>
      </c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 t="n">
        <v>2</v>
      </c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 t="n">
        <v>3</v>
      </c>
      <c r="AI1156" s="19"/>
      <c r="AJ1156" s="19"/>
      <c r="AK1156" s="19"/>
      <c r="AL1156" s="19"/>
      <c r="AM1156" s="19"/>
      <c r="AN1156" s="19"/>
      <c r="AO1156" s="19"/>
      <c r="AP1156" s="19" t="n">
        <v>2</v>
      </c>
      <c r="AQ1156" s="19" t="n">
        <v>1</v>
      </c>
      <c r="AR1156" s="19"/>
      <c r="AS1156" s="20" t="str">
        <f aca="false">HYPERLINK("http://www.openstreetmap.org/?mlat=30.9322&amp;mlon=47.2772&amp;zoom=12#map=12/30.9322/47.2772","Maplink1")</f>
        <v>Maplink1</v>
      </c>
      <c r="AT1156" s="20" t="str">
        <f aca="false">HYPERLINK("https://www.google.iq/maps/search/+30.9322,47.2772/@30.9322,47.2772,14z?hl=en","Maplink2")</f>
        <v>Maplink2</v>
      </c>
      <c r="AU1156" s="20" t="str">
        <f aca="false">HYPERLINK("http://www.bing.com/maps/?lvl=14&amp;sty=h&amp;cp=30.9322~47.2772&amp;sp=point.30.9322_47.2772","Maplink3")</f>
        <v>Maplink3</v>
      </c>
    </row>
    <row r="1157" customFormat="false" ht="15" hidden="false" customHeight="true" outlineLevel="0" collapsed="false">
      <c r="A1157" s="15" t="n">
        <v>354</v>
      </c>
      <c r="B1157" s="16" t="s">
        <v>18</v>
      </c>
      <c r="C1157" s="16" t="s">
        <v>2280</v>
      </c>
      <c r="D1157" s="16" t="s">
        <v>2295</v>
      </c>
      <c r="E1157" s="17" t="s">
        <v>2296</v>
      </c>
      <c r="F1157" s="16" t="n">
        <v>30.94021033</v>
      </c>
      <c r="G1157" s="16" t="n">
        <v>47.26254431</v>
      </c>
      <c r="H1157" s="18" t="n">
        <v>1</v>
      </c>
      <c r="I1157" s="18" t="n">
        <v>6</v>
      </c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 t="n">
        <v>1</v>
      </c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 t="n">
        <v>1</v>
      </c>
      <c r="AI1157" s="19"/>
      <c r="AJ1157" s="19"/>
      <c r="AK1157" s="19"/>
      <c r="AL1157" s="19"/>
      <c r="AM1157" s="19" t="n">
        <v>1</v>
      </c>
      <c r="AN1157" s="19"/>
      <c r="AO1157" s="19"/>
      <c r="AP1157" s="19"/>
      <c r="AQ1157" s="19"/>
      <c r="AR1157" s="19"/>
      <c r="AS1157" s="20" t="str">
        <f aca="false">HYPERLINK("http://www.openstreetmap.org/?mlat=30.9402&amp;mlon=47.2625&amp;zoom=12#map=12/30.9402/47.2625","Maplink1")</f>
        <v>Maplink1</v>
      </c>
      <c r="AT1157" s="20" t="str">
        <f aca="false">HYPERLINK("https://www.google.iq/maps/search/+30.9402,47.2625/@30.9402,47.2625,14z?hl=en","Maplink2")</f>
        <v>Maplink2</v>
      </c>
      <c r="AU1157" s="20" t="str">
        <f aca="false">HYPERLINK("http://www.bing.com/maps/?lvl=14&amp;sty=h&amp;cp=30.9402~47.2625&amp;sp=point.30.9402_47.2625","Maplink3")</f>
        <v>Maplink3</v>
      </c>
    </row>
    <row r="1158" customFormat="false" ht="15" hidden="false" customHeight="true" outlineLevel="0" collapsed="false">
      <c r="A1158" s="15" t="n">
        <v>1225</v>
      </c>
      <c r="B1158" s="16" t="s">
        <v>18</v>
      </c>
      <c r="C1158" s="16" t="s">
        <v>2280</v>
      </c>
      <c r="D1158" s="16" t="s">
        <v>2297</v>
      </c>
      <c r="E1158" s="17" t="s">
        <v>2298</v>
      </c>
      <c r="F1158" s="16" t="n">
        <v>30.997006</v>
      </c>
      <c r="G1158" s="16" t="n">
        <v>47.385902</v>
      </c>
      <c r="H1158" s="18" t="n">
        <v>1</v>
      </c>
      <c r="I1158" s="18" t="n">
        <v>6</v>
      </c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 t="n">
        <v>1</v>
      </c>
      <c r="W1158" s="19"/>
      <c r="X1158" s="19"/>
      <c r="Y1158" s="19"/>
      <c r="Z1158" s="19"/>
      <c r="AA1158" s="19"/>
      <c r="AB1158" s="19"/>
      <c r="AC1158" s="19" t="n">
        <v>1</v>
      </c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 t="n">
        <v>1</v>
      </c>
      <c r="AP1158" s="19"/>
      <c r="AQ1158" s="19"/>
      <c r="AR1158" s="19"/>
      <c r="AS1158" s="20" t="str">
        <f aca="false">HYPERLINK("http://www.openstreetmap.org/?mlat=30.997&amp;mlon=47.3859&amp;zoom=12#map=12/30.997/47.3859","Maplink1")</f>
        <v>Maplink1</v>
      </c>
      <c r="AT1158" s="20" t="str">
        <f aca="false">HYPERLINK("https://www.google.iq/maps/search/+30.997,47.3859/@30.997,47.3859,14z?hl=en","Maplink2")</f>
        <v>Maplink2</v>
      </c>
      <c r="AU1158" s="20" t="str">
        <f aca="false">HYPERLINK("http://www.bing.com/maps/?lvl=14&amp;sty=h&amp;cp=30.997~47.3859&amp;sp=point.30.997_47.3859","Maplink3")</f>
        <v>Maplink3</v>
      </c>
    </row>
    <row r="1159" customFormat="false" ht="15" hidden="false" customHeight="true" outlineLevel="0" collapsed="false">
      <c r="A1159" s="15" t="n">
        <v>1210</v>
      </c>
      <c r="B1159" s="16" t="s">
        <v>18</v>
      </c>
      <c r="C1159" s="16" t="s">
        <v>2280</v>
      </c>
      <c r="D1159" s="16" t="s">
        <v>2299</v>
      </c>
      <c r="E1159" s="17" t="s">
        <v>2300</v>
      </c>
      <c r="F1159" s="16" t="n">
        <v>30.98808692</v>
      </c>
      <c r="G1159" s="16" t="n">
        <v>47.34655126</v>
      </c>
      <c r="H1159" s="18" t="n">
        <v>2</v>
      </c>
      <c r="I1159" s="18" t="n">
        <v>12</v>
      </c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 t="n">
        <v>2</v>
      </c>
      <c r="W1159" s="19"/>
      <c r="X1159" s="19"/>
      <c r="Y1159" s="19"/>
      <c r="Z1159" s="19"/>
      <c r="AA1159" s="19"/>
      <c r="AB1159" s="19"/>
      <c r="AC1159" s="19" t="n">
        <v>2</v>
      </c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 t="n">
        <v>2</v>
      </c>
      <c r="AN1159" s="19"/>
      <c r="AO1159" s="19"/>
      <c r="AP1159" s="19"/>
      <c r="AQ1159" s="19"/>
      <c r="AR1159" s="19"/>
      <c r="AS1159" s="20" t="str">
        <f aca="false">HYPERLINK("http://www.openstreetmap.org/?mlat=30.9881&amp;mlon=47.3466&amp;zoom=12#map=12/30.9881/47.3466","Maplink1")</f>
        <v>Maplink1</v>
      </c>
      <c r="AT1159" s="20" t="str">
        <f aca="false">HYPERLINK("https://www.google.iq/maps/search/+30.9881,47.3466/@30.9881,47.3466,14z?hl=en","Maplink2")</f>
        <v>Maplink2</v>
      </c>
      <c r="AU1159" s="20" t="str">
        <f aca="false">HYPERLINK("http://www.bing.com/maps/?lvl=14&amp;sty=h&amp;cp=30.9881~47.3466&amp;sp=point.30.9881_47.3466","Maplink3")</f>
        <v>Maplink3</v>
      </c>
    </row>
    <row r="1160" customFormat="false" ht="15" hidden="false" customHeight="true" outlineLevel="0" collapsed="false">
      <c r="A1160" s="15" t="n">
        <v>491</v>
      </c>
      <c r="B1160" s="16" t="s">
        <v>18</v>
      </c>
      <c r="C1160" s="16" t="s">
        <v>2280</v>
      </c>
      <c r="D1160" s="16" t="s">
        <v>2301</v>
      </c>
      <c r="E1160" s="17" t="s">
        <v>2302</v>
      </c>
      <c r="F1160" s="16" t="n">
        <v>31.00109199</v>
      </c>
      <c r="G1160" s="16" t="n">
        <v>47.26224289</v>
      </c>
      <c r="H1160" s="18" t="n">
        <v>5</v>
      </c>
      <c r="I1160" s="18" t="n">
        <v>30</v>
      </c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 t="n">
        <v>5</v>
      </c>
      <c r="Y1160" s="19"/>
      <c r="Z1160" s="19"/>
      <c r="AA1160" s="19"/>
      <c r="AB1160" s="19"/>
      <c r="AC1160" s="19" t="n">
        <v>1</v>
      </c>
      <c r="AD1160" s="19"/>
      <c r="AE1160" s="19"/>
      <c r="AF1160" s="19"/>
      <c r="AG1160" s="19"/>
      <c r="AH1160" s="19" t="n">
        <v>4</v>
      </c>
      <c r="AI1160" s="19"/>
      <c r="AJ1160" s="19"/>
      <c r="AK1160" s="19"/>
      <c r="AL1160" s="19" t="n">
        <v>3</v>
      </c>
      <c r="AM1160" s="19" t="n">
        <v>2</v>
      </c>
      <c r="AN1160" s="19"/>
      <c r="AO1160" s="19"/>
      <c r="AP1160" s="19"/>
      <c r="AQ1160" s="19"/>
      <c r="AR1160" s="19"/>
      <c r="AS1160" s="20" t="str">
        <f aca="false">HYPERLINK("http://www.openstreetmap.org/?mlat=31.0011&amp;mlon=47.2622&amp;zoom=12#map=12/31.0011/47.2622","Maplink1")</f>
        <v>Maplink1</v>
      </c>
      <c r="AT1160" s="20" t="str">
        <f aca="false">HYPERLINK("https://www.google.iq/maps/search/+31.0011,47.2622/@31.0011,47.2622,14z?hl=en","Maplink2")</f>
        <v>Maplink2</v>
      </c>
      <c r="AU1160" s="20" t="str">
        <f aca="false">HYPERLINK("http://www.bing.com/maps/?lvl=14&amp;sty=h&amp;cp=31.0011~47.2622&amp;sp=point.31.0011_47.2622","Maplink3")</f>
        <v>Maplink3</v>
      </c>
    </row>
    <row r="1161" customFormat="false" ht="15" hidden="false" customHeight="true" outlineLevel="0" collapsed="false">
      <c r="A1161" s="15" t="n">
        <v>25014</v>
      </c>
      <c r="B1161" s="16" t="s">
        <v>18</v>
      </c>
      <c r="C1161" s="16" t="s">
        <v>2303</v>
      </c>
      <c r="D1161" s="16" t="s">
        <v>2304</v>
      </c>
      <c r="E1161" s="17" t="s">
        <v>2305</v>
      </c>
      <c r="F1161" s="16" t="n">
        <v>30.79964963</v>
      </c>
      <c r="G1161" s="16" t="n">
        <v>47.57670491</v>
      </c>
      <c r="H1161" s="18" t="n">
        <v>3</v>
      </c>
      <c r="I1161" s="18" t="n">
        <v>18</v>
      </c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 t="n">
        <v>3</v>
      </c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 t="n">
        <v>3</v>
      </c>
      <c r="AI1161" s="19"/>
      <c r="AJ1161" s="19"/>
      <c r="AK1161" s="19"/>
      <c r="AL1161" s="19" t="n">
        <v>3</v>
      </c>
      <c r="AM1161" s="19"/>
      <c r="AN1161" s="19"/>
      <c r="AO1161" s="19"/>
      <c r="AP1161" s="19"/>
      <c r="AQ1161" s="19"/>
      <c r="AR1161" s="19"/>
      <c r="AS1161" s="20" t="str">
        <f aca="false">HYPERLINK("http://www.openstreetmap.org/?mlat=30.7996&amp;mlon=47.5767&amp;zoom=12#map=12/30.7996/47.5767","Maplink1")</f>
        <v>Maplink1</v>
      </c>
      <c r="AT1161" s="20" t="str">
        <f aca="false">HYPERLINK("https://www.google.iq/maps/search/+30.7996,47.5767/@30.7996,47.5767,14z?hl=en","Maplink2")</f>
        <v>Maplink2</v>
      </c>
      <c r="AU1161" s="20" t="str">
        <f aca="false">HYPERLINK("http://www.bing.com/maps/?lvl=14&amp;sty=h&amp;cp=30.7996~47.5767&amp;sp=point.30.7996_47.5767","Maplink3")</f>
        <v>Maplink3</v>
      </c>
    </row>
    <row r="1162" customFormat="false" ht="15" hidden="false" customHeight="true" outlineLevel="0" collapsed="false">
      <c r="A1162" s="15" t="n">
        <v>29577</v>
      </c>
      <c r="B1162" s="16" t="s">
        <v>18</v>
      </c>
      <c r="C1162" s="16" t="s">
        <v>2303</v>
      </c>
      <c r="D1162" s="16" t="s">
        <v>2306</v>
      </c>
      <c r="E1162" s="17" t="s">
        <v>2307</v>
      </c>
      <c r="F1162" s="16" t="n">
        <v>30.828611</v>
      </c>
      <c r="G1162" s="16" t="n">
        <v>47.552222</v>
      </c>
      <c r="H1162" s="18" t="n">
        <v>2</v>
      </c>
      <c r="I1162" s="18" t="n">
        <v>12</v>
      </c>
      <c r="J1162" s="19"/>
      <c r="K1162" s="19"/>
      <c r="L1162" s="19"/>
      <c r="M1162" s="19"/>
      <c r="N1162" s="19"/>
      <c r="O1162" s="19" t="n">
        <v>2</v>
      </c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 t="n">
        <v>2</v>
      </c>
      <c r="AI1162" s="19"/>
      <c r="AJ1162" s="19"/>
      <c r="AK1162" s="19"/>
      <c r="AL1162" s="19"/>
      <c r="AM1162" s="19" t="n">
        <v>2</v>
      </c>
      <c r="AN1162" s="19"/>
      <c r="AO1162" s="19"/>
      <c r="AP1162" s="19"/>
      <c r="AQ1162" s="19"/>
      <c r="AR1162" s="19"/>
      <c r="AS1162" s="20" t="str">
        <f aca="false">HYPERLINK("http://www.openstreetmap.org/?mlat=30.8286&amp;mlon=47.5522&amp;zoom=12#map=12/30.8286/47.5522","Maplink1")</f>
        <v>Maplink1</v>
      </c>
      <c r="AT1162" s="20" t="str">
        <f aca="false">HYPERLINK("https://www.google.iq/maps/search/+30.8286,47.5522/@30.8286,47.5522,14z?hl=en","Maplink2")</f>
        <v>Maplink2</v>
      </c>
      <c r="AU1162" s="20" t="str">
        <f aca="false">HYPERLINK("http://www.bing.com/maps/?lvl=14&amp;sty=h&amp;cp=30.8286~47.5522&amp;sp=point.30.8286_47.5522","Maplink3")</f>
        <v>Maplink3</v>
      </c>
    </row>
    <row r="1163" customFormat="false" ht="15" hidden="false" customHeight="true" outlineLevel="0" collapsed="false">
      <c r="A1163" s="15" t="n">
        <v>28406</v>
      </c>
      <c r="B1163" s="16" t="s">
        <v>18</v>
      </c>
      <c r="C1163" s="16" t="s">
        <v>2303</v>
      </c>
      <c r="D1163" s="16" t="s">
        <v>2308</v>
      </c>
      <c r="E1163" s="17" t="s">
        <v>2309</v>
      </c>
      <c r="F1163" s="16" t="n">
        <v>30.72489009</v>
      </c>
      <c r="G1163" s="16" t="n">
        <v>47.71384408</v>
      </c>
      <c r="H1163" s="18" t="n">
        <v>5</v>
      </c>
      <c r="I1163" s="18" t="n">
        <v>30</v>
      </c>
      <c r="J1163" s="19" t="n">
        <v>2</v>
      </c>
      <c r="K1163" s="19"/>
      <c r="L1163" s="19"/>
      <c r="M1163" s="19"/>
      <c r="N1163" s="19"/>
      <c r="O1163" s="19"/>
      <c r="P1163" s="19"/>
      <c r="Q1163" s="19"/>
      <c r="R1163" s="19" t="n">
        <v>2</v>
      </c>
      <c r="S1163" s="19"/>
      <c r="T1163" s="19"/>
      <c r="U1163" s="19"/>
      <c r="V1163" s="19" t="n">
        <v>1</v>
      </c>
      <c r="W1163" s="19"/>
      <c r="X1163" s="19"/>
      <c r="Y1163" s="19"/>
      <c r="Z1163" s="19"/>
      <c r="AA1163" s="19"/>
      <c r="AB1163" s="19"/>
      <c r="AC1163" s="19" t="n">
        <v>2</v>
      </c>
      <c r="AD1163" s="19"/>
      <c r="AE1163" s="19"/>
      <c r="AF1163" s="19"/>
      <c r="AG1163" s="19"/>
      <c r="AH1163" s="19" t="n">
        <v>3</v>
      </c>
      <c r="AI1163" s="19"/>
      <c r="AJ1163" s="19"/>
      <c r="AK1163" s="19"/>
      <c r="AL1163" s="19" t="n">
        <v>4</v>
      </c>
      <c r="AM1163" s="19"/>
      <c r="AN1163" s="19"/>
      <c r="AO1163" s="19"/>
      <c r="AP1163" s="19" t="n">
        <v>1</v>
      </c>
      <c r="AQ1163" s="19"/>
      <c r="AR1163" s="19"/>
      <c r="AS1163" s="20" t="str">
        <f aca="false">HYPERLINK("http://www.openstreetmap.org/?mlat=30.7249&amp;mlon=47.7138&amp;zoom=12#map=12/30.7249/47.7138","Maplink1")</f>
        <v>Maplink1</v>
      </c>
      <c r="AT1163" s="20" t="str">
        <f aca="false">HYPERLINK("https://www.google.iq/maps/search/+30.7249,47.7138/@30.7249,47.7138,14z?hl=en","Maplink2")</f>
        <v>Maplink2</v>
      </c>
      <c r="AU1163" s="20" t="str">
        <f aca="false">HYPERLINK("http://www.bing.com/maps/?lvl=14&amp;sty=h&amp;cp=30.7249~47.7138&amp;sp=point.30.7249_47.7138","Maplink3")</f>
        <v>Maplink3</v>
      </c>
    </row>
    <row r="1164" customFormat="false" ht="15" hidden="false" customHeight="true" outlineLevel="0" collapsed="false">
      <c r="A1164" s="15" t="n">
        <v>25012</v>
      </c>
      <c r="B1164" s="16" t="s">
        <v>18</v>
      </c>
      <c r="C1164" s="16" t="s">
        <v>2303</v>
      </c>
      <c r="D1164" s="16" t="s">
        <v>2310</v>
      </c>
      <c r="E1164" s="17" t="s">
        <v>2311</v>
      </c>
      <c r="F1164" s="16" t="n">
        <v>30.97804012</v>
      </c>
      <c r="G1164" s="16" t="n">
        <v>47.44991379</v>
      </c>
      <c r="H1164" s="18" t="n">
        <v>7</v>
      </c>
      <c r="I1164" s="18" t="n">
        <v>42</v>
      </c>
      <c r="J1164" s="19" t="n">
        <v>1</v>
      </c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 t="n">
        <v>6</v>
      </c>
      <c r="Y1164" s="19"/>
      <c r="Z1164" s="19"/>
      <c r="AA1164" s="19"/>
      <c r="AB1164" s="19"/>
      <c r="AC1164" s="19" t="n">
        <v>5</v>
      </c>
      <c r="AD1164" s="19"/>
      <c r="AE1164" s="19"/>
      <c r="AF1164" s="19"/>
      <c r="AG1164" s="19"/>
      <c r="AH1164" s="19" t="n">
        <v>2</v>
      </c>
      <c r="AI1164" s="19"/>
      <c r="AJ1164" s="19"/>
      <c r="AK1164" s="19"/>
      <c r="AL1164" s="19"/>
      <c r="AM1164" s="19" t="n">
        <v>3</v>
      </c>
      <c r="AN1164" s="19" t="n">
        <v>4</v>
      </c>
      <c r="AO1164" s="19"/>
      <c r="AP1164" s="19"/>
      <c r="AQ1164" s="19"/>
      <c r="AR1164" s="19"/>
      <c r="AS1164" s="20" t="str">
        <f aca="false">HYPERLINK("http://www.openstreetmap.org/?mlat=30.978&amp;mlon=47.4499&amp;zoom=12#map=12/30.978/47.4499","Maplink1")</f>
        <v>Maplink1</v>
      </c>
      <c r="AT1164" s="20" t="str">
        <f aca="false">HYPERLINK("https://www.google.iq/maps/search/+30.978,47.4499/@30.978,47.4499,14z?hl=en","Maplink2")</f>
        <v>Maplink2</v>
      </c>
      <c r="AU1164" s="20" t="str">
        <f aca="false">HYPERLINK("http://www.bing.com/maps/?lvl=14&amp;sty=h&amp;cp=30.978~47.4499&amp;sp=point.30.978_47.4499","Maplink3")</f>
        <v>Maplink3</v>
      </c>
    </row>
    <row r="1165" customFormat="false" ht="15" hidden="false" customHeight="true" outlineLevel="0" collapsed="false">
      <c r="A1165" s="15" t="n">
        <v>24625</v>
      </c>
      <c r="B1165" s="16" t="s">
        <v>18</v>
      </c>
      <c r="C1165" s="16" t="s">
        <v>2303</v>
      </c>
      <c r="D1165" s="16" t="s">
        <v>2312</v>
      </c>
      <c r="E1165" s="17" t="s">
        <v>2313</v>
      </c>
      <c r="F1165" s="16" t="n">
        <v>30.99360377</v>
      </c>
      <c r="G1165" s="16" t="n">
        <v>47.43325593</v>
      </c>
      <c r="H1165" s="18" t="n">
        <v>5</v>
      </c>
      <c r="I1165" s="18" t="n">
        <v>30</v>
      </c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 t="n">
        <v>5</v>
      </c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 t="n">
        <v>5</v>
      </c>
      <c r="AI1165" s="19"/>
      <c r="AJ1165" s="19"/>
      <c r="AK1165" s="19"/>
      <c r="AL1165" s="19"/>
      <c r="AM1165" s="19"/>
      <c r="AN1165" s="19" t="n">
        <v>5</v>
      </c>
      <c r="AO1165" s="19"/>
      <c r="AP1165" s="19"/>
      <c r="AQ1165" s="19"/>
      <c r="AR1165" s="19"/>
      <c r="AS1165" s="20" t="str">
        <f aca="false">HYPERLINK("http://www.openstreetmap.org/?mlat=30.9936&amp;mlon=47.4333&amp;zoom=12#map=12/30.9936/47.4333","Maplink1")</f>
        <v>Maplink1</v>
      </c>
      <c r="AT1165" s="20" t="str">
        <f aca="false">HYPERLINK("https://www.google.iq/maps/search/+30.9936,47.4333/@30.9936,47.4333,14z?hl=en","Maplink2")</f>
        <v>Maplink2</v>
      </c>
      <c r="AU1165" s="20" t="str">
        <f aca="false">HYPERLINK("http://www.bing.com/maps/?lvl=14&amp;sty=h&amp;cp=30.9936~47.4333&amp;sp=point.30.9936_47.4333","Maplink3")</f>
        <v>Maplink3</v>
      </c>
    </row>
    <row r="1166" customFormat="false" ht="15" hidden="false" customHeight="true" outlineLevel="0" collapsed="false">
      <c r="A1166" s="15" t="n">
        <v>28407</v>
      </c>
      <c r="B1166" s="16" t="s">
        <v>18</v>
      </c>
      <c r="C1166" s="16" t="s">
        <v>2303</v>
      </c>
      <c r="D1166" s="16" t="s">
        <v>2314</v>
      </c>
      <c r="E1166" s="17" t="s">
        <v>2315</v>
      </c>
      <c r="F1166" s="16" t="n">
        <v>30.95507069</v>
      </c>
      <c r="G1166" s="16" t="n">
        <v>47.4602708</v>
      </c>
      <c r="H1166" s="18" t="n">
        <v>13</v>
      </c>
      <c r="I1166" s="18" t="n">
        <v>78</v>
      </c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 t="n">
        <v>8</v>
      </c>
      <c r="W1166" s="19"/>
      <c r="X1166" s="19" t="n">
        <v>5</v>
      </c>
      <c r="Y1166" s="19"/>
      <c r="Z1166" s="19"/>
      <c r="AA1166" s="19"/>
      <c r="AB1166" s="19"/>
      <c r="AC1166" s="19" t="n">
        <v>3</v>
      </c>
      <c r="AD1166" s="19"/>
      <c r="AE1166" s="19"/>
      <c r="AF1166" s="19"/>
      <c r="AG1166" s="19"/>
      <c r="AH1166" s="19" t="n">
        <v>10</v>
      </c>
      <c r="AI1166" s="19"/>
      <c r="AJ1166" s="19"/>
      <c r="AK1166" s="19"/>
      <c r="AL1166" s="19" t="n">
        <v>2</v>
      </c>
      <c r="AM1166" s="19" t="n">
        <v>3</v>
      </c>
      <c r="AN1166" s="19" t="n">
        <v>8</v>
      </c>
      <c r="AO1166" s="19"/>
      <c r="AP1166" s="19"/>
      <c r="AQ1166" s="19"/>
      <c r="AR1166" s="19"/>
      <c r="AS1166" s="20" t="str">
        <f aca="false">HYPERLINK("http://www.openstreetmap.org/?mlat=30.9551&amp;mlon=47.4603&amp;zoom=12#map=12/30.9551/47.4603","Maplink1")</f>
        <v>Maplink1</v>
      </c>
      <c r="AT1166" s="20" t="str">
        <f aca="false">HYPERLINK("https://www.google.iq/maps/search/+30.9551,47.4603/@30.9551,47.4603,14z?hl=en","Maplink2")</f>
        <v>Maplink2</v>
      </c>
      <c r="AU1166" s="20" t="str">
        <f aca="false">HYPERLINK("http://www.bing.com/maps/?lvl=14&amp;sty=h&amp;cp=30.9551~47.4603&amp;sp=point.30.9551_47.4603","Maplink3")</f>
        <v>Maplink3</v>
      </c>
    </row>
    <row r="1167" customFormat="false" ht="15" hidden="false" customHeight="true" outlineLevel="0" collapsed="false">
      <c r="A1167" s="15" t="n">
        <v>1251</v>
      </c>
      <c r="B1167" s="16" t="s">
        <v>18</v>
      </c>
      <c r="C1167" s="16" t="s">
        <v>2303</v>
      </c>
      <c r="D1167" s="16" t="s">
        <v>2316</v>
      </c>
      <c r="E1167" s="17" t="s">
        <v>2317</v>
      </c>
      <c r="F1167" s="16" t="n">
        <v>31.10151649</v>
      </c>
      <c r="G1167" s="16" t="n">
        <v>47.42504133</v>
      </c>
      <c r="H1167" s="18" t="n">
        <v>4</v>
      </c>
      <c r="I1167" s="18" t="n">
        <v>24</v>
      </c>
      <c r="J1167" s="19"/>
      <c r="K1167" s="19" t="n">
        <v>4</v>
      </c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 t="n">
        <v>4</v>
      </c>
      <c r="AF1167" s="19"/>
      <c r="AG1167" s="19"/>
      <c r="AH1167" s="19"/>
      <c r="AI1167" s="19"/>
      <c r="AJ1167" s="19"/>
      <c r="AK1167" s="19"/>
      <c r="AL1167" s="19"/>
      <c r="AM1167" s="19"/>
      <c r="AN1167" s="19" t="n">
        <v>4</v>
      </c>
      <c r="AO1167" s="19"/>
      <c r="AP1167" s="19"/>
      <c r="AQ1167" s="19"/>
      <c r="AR1167" s="19"/>
      <c r="AS1167" s="20" t="str">
        <f aca="false">HYPERLINK("http://www.openstreetmap.org/?mlat=31.1015&amp;mlon=47.425&amp;zoom=12#map=12/31.1015/47.425","Maplink1")</f>
        <v>Maplink1</v>
      </c>
      <c r="AT1167" s="20" t="str">
        <f aca="false">HYPERLINK("https://www.google.iq/maps/search/+31.1015,47.425/@31.1015,47.425,14z?hl=en","Maplink2")</f>
        <v>Maplink2</v>
      </c>
      <c r="AU1167" s="20" t="str">
        <f aca="false">HYPERLINK("http://www.bing.com/maps/?lvl=14&amp;sty=h&amp;cp=31.1015~47.425&amp;sp=point.31.1015_47.425","Maplink3")</f>
        <v>Maplink3</v>
      </c>
    </row>
    <row r="1168" customFormat="false" ht="15" hidden="false" customHeight="true" outlineLevel="0" collapsed="false">
      <c r="A1168" s="15" t="n">
        <v>25013</v>
      </c>
      <c r="B1168" s="16" t="s">
        <v>18</v>
      </c>
      <c r="C1168" s="16" t="s">
        <v>2303</v>
      </c>
      <c r="D1168" s="16" t="s">
        <v>2318</v>
      </c>
      <c r="E1168" s="17" t="s">
        <v>2319</v>
      </c>
      <c r="F1168" s="16" t="n">
        <v>30.79679383</v>
      </c>
      <c r="G1168" s="16" t="n">
        <v>47.57772893</v>
      </c>
      <c r="H1168" s="18" t="n">
        <v>4</v>
      </c>
      <c r="I1168" s="18" t="n">
        <v>24</v>
      </c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 t="n">
        <v>4</v>
      </c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 t="n">
        <v>4</v>
      </c>
      <c r="AI1168" s="19"/>
      <c r="AJ1168" s="19"/>
      <c r="AK1168" s="19"/>
      <c r="AL1168" s="19"/>
      <c r="AM1168" s="19" t="n">
        <v>2</v>
      </c>
      <c r="AN1168" s="19" t="n">
        <v>1</v>
      </c>
      <c r="AO1168" s="19" t="n">
        <v>1</v>
      </c>
      <c r="AP1168" s="19"/>
      <c r="AQ1168" s="19"/>
      <c r="AR1168" s="19"/>
      <c r="AS1168" s="20" t="str">
        <f aca="false">HYPERLINK("http://www.openstreetmap.org/?mlat=30.7968&amp;mlon=47.5777&amp;zoom=12#map=12/30.7968/47.5777","Maplink1")</f>
        <v>Maplink1</v>
      </c>
      <c r="AT1168" s="20" t="str">
        <f aca="false">HYPERLINK("https://www.google.iq/maps/search/+30.7968,47.5777/@30.7968,47.5777,14z?hl=en","Maplink2")</f>
        <v>Maplink2</v>
      </c>
      <c r="AU1168" s="20" t="str">
        <f aca="false">HYPERLINK("http://www.bing.com/maps/?lvl=14&amp;sty=h&amp;cp=30.7968~47.5777&amp;sp=point.30.7968_47.5777","Maplink3")</f>
        <v>Maplink3</v>
      </c>
    </row>
    <row r="1169" customFormat="false" ht="15" hidden="false" customHeight="true" outlineLevel="0" collapsed="false">
      <c r="A1169" s="15" t="n">
        <v>1239</v>
      </c>
      <c r="B1169" s="16" t="s">
        <v>18</v>
      </c>
      <c r="C1169" s="16" t="s">
        <v>2303</v>
      </c>
      <c r="D1169" s="16" t="s">
        <v>2320</v>
      </c>
      <c r="E1169" s="17" t="s">
        <v>2321</v>
      </c>
      <c r="F1169" s="16" t="n">
        <v>31.00593996</v>
      </c>
      <c r="G1169" s="16" t="n">
        <v>47.44387052</v>
      </c>
      <c r="H1169" s="18" t="n">
        <v>3</v>
      </c>
      <c r="I1169" s="18" t="n">
        <v>18</v>
      </c>
      <c r="J1169" s="19"/>
      <c r="K1169" s="19"/>
      <c r="L1169" s="19"/>
      <c r="M1169" s="19"/>
      <c r="N1169" s="19"/>
      <c r="O1169" s="19"/>
      <c r="P1169" s="19"/>
      <c r="Q1169" s="19"/>
      <c r="R1169" s="19" t="n">
        <v>1</v>
      </c>
      <c r="S1169" s="19"/>
      <c r="T1169" s="19"/>
      <c r="U1169" s="19"/>
      <c r="V1169" s="19"/>
      <c r="W1169" s="19"/>
      <c r="X1169" s="19" t="n">
        <v>2</v>
      </c>
      <c r="Y1169" s="19"/>
      <c r="Z1169" s="19"/>
      <c r="AA1169" s="19"/>
      <c r="AB1169" s="19"/>
      <c r="AC1169" s="19" t="n">
        <v>2</v>
      </c>
      <c r="AD1169" s="19"/>
      <c r="AE1169" s="19"/>
      <c r="AF1169" s="19"/>
      <c r="AG1169" s="19"/>
      <c r="AH1169" s="19" t="n">
        <v>1</v>
      </c>
      <c r="AI1169" s="19"/>
      <c r="AJ1169" s="19"/>
      <c r="AK1169" s="19"/>
      <c r="AL1169" s="19"/>
      <c r="AM1169" s="19"/>
      <c r="AN1169" s="19" t="n">
        <v>1</v>
      </c>
      <c r="AO1169" s="19" t="n">
        <v>1</v>
      </c>
      <c r="AP1169" s="19" t="n">
        <v>1</v>
      </c>
      <c r="AQ1169" s="19"/>
      <c r="AR1169" s="19"/>
      <c r="AS1169" s="20" t="str">
        <f aca="false">HYPERLINK("http://www.openstreetmap.org/?mlat=31.0059&amp;mlon=47.4439&amp;zoom=12#map=12/31.0059/47.4439","Maplink1")</f>
        <v>Maplink1</v>
      </c>
      <c r="AT1169" s="20" t="str">
        <f aca="false">HYPERLINK("https://www.google.iq/maps/search/+31.0059,47.4439/@31.0059,47.4439,14z?hl=en","Maplink2")</f>
        <v>Maplink2</v>
      </c>
      <c r="AU1169" s="20" t="str">
        <f aca="false">HYPERLINK("http://www.bing.com/maps/?lvl=14&amp;sty=h&amp;cp=31.0059~47.4439&amp;sp=point.31.0059_47.4439","Maplink3")</f>
        <v>Maplink3</v>
      </c>
    </row>
    <row r="1170" customFormat="false" ht="15" hidden="false" customHeight="true" outlineLevel="0" collapsed="false">
      <c r="A1170" s="15" t="n">
        <v>1241</v>
      </c>
      <c r="B1170" s="16" t="s">
        <v>18</v>
      </c>
      <c r="C1170" s="16" t="s">
        <v>2303</v>
      </c>
      <c r="D1170" s="16" t="s">
        <v>2322</v>
      </c>
      <c r="E1170" s="17" t="s">
        <v>2323</v>
      </c>
      <c r="F1170" s="16" t="n">
        <v>31.01987915</v>
      </c>
      <c r="G1170" s="16" t="n">
        <v>47.43193201</v>
      </c>
      <c r="H1170" s="18" t="n">
        <v>5</v>
      </c>
      <c r="I1170" s="18" t="n">
        <v>30</v>
      </c>
      <c r="J1170" s="19"/>
      <c r="K1170" s="19"/>
      <c r="L1170" s="19"/>
      <c r="M1170" s="19"/>
      <c r="N1170" s="19"/>
      <c r="O1170" s="19"/>
      <c r="P1170" s="19"/>
      <c r="Q1170" s="19"/>
      <c r="R1170" s="19" t="n">
        <v>4</v>
      </c>
      <c r="S1170" s="19"/>
      <c r="T1170" s="19"/>
      <c r="U1170" s="19"/>
      <c r="V1170" s="19" t="n">
        <v>1</v>
      </c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 t="n">
        <v>5</v>
      </c>
      <c r="AI1170" s="19"/>
      <c r="AJ1170" s="19"/>
      <c r="AK1170" s="19"/>
      <c r="AL1170" s="19"/>
      <c r="AM1170" s="19"/>
      <c r="AN1170" s="19" t="n">
        <v>3</v>
      </c>
      <c r="AO1170" s="19" t="n">
        <v>2</v>
      </c>
      <c r="AP1170" s="19"/>
      <c r="AQ1170" s="19"/>
      <c r="AR1170" s="19"/>
      <c r="AS1170" s="20" t="str">
        <f aca="false">HYPERLINK("http://www.openstreetmap.org/?mlat=31.0199&amp;mlon=47.4319&amp;zoom=12#map=12/31.0199/47.4319","Maplink1")</f>
        <v>Maplink1</v>
      </c>
      <c r="AT1170" s="20" t="str">
        <f aca="false">HYPERLINK("https://www.google.iq/maps/search/+31.0199,47.4319/@31.0199,47.4319,14z?hl=en","Maplink2")</f>
        <v>Maplink2</v>
      </c>
      <c r="AU1170" s="20" t="str">
        <f aca="false">HYPERLINK("http://www.bing.com/maps/?lvl=14&amp;sty=h&amp;cp=31.0199~47.4319&amp;sp=point.31.0199_47.4319","Maplink3")</f>
        <v>Maplink3</v>
      </c>
    </row>
    <row r="1171" customFormat="false" ht="15" hidden="false" customHeight="true" outlineLevel="0" collapsed="false">
      <c r="A1171" s="15" t="n">
        <v>1236</v>
      </c>
      <c r="B1171" s="16" t="s">
        <v>18</v>
      </c>
      <c r="C1171" s="16" t="s">
        <v>2303</v>
      </c>
      <c r="D1171" s="16" t="s">
        <v>2324</v>
      </c>
      <c r="E1171" s="17" t="s">
        <v>2325</v>
      </c>
      <c r="F1171" s="16" t="n">
        <v>31.01168462</v>
      </c>
      <c r="G1171" s="16" t="n">
        <v>47.42578916</v>
      </c>
      <c r="H1171" s="18" t="n">
        <v>1</v>
      </c>
      <c r="I1171" s="18" t="n">
        <v>6</v>
      </c>
      <c r="J1171" s="19" t="n">
        <v>1</v>
      </c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 t="n">
        <v>1</v>
      </c>
      <c r="AI1171" s="19"/>
      <c r="AJ1171" s="19"/>
      <c r="AK1171" s="19"/>
      <c r="AL1171" s="19"/>
      <c r="AM1171" s="19"/>
      <c r="AN1171" s="19"/>
      <c r="AO1171" s="19" t="n">
        <v>1</v>
      </c>
      <c r="AP1171" s="19"/>
      <c r="AQ1171" s="19"/>
      <c r="AR1171" s="19"/>
      <c r="AS1171" s="20" t="str">
        <f aca="false">HYPERLINK("http://www.openstreetmap.org/?mlat=31.0117&amp;mlon=47.4258&amp;zoom=12#map=12/31.0117/47.4258","Maplink1")</f>
        <v>Maplink1</v>
      </c>
      <c r="AT1171" s="20" t="str">
        <f aca="false">HYPERLINK("https://www.google.iq/maps/search/+31.0117,47.4258/@31.0117,47.4258,14z?hl=en","Maplink2")</f>
        <v>Maplink2</v>
      </c>
      <c r="AU1171" s="20" t="str">
        <f aca="false">HYPERLINK("http://www.bing.com/maps/?lvl=14&amp;sty=h&amp;cp=31.0117~47.4258&amp;sp=point.31.0117_47.4258","Maplink3")</f>
        <v>Maplink3</v>
      </c>
    </row>
    <row r="1172" customFormat="false" ht="15" hidden="false" customHeight="true" outlineLevel="0" collapsed="false">
      <c r="A1172" s="15" t="n">
        <v>1110</v>
      </c>
      <c r="B1172" s="16" t="s">
        <v>18</v>
      </c>
      <c r="C1172" s="16" t="s">
        <v>2303</v>
      </c>
      <c r="D1172" s="16" t="s">
        <v>2326</v>
      </c>
      <c r="E1172" s="17" t="s">
        <v>2327</v>
      </c>
      <c r="F1172" s="16" t="n">
        <v>30.89070157</v>
      </c>
      <c r="G1172" s="16" t="n">
        <v>47.51135741</v>
      </c>
      <c r="H1172" s="18" t="n">
        <v>1</v>
      </c>
      <c r="I1172" s="18" t="n">
        <v>6</v>
      </c>
      <c r="J1172" s="19"/>
      <c r="K1172" s="19"/>
      <c r="L1172" s="19"/>
      <c r="M1172" s="19"/>
      <c r="N1172" s="19"/>
      <c r="O1172" s="19"/>
      <c r="P1172" s="19"/>
      <c r="Q1172" s="19"/>
      <c r="R1172" s="19" t="n">
        <v>1</v>
      </c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 t="n">
        <v>1</v>
      </c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 t="n">
        <v>1</v>
      </c>
      <c r="AO1172" s="19"/>
      <c r="AP1172" s="19"/>
      <c r="AQ1172" s="19"/>
      <c r="AR1172" s="19"/>
      <c r="AS1172" s="20" t="str">
        <f aca="false">HYPERLINK("http://www.openstreetmap.org/?mlat=30.8907&amp;mlon=47.5114&amp;zoom=12#map=12/30.8907/47.5114","Maplink1")</f>
        <v>Maplink1</v>
      </c>
      <c r="AT1172" s="20" t="str">
        <f aca="false">HYPERLINK("https://www.google.iq/maps/search/+30.8907,47.5114/@30.8907,47.5114,14z?hl=en","Maplink2")</f>
        <v>Maplink2</v>
      </c>
      <c r="AU1172" s="20" t="str">
        <f aca="false">HYPERLINK("http://www.bing.com/maps/?lvl=14&amp;sty=h&amp;cp=30.8907~47.5114&amp;sp=point.30.8907_47.5114","Maplink3")</f>
        <v>Maplink3</v>
      </c>
    </row>
    <row r="1173" customFormat="false" ht="15" hidden="false" customHeight="true" outlineLevel="0" collapsed="false">
      <c r="A1173" s="15" t="n">
        <v>1292</v>
      </c>
      <c r="B1173" s="16" t="s">
        <v>18</v>
      </c>
      <c r="C1173" s="16" t="s">
        <v>2303</v>
      </c>
      <c r="D1173" s="16" t="s">
        <v>2328</v>
      </c>
      <c r="E1173" s="17" t="s">
        <v>2329</v>
      </c>
      <c r="F1173" s="16" t="n">
        <v>31.01311805</v>
      </c>
      <c r="G1173" s="16" t="n">
        <v>47.43100128</v>
      </c>
      <c r="H1173" s="18" t="n">
        <v>1</v>
      </c>
      <c r="I1173" s="18" t="n">
        <v>6</v>
      </c>
      <c r="J1173" s="19"/>
      <c r="K1173" s="19"/>
      <c r="L1173" s="19" t="n">
        <v>1</v>
      </c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 t="n">
        <v>1</v>
      </c>
      <c r="AI1173" s="19"/>
      <c r="AJ1173" s="19"/>
      <c r="AK1173" s="19"/>
      <c r="AL1173" s="19"/>
      <c r="AM1173" s="19"/>
      <c r="AN1173" s="19"/>
      <c r="AO1173" s="19" t="n">
        <v>1</v>
      </c>
      <c r="AP1173" s="19"/>
      <c r="AQ1173" s="19"/>
      <c r="AR1173" s="19"/>
      <c r="AS1173" s="20" t="str">
        <f aca="false">HYPERLINK("http://www.openstreetmap.org/?mlat=31.0131&amp;mlon=47.431&amp;zoom=12#map=12/31.0131/47.431","Maplink1")</f>
        <v>Maplink1</v>
      </c>
      <c r="AT1173" s="20" t="str">
        <f aca="false">HYPERLINK("https://www.google.iq/maps/search/+31.0131,47.431/@31.0131,47.431,14z?hl=en","Maplink2")</f>
        <v>Maplink2</v>
      </c>
      <c r="AU1173" s="20" t="str">
        <f aca="false">HYPERLINK("http://www.bing.com/maps/?lvl=14&amp;sty=h&amp;cp=31.0131~47.431&amp;sp=point.31.0131_47.431","Maplink3")</f>
        <v>Maplink3</v>
      </c>
    </row>
    <row r="1174" customFormat="false" ht="15" hidden="false" customHeight="true" outlineLevel="0" collapsed="false">
      <c r="A1174" s="15" t="n">
        <v>27257</v>
      </c>
      <c r="B1174" s="16" t="s">
        <v>18</v>
      </c>
      <c r="C1174" s="16" t="s">
        <v>2303</v>
      </c>
      <c r="D1174" s="16" t="s">
        <v>2330</v>
      </c>
      <c r="E1174" s="17" t="s">
        <v>2331</v>
      </c>
      <c r="F1174" s="16" t="n">
        <v>30.73981587</v>
      </c>
      <c r="G1174" s="16" t="n">
        <v>47.6894058</v>
      </c>
      <c r="H1174" s="18" t="n">
        <v>6</v>
      </c>
      <c r="I1174" s="18" t="n">
        <v>36</v>
      </c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 t="n">
        <v>6</v>
      </c>
      <c r="W1174" s="19"/>
      <c r="X1174" s="19"/>
      <c r="Y1174" s="19"/>
      <c r="Z1174" s="19"/>
      <c r="AA1174" s="19"/>
      <c r="AB1174" s="19"/>
      <c r="AC1174" s="19" t="n">
        <v>6</v>
      </c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 t="n">
        <v>6</v>
      </c>
      <c r="AP1174" s="19"/>
      <c r="AQ1174" s="19"/>
      <c r="AR1174" s="19"/>
      <c r="AS1174" s="20" t="str">
        <f aca="false">HYPERLINK("http://www.openstreetmap.org/?mlat=30.7398&amp;mlon=47.6894&amp;zoom=12#map=12/30.7398/47.6894","Maplink1")</f>
        <v>Maplink1</v>
      </c>
      <c r="AT1174" s="20" t="str">
        <f aca="false">HYPERLINK("https://www.google.iq/maps/search/+30.7398,47.6894/@30.7398,47.6894,14z?hl=en","Maplink2")</f>
        <v>Maplink2</v>
      </c>
      <c r="AU1174" s="20" t="str">
        <f aca="false">HYPERLINK("http://www.bing.com/maps/?lvl=14&amp;sty=h&amp;cp=30.7398~47.6894&amp;sp=point.30.7398_47.6894","Maplink3")</f>
        <v>Maplink3</v>
      </c>
    </row>
    <row r="1175" customFormat="false" ht="15" hidden="false" customHeight="true" outlineLevel="0" collapsed="false">
      <c r="A1175" s="15" t="n">
        <v>23518</v>
      </c>
      <c r="B1175" s="16" t="s">
        <v>18</v>
      </c>
      <c r="C1175" s="16" t="s">
        <v>2303</v>
      </c>
      <c r="D1175" s="16" t="s">
        <v>2332</v>
      </c>
      <c r="E1175" s="17" t="s">
        <v>2333</v>
      </c>
      <c r="F1175" s="16" t="n">
        <v>30.79755721</v>
      </c>
      <c r="G1175" s="16" t="n">
        <v>47.5719543</v>
      </c>
      <c r="H1175" s="18" t="n">
        <v>5</v>
      </c>
      <c r="I1175" s="18" t="n">
        <v>30</v>
      </c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 t="n">
        <v>5</v>
      </c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 t="n">
        <v>5</v>
      </c>
      <c r="AI1175" s="19"/>
      <c r="AJ1175" s="19"/>
      <c r="AK1175" s="19"/>
      <c r="AL1175" s="19" t="n">
        <v>3</v>
      </c>
      <c r="AM1175" s="19" t="n">
        <v>2</v>
      </c>
      <c r="AN1175" s="19"/>
      <c r="AO1175" s="19"/>
      <c r="AP1175" s="19"/>
      <c r="AQ1175" s="19"/>
      <c r="AR1175" s="19"/>
      <c r="AS1175" s="20" t="str">
        <f aca="false">HYPERLINK("http://www.openstreetmap.org/?mlat=30.7976&amp;mlon=47.572&amp;zoom=12#map=12/30.7976/47.572","Maplink1")</f>
        <v>Maplink1</v>
      </c>
      <c r="AT1175" s="20" t="str">
        <f aca="false">HYPERLINK("https://www.google.iq/maps/search/+30.7976,47.572/@30.7976,47.572,14z?hl=en","Maplink2")</f>
        <v>Maplink2</v>
      </c>
      <c r="AU1175" s="20" t="str">
        <f aca="false">HYPERLINK("http://www.bing.com/maps/?lvl=14&amp;sty=h&amp;cp=30.7976~47.572&amp;sp=point.30.7976_47.572","Maplink3")</f>
        <v>Maplink3</v>
      </c>
    </row>
    <row r="1176" customFormat="false" ht="15" hidden="false" customHeight="true" outlineLevel="0" collapsed="false">
      <c r="A1176" s="15" t="n">
        <v>1240</v>
      </c>
      <c r="B1176" s="16" t="s">
        <v>18</v>
      </c>
      <c r="C1176" s="16" t="s">
        <v>2303</v>
      </c>
      <c r="D1176" s="16" t="s">
        <v>2334</v>
      </c>
      <c r="E1176" s="17" t="s">
        <v>2335</v>
      </c>
      <c r="F1176" s="16" t="n">
        <v>31.01713646</v>
      </c>
      <c r="G1176" s="16" t="n">
        <v>47.42103981</v>
      </c>
      <c r="H1176" s="18" t="n">
        <v>10</v>
      </c>
      <c r="I1176" s="18" t="n">
        <v>60</v>
      </c>
      <c r="J1176" s="19" t="n">
        <v>1</v>
      </c>
      <c r="K1176" s="19"/>
      <c r="L1176" s="19"/>
      <c r="M1176" s="19"/>
      <c r="N1176" s="19"/>
      <c r="O1176" s="19"/>
      <c r="P1176" s="19"/>
      <c r="Q1176" s="19"/>
      <c r="R1176" s="19" t="n">
        <v>2</v>
      </c>
      <c r="S1176" s="19"/>
      <c r="T1176" s="19"/>
      <c r="U1176" s="19"/>
      <c r="V1176" s="19" t="n">
        <v>6</v>
      </c>
      <c r="W1176" s="19"/>
      <c r="X1176" s="19" t="n">
        <v>1</v>
      </c>
      <c r="Y1176" s="19"/>
      <c r="Z1176" s="19"/>
      <c r="AA1176" s="19"/>
      <c r="AB1176" s="19"/>
      <c r="AC1176" s="19" t="n">
        <v>1</v>
      </c>
      <c r="AD1176" s="19"/>
      <c r="AE1176" s="19"/>
      <c r="AF1176" s="19"/>
      <c r="AG1176" s="19"/>
      <c r="AH1176" s="19" t="n">
        <v>9</v>
      </c>
      <c r="AI1176" s="19"/>
      <c r="AJ1176" s="19"/>
      <c r="AK1176" s="19"/>
      <c r="AL1176" s="19" t="n">
        <v>1</v>
      </c>
      <c r="AM1176" s="19" t="n">
        <v>2</v>
      </c>
      <c r="AN1176" s="19" t="n">
        <v>4</v>
      </c>
      <c r="AO1176" s="19" t="n">
        <v>3</v>
      </c>
      <c r="AP1176" s="19"/>
      <c r="AQ1176" s="19"/>
      <c r="AR1176" s="19"/>
      <c r="AS1176" s="20" t="str">
        <f aca="false">HYPERLINK("http://www.openstreetmap.org/?mlat=31.0171&amp;mlon=47.421&amp;zoom=12#map=12/31.0171/47.421","Maplink1")</f>
        <v>Maplink1</v>
      </c>
      <c r="AT1176" s="20" t="str">
        <f aca="false">HYPERLINK("https://www.google.iq/maps/search/+31.0171,47.421/@31.0171,47.421,14z?hl=en","Maplink2")</f>
        <v>Maplink2</v>
      </c>
      <c r="AU1176" s="20" t="str">
        <f aca="false">HYPERLINK("http://www.bing.com/maps/?lvl=14&amp;sty=h&amp;cp=31.0171~47.421&amp;sp=point.31.0171_47.421","Maplink3")</f>
        <v>Maplink3</v>
      </c>
    </row>
    <row r="1177" customFormat="false" ht="15" hidden="false" customHeight="true" outlineLevel="0" collapsed="false">
      <c r="A1177" s="15" t="n">
        <v>496</v>
      </c>
      <c r="B1177" s="16" t="s">
        <v>18</v>
      </c>
      <c r="C1177" s="16" t="s">
        <v>2303</v>
      </c>
      <c r="D1177" s="16" t="s">
        <v>2336</v>
      </c>
      <c r="E1177" s="17" t="s">
        <v>2337</v>
      </c>
      <c r="F1177" s="16" t="n">
        <v>30.808003</v>
      </c>
      <c r="G1177" s="16" t="n">
        <v>47.569523</v>
      </c>
      <c r="H1177" s="18" t="n">
        <v>3</v>
      </c>
      <c r="I1177" s="18" t="n">
        <v>18</v>
      </c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 t="n">
        <v>3</v>
      </c>
      <c r="W1177" s="19"/>
      <c r="X1177" s="19"/>
      <c r="Y1177" s="19"/>
      <c r="Z1177" s="19"/>
      <c r="AA1177" s="19"/>
      <c r="AB1177" s="19"/>
      <c r="AC1177" s="19" t="n">
        <v>1</v>
      </c>
      <c r="AD1177" s="19"/>
      <c r="AE1177" s="19"/>
      <c r="AF1177" s="19"/>
      <c r="AG1177" s="19"/>
      <c r="AH1177" s="19" t="n">
        <v>2</v>
      </c>
      <c r="AI1177" s="19"/>
      <c r="AJ1177" s="19"/>
      <c r="AK1177" s="19"/>
      <c r="AL1177" s="19"/>
      <c r="AM1177" s="19"/>
      <c r="AN1177" s="19" t="n">
        <v>3</v>
      </c>
      <c r="AO1177" s="19"/>
      <c r="AP1177" s="19"/>
      <c r="AQ1177" s="19"/>
      <c r="AR1177" s="19"/>
      <c r="AS1177" s="20" t="str">
        <f aca="false">HYPERLINK("http://www.openstreetmap.org/?mlat=30.808&amp;mlon=47.5695&amp;zoom=12#map=12/30.808/47.5695","Maplink1")</f>
        <v>Maplink1</v>
      </c>
      <c r="AT1177" s="20" t="str">
        <f aca="false">HYPERLINK("https://www.google.iq/maps/search/+30.808,47.5695/@30.808,47.5695,14z?hl=en","Maplink2")</f>
        <v>Maplink2</v>
      </c>
      <c r="AU1177" s="20" t="str">
        <f aca="false">HYPERLINK("http://www.bing.com/maps/?lvl=14&amp;sty=h&amp;cp=30.808~47.5695&amp;sp=point.30.808_47.5695","Maplink3")</f>
        <v>Maplink3</v>
      </c>
    </row>
    <row r="1178" customFormat="false" ht="15" hidden="false" customHeight="true" outlineLevel="0" collapsed="false">
      <c r="A1178" s="15" t="n">
        <v>24279</v>
      </c>
      <c r="B1178" s="16" t="s">
        <v>18</v>
      </c>
      <c r="C1178" s="16" t="s">
        <v>2338</v>
      </c>
      <c r="D1178" s="16" t="s">
        <v>2339</v>
      </c>
      <c r="E1178" s="17" t="s">
        <v>2340</v>
      </c>
      <c r="F1178" s="16" t="n">
        <v>30.35545855</v>
      </c>
      <c r="G1178" s="16" t="n">
        <v>47.73546704</v>
      </c>
      <c r="H1178" s="18" t="n">
        <v>9</v>
      </c>
      <c r="I1178" s="18" t="n">
        <v>54</v>
      </c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 t="n">
        <v>8</v>
      </c>
      <c r="W1178" s="19"/>
      <c r="X1178" s="19" t="n">
        <v>1</v>
      </c>
      <c r="Y1178" s="19"/>
      <c r="Z1178" s="19"/>
      <c r="AA1178" s="19"/>
      <c r="AB1178" s="19"/>
      <c r="AC1178" s="19"/>
      <c r="AD1178" s="19"/>
      <c r="AE1178" s="19" t="n">
        <v>3</v>
      </c>
      <c r="AF1178" s="19"/>
      <c r="AG1178" s="19"/>
      <c r="AH1178" s="19" t="n">
        <v>6</v>
      </c>
      <c r="AI1178" s="19"/>
      <c r="AJ1178" s="19"/>
      <c r="AK1178" s="19"/>
      <c r="AL1178" s="19"/>
      <c r="AM1178" s="19" t="n">
        <v>1</v>
      </c>
      <c r="AN1178" s="19"/>
      <c r="AO1178" s="19" t="n">
        <v>3</v>
      </c>
      <c r="AP1178" s="19"/>
      <c r="AQ1178" s="19"/>
      <c r="AR1178" s="19" t="n">
        <v>5</v>
      </c>
      <c r="AS1178" s="20" t="str">
        <f aca="false">HYPERLINK("http://www.openstreetmap.org/?mlat=30.3555&amp;mlon=47.7355&amp;zoom=12#map=12/30.3555/47.7355","Maplink1")</f>
        <v>Maplink1</v>
      </c>
      <c r="AT1178" s="20" t="str">
        <f aca="false">HYPERLINK("https://www.google.iq/maps/search/+30.3555,47.7355/@30.3555,47.7355,14z?hl=en","Maplink2")</f>
        <v>Maplink2</v>
      </c>
      <c r="AU1178" s="20" t="str">
        <f aca="false">HYPERLINK("http://www.bing.com/maps/?lvl=14&amp;sty=h&amp;cp=30.3555~47.7355&amp;sp=point.30.3555_47.7355","Maplink3")</f>
        <v>Maplink3</v>
      </c>
    </row>
    <row r="1179" customFormat="false" ht="15" hidden="false" customHeight="true" outlineLevel="0" collapsed="false">
      <c r="A1179" s="15" t="n">
        <v>367</v>
      </c>
      <c r="B1179" s="16" t="s">
        <v>18</v>
      </c>
      <c r="C1179" s="16" t="s">
        <v>2338</v>
      </c>
      <c r="D1179" s="16" t="s">
        <v>2341</v>
      </c>
      <c r="E1179" s="17" t="s">
        <v>2342</v>
      </c>
      <c r="F1179" s="16" t="n">
        <v>30.37790143</v>
      </c>
      <c r="G1179" s="16" t="n">
        <v>47.71746414</v>
      </c>
      <c r="H1179" s="18" t="n">
        <v>6</v>
      </c>
      <c r="I1179" s="18" t="n">
        <v>36</v>
      </c>
      <c r="J1179" s="19" t="n">
        <v>2</v>
      </c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 t="n">
        <v>4</v>
      </c>
      <c r="W1179" s="19"/>
      <c r="X1179" s="19"/>
      <c r="Y1179" s="19"/>
      <c r="Z1179" s="19"/>
      <c r="AA1179" s="19"/>
      <c r="AB1179" s="19"/>
      <c r="AC1179" s="19" t="n">
        <v>1</v>
      </c>
      <c r="AD1179" s="19"/>
      <c r="AE1179" s="19"/>
      <c r="AF1179" s="19"/>
      <c r="AG1179" s="19"/>
      <c r="AH1179" s="19" t="n">
        <v>5</v>
      </c>
      <c r="AI1179" s="19"/>
      <c r="AJ1179" s="19"/>
      <c r="AK1179" s="19"/>
      <c r="AL1179" s="19"/>
      <c r="AM1179" s="19" t="n">
        <v>1</v>
      </c>
      <c r="AN1179" s="19" t="n">
        <v>3</v>
      </c>
      <c r="AO1179" s="19" t="n">
        <v>2</v>
      </c>
      <c r="AP1179" s="19"/>
      <c r="AQ1179" s="19"/>
      <c r="AR1179" s="19"/>
      <c r="AS1179" s="20" t="str">
        <f aca="false">HYPERLINK("http://www.openstreetmap.org/?mlat=30.3779&amp;mlon=47.7175&amp;zoom=12#map=12/30.3779/47.7175","Maplink1")</f>
        <v>Maplink1</v>
      </c>
      <c r="AT1179" s="20" t="str">
        <f aca="false">HYPERLINK("https://www.google.iq/maps/search/+30.3779,47.7175/@30.3779,47.7175,14z?hl=en","Maplink2")</f>
        <v>Maplink2</v>
      </c>
      <c r="AU1179" s="20" t="str">
        <f aca="false">HYPERLINK("http://www.bing.com/maps/?lvl=14&amp;sty=h&amp;cp=30.3779~47.7175&amp;sp=point.30.3779_47.7175","Maplink3")</f>
        <v>Maplink3</v>
      </c>
    </row>
    <row r="1180" customFormat="false" ht="15" hidden="false" customHeight="true" outlineLevel="0" collapsed="false">
      <c r="A1180" s="15" t="n">
        <v>24924</v>
      </c>
      <c r="B1180" s="16" t="s">
        <v>18</v>
      </c>
      <c r="C1180" s="16" t="s">
        <v>2338</v>
      </c>
      <c r="D1180" s="16" t="s">
        <v>2343</v>
      </c>
      <c r="E1180" s="17" t="s">
        <v>2344</v>
      </c>
      <c r="F1180" s="16" t="n">
        <v>30.0362735</v>
      </c>
      <c r="G1180" s="16" t="n">
        <v>47.92736594</v>
      </c>
      <c r="H1180" s="18" t="n">
        <v>2</v>
      </c>
      <c r="I1180" s="18" t="n">
        <v>12</v>
      </c>
      <c r="J1180" s="19" t="n">
        <v>1</v>
      </c>
      <c r="K1180" s="19"/>
      <c r="L1180" s="19"/>
      <c r="M1180" s="19"/>
      <c r="N1180" s="19"/>
      <c r="O1180" s="19"/>
      <c r="P1180" s="19"/>
      <c r="Q1180" s="19"/>
      <c r="R1180" s="19" t="n">
        <v>1</v>
      </c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 t="n">
        <v>2</v>
      </c>
      <c r="AI1180" s="19"/>
      <c r="AJ1180" s="19"/>
      <c r="AK1180" s="19"/>
      <c r="AL1180" s="19"/>
      <c r="AM1180" s="19"/>
      <c r="AN1180" s="19"/>
      <c r="AO1180" s="19" t="n">
        <v>1</v>
      </c>
      <c r="AP1180" s="19" t="n">
        <v>1</v>
      </c>
      <c r="AQ1180" s="19"/>
      <c r="AR1180" s="19"/>
      <c r="AS1180" s="20" t="str">
        <f aca="false">HYPERLINK("http://www.openstreetmap.org/?mlat=30.0363&amp;mlon=47.9274&amp;zoom=12#map=12/30.0363/47.9274","Maplink1")</f>
        <v>Maplink1</v>
      </c>
      <c r="AT1180" s="20" t="str">
        <f aca="false">HYPERLINK("https://www.google.iq/maps/search/+30.0363,47.9274/@30.0363,47.9274,14z?hl=en","Maplink2")</f>
        <v>Maplink2</v>
      </c>
      <c r="AU1180" s="20" t="str">
        <f aca="false">HYPERLINK("http://www.bing.com/maps/?lvl=14&amp;sty=h&amp;cp=30.0363~47.9274&amp;sp=point.30.0363_47.9274","Maplink3")</f>
        <v>Maplink3</v>
      </c>
    </row>
    <row r="1181" customFormat="false" ht="15" hidden="false" customHeight="true" outlineLevel="0" collapsed="false">
      <c r="A1181" s="15" t="n">
        <v>24677</v>
      </c>
      <c r="B1181" s="16" t="s">
        <v>18</v>
      </c>
      <c r="C1181" s="16" t="s">
        <v>2338</v>
      </c>
      <c r="D1181" s="16" t="s">
        <v>2345</v>
      </c>
      <c r="E1181" s="17" t="s">
        <v>2346</v>
      </c>
      <c r="F1181" s="16" t="n">
        <v>30.32503056</v>
      </c>
      <c r="G1181" s="16" t="n">
        <v>47.71870248</v>
      </c>
      <c r="H1181" s="18" t="n">
        <v>4</v>
      </c>
      <c r="I1181" s="18" t="n">
        <v>24</v>
      </c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 t="n">
        <v>2</v>
      </c>
      <c r="W1181" s="19"/>
      <c r="X1181" s="19" t="n">
        <v>2</v>
      </c>
      <c r="Y1181" s="19"/>
      <c r="Z1181" s="19"/>
      <c r="AA1181" s="19"/>
      <c r="AB1181" s="19"/>
      <c r="AC1181" s="19" t="n">
        <v>3</v>
      </c>
      <c r="AD1181" s="19"/>
      <c r="AE1181" s="19"/>
      <c r="AF1181" s="19"/>
      <c r="AG1181" s="19"/>
      <c r="AH1181" s="19" t="n">
        <v>1</v>
      </c>
      <c r="AI1181" s="19"/>
      <c r="AJ1181" s="19"/>
      <c r="AK1181" s="19"/>
      <c r="AL1181" s="19"/>
      <c r="AM1181" s="19" t="n">
        <v>2</v>
      </c>
      <c r="AN1181" s="19" t="n">
        <v>2</v>
      </c>
      <c r="AO1181" s="19"/>
      <c r="AP1181" s="19"/>
      <c r="AQ1181" s="19"/>
      <c r="AR1181" s="19"/>
      <c r="AS1181" s="20" t="str">
        <f aca="false">HYPERLINK("http://www.openstreetmap.org/?mlat=30.325&amp;mlon=47.7187&amp;zoom=12#map=12/30.325/47.7187","Maplink1")</f>
        <v>Maplink1</v>
      </c>
      <c r="AT1181" s="20" t="str">
        <f aca="false">HYPERLINK("https://www.google.iq/maps/search/+30.325,47.7187/@30.325,47.7187,14z?hl=en","Maplink2")</f>
        <v>Maplink2</v>
      </c>
      <c r="AU1181" s="20" t="str">
        <f aca="false">HYPERLINK("http://www.bing.com/maps/?lvl=14&amp;sty=h&amp;cp=30.325~47.7187&amp;sp=point.30.325_47.7187","Maplink3")</f>
        <v>Maplink3</v>
      </c>
    </row>
    <row r="1182" customFormat="false" ht="15" hidden="false" customHeight="true" outlineLevel="0" collapsed="false">
      <c r="A1182" s="15" t="n">
        <v>24676</v>
      </c>
      <c r="B1182" s="16" t="s">
        <v>18</v>
      </c>
      <c r="C1182" s="16" t="s">
        <v>2338</v>
      </c>
      <c r="D1182" s="16" t="s">
        <v>2347</v>
      </c>
      <c r="E1182" s="17" t="s">
        <v>2348</v>
      </c>
      <c r="F1182" s="16" t="n">
        <v>30.5609052</v>
      </c>
      <c r="G1182" s="16" t="n">
        <v>47.37101703</v>
      </c>
      <c r="H1182" s="18" t="n">
        <v>3</v>
      </c>
      <c r="I1182" s="18" t="n">
        <v>18</v>
      </c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 t="n">
        <v>3</v>
      </c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 t="n">
        <v>3</v>
      </c>
      <c r="AI1182" s="19"/>
      <c r="AJ1182" s="19"/>
      <c r="AK1182" s="19"/>
      <c r="AL1182" s="19"/>
      <c r="AM1182" s="19" t="n">
        <v>3</v>
      </c>
      <c r="AN1182" s="19"/>
      <c r="AO1182" s="19"/>
      <c r="AP1182" s="19"/>
      <c r="AQ1182" s="19"/>
      <c r="AR1182" s="19"/>
      <c r="AS1182" s="20" t="str">
        <f aca="false">HYPERLINK("http://www.openstreetmap.org/?mlat=30.5609&amp;mlon=47.371&amp;zoom=12#map=12/30.5609/47.371","Maplink1")</f>
        <v>Maplink1</v>
      </c>
      <c r="AT1182" s="20" t="str">
        <f aca="false">HYPERLINK("https://www.google.iq/maps/search/+30.5609,47.371/@30.5609,47.371,14z?hl=en","Maplink2")</f>
        <v>Maplink2</v>
      </c>
      <c r="AU1182" s="20" t="str">
        <f aca="false">HYPERLINK("http://www.bing.com/maps/?lvl=14&amp;sty=h&amp;cp=30.5609~47.371&amp;sp=point.30.5609_47.371","Maplink3")</f>
        <v>Maplink3</v>
      </c>
    </row>
    <row r="1183" customFormat="false" ht="15" hidden="false" customHeight="true" outlineLevel="0" collapsed="false">
      <c r="A1183" s="15" t="n">
        <v>1281</v>
      </c>
      <c r="B1183" s="16" t="s">
        <v>18</v>
      </c>
      <c r="C1183" s="16" t="s">
        <v>2338</v>
      </c>
      <c r="D1183" s="16" t="s">
        <v>2349</v>
      </c>
      <c r="E1183" s="17" t="s">
        <v>2350</v>
      </c>
      <c r="F1183" s="16" t="n">
        <v>30.38611184</v>
      </c>
      <c r="G1183" s="16" t="n">
        <v>47.71477338</v>
      </c>
      <c r="H1183" s="18" t="n">
        <v>13</v>
      </c>
      <c r="I1183" s="18" t="n">
        <v>78</v>
      </c>
      <c r="J1183" s="19" t="n">
        <v>3</v>
      </c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 t="n">
        <v>2</v>
      </c>
      <c r="W1183" s="19"/>
      <c r="X1183" s="19" t="n">
        <v>8</v>
      </c>
      <c r="Y1183" s="19"/>
      <c r="Z1183" s="19"/>
      <c r="AA1183" s="19"/>
      <c r="AB1183" s="19"/>
      <c r="AC1183" s="19" t="n">
        <v>1</v>
      </c>
      <c r="AD1183" s="19"/>
      <c r="AE1183" s="19"/>
      <c r="AF1183" s="19"/>
      <c r="AG1183" s="19"/>
      <c r="AH1183" s="19" t="n">
        <v>12</v>
      </c>
      <c r="AI1183" s="19"/>
      <c r="AJ1183" s="19"/>
      <c r="AK1183" s="19"/>
      <c r="AL1183" s="19"/>
      <c r="AM1183" s="19" t="n">
        <v>5</v>
      </c>
      <c r="AN1183" s="19" t="n">
        <v>3</v>
      </c>
      <c r="AO1183" s="19" t="n">
        <v>3</v>
      </c>
      <c r="AP1183" s="19" t="n">
        <v>2</v>
      </c>
      <c r="AQ1183" s="19"/>
      <c r="AR1183" s="19"/>
      <c r="AS1183" s="20" t="str">
        <f aca="false">HYPERLINK("http://www.openstreetmap.org/?mlat=30.3861&amp;mlon=47.7148&amp;zoom=12#map=12/30.3861/47.7148","Maplink1")</f>
        <v>Maplink1</v>
      </c>
      <c r="AT1183" s="20" t="str">
        <f aca="false">HYPERLINK("https://www.google.iq/maps/search/+30.3861,47.7148/@30.3861,47.7148,14z?hl=en","Maplink2")</f>
        <v>Maplink2</v>
      </c>
      <c r="AU1183" s="20" t="str">
        <f aca="false">HYPERLINK("http://www.bing.com/maps/?lvl=14&amp;sty=h&amp;cp=30.3861~47.7148&amp;sp=point.30.3861_47.7148","Maplink3")</f>
        <v>Maplink3</v>
      </c>
    </row>
    <row r="1184" customFormat="false" ht="15" hidden="false" customHeight="true" outlineLevel="0" collapsed="false">
      <c r="A1184" s="15" t="n">
        <v>767</v>
      </c>
      <c r="B1184" s="16" t="s">
        <v>18</v>
      </c>
      <c r="C1184" s="16" t="s">
        <v>2338</v>
      </c>
      <c r="D1184" s="16" t="s">
        <v>2351</v>
      </c>
      <c r="E1184" s="17" t="s">
        <v>2352</v>
      </c>
      <c r="F1184" s="16" t="n">
        <v>30.39182222</v>
      </c>
      <c r="G1184" s="16" t="n">
        <v>47.71139706</v>
      </c>
      <c r="H1184" s="18" t="n">
        <v>2</v>
      </c>
      <c r="I1184" s="18" t="n">
        <v>12</v>
      </c>
      <c r="J1184" s="19" t="n">
        <v>1</v>
      </c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 t="n">
        <v>1</v>
      </c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 t="n">
        <v>2</v>
      </c>
      <c r="AI1184" s="19"/>
      <c r="AJ1184" s="19"/>
      <c r="AK1184" s="19"/>
      <c r="AL1184" s="19"/>
      <c r="AM1184" s="19"/>
      <c r="AN1184" s="19"/>
      <c r="AO1184" s="19" t="n">
        <v>2</v>
      </c>
      <c r="AP1184" s="19"/>
      <c r="AQ1184" s="19"/>
      <c r="AR1184" s="19"/>
      <c r="AS1184" s="20" t="str">
        <f aca="false">HYPERLINK("http://www.openstreetmap.org/?mlat=30.3918&amp;mlon=47.7114&amp;zoom=12#map=12/30.3918/47.7114","Maplink1")</f>
        <v>Maplink1</v>
      </c>
      <c r="AT1184" s="20" t="str">
        <f aca="false">HYPERLINK("https://www.google.iq/maps/search/+30.3918,47.7114/@30.3918,47.7114,14z?hl=en","Maplink2")</f>
        <v>Maplink2</v>
      </c>
      <c r="AU1184" s="20" t="str">
        <f aca="false">HYPERLINK("http://www.bing.com/maps/?lvl=14&amp;sty=h&amp;cp=30.3918~47.7114&amp;sp=point.30.3918_47.7114","Maplink3")</f>
        <v>Maplink3</v>
      </c>
    </row>
    <row r="1185" customFormat="false" ht="15" hidden="false" customHeight="true" outlineLevel="0" collapsed="false">
      <c r="A1185" s="15" t="n">
        <v>760</v>
      </c>
      <c r="B1185" s="16" t="s">
        <v>18</v>
      </c>
      <c r="C1185" s="16" t="s">
        <v>2338</v>
      </c>
      <c r="D1185" s="16" t="s">
        <v>2353</v>
      </c>
      <c r="E1185" s="17" t="s">
        <v>2354</v>
      </c>
      <c r="F1185" s="16" t="n">
        <v>30.38824851</v>
      </c>
      <c r="G1185" s="16" t="n">
        <v>47.70873179</v>
      </c>
      <c r="H1185" s="18" t="n">
        <v>18</v>
      </c>
      <c r="I1185" s="18" t="n">
        <v>108</v>
      </c>
      <c r="J1185" s="19" t="n">
        <v>3</v>
      </c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 t="n">
        <v>2</v>
      </c>
      <c r="W1185" s="19"/>
      <c r="X1185" s="19" t="n">
        <v>13</v>
      </c>
      <c r="Y1185" s="19"/>
      <c r="Z1185" s="19"/>
      <c r="AA1185" s="19"/>
      <c r="AB1185" s="19"/>
      <c r="AC1185" s="19" t="n">
        <v>1</v>
      </c>
      <c r="AD1185" s="19"/>
      <c r="AE1185" s="19"/>
      <c r="AF1185" s="19"/>
      <c r="AG1185" s="19"/>
      <c r="AH1185" s="19" t="n">
        <v>17</v>
      </c>
      <c r="AI1185" s="19"/>
      <c r="AJ1185" s="19"/>
      <c r="AK1185" s="19"/>
      <c r="AL1185" s="19" t="n">
        <v>2</v>
      </c>
      <c r="AM1185" s="19"/>
      <c r="AN1185" s="19" t="n">
        <v>4</v>
      </c>
      <c r="AO1185" s="19" t="n">
        <v>8</v>
      </c>
      <c r="AP1185" s="19" t="n">
        <v>2</v>
      </c>
      <c r="AQ1185" s="19"/>
      <c r="AR1185" s="19" t="n">
        <v>2</v>
      </c>
      <c r="AS1185" s="20" t="str">
        <f aca="false">HYPERLINK("http://www.openstreetmap.org/?mlat=30.3882&amp;mlon=47.7087&amp;zoom=12#map=12/30.3882/47.7087","Maplink1")</f>
        <v>Maplink1</v>
      </c>
      <c r="AT1185" s="20" t="str">
        <f aca="false">HYPERLINK("https://www.google.iq/maps/search/+30.3882,47.7087/@30.3882,47.7087,14z?hl=en","Maplink2")</f>
        <v>Maplink2</v>
      </c>
      <c r="AU1185" s="20" t="str">
        <f aca="false">HYPERLINK("http://www.bing.com/maps/?lvl=14&amp;sty=h&amp;cp=30.3882~47.7087&amp;sp=point.30.3882_47.7087","Maplink3")</f>
        <v>Maplink3</v>
      </c>
    </row>
    <row r="1186" customFormat="false" ht="15" hidden="false" customHeight="true" outlineLevel="0" collapsed="false">
      <c r="A1186" s="15" t="n">
        <v>753</v>
      </c>
      <c r="B1186" s="16" t="s">
        <v>18</v>
      </c>
      <c r="C1186" s="16" t="s">
        <v>2338</v>
      </c>
      <c r="D1186" s="16" t="s">
        <v>2355</v>
      </c>
      <c r="E1186" s="17" t="s">
        <v>2356</v>
      </c>
      <c r="F1186" s="16" t="n">
        <v>30.38738287</v>
      </c>
      <c r="G1186" s="16" t="n">
        <v>47.70348807</v>
      </c>
      <c r="H1186" s="18" t="n">
        <v>5</v>
      </c>
      <c r="I1186" s="18" t="n">
        <v>30</v>
      </c>
      <c r="J1186" s="19"/>
      <c r="K1186" s="19"/>
      <c r="L1186" s="19"/>
      <c r="M1186" s="19"/>
      <c r="N1186" s="19"/>
      <c r="O1186" s="19"/>
      <c r="P1186" s="19"/>
      <c r="Q1186" s="19"/>
      <c r="R1186" s="19" t="n">
        <v>1</v>
      </c>
      <c r="S1186" s="19"/>
      <c r="T1186" s="19"/>
      <c r="U1186" s="19"/>
      <c r="V1186" s="19" t="n">
        <v>1</v>
      </c>
      <c r="W1186" s="19"/>
      <c r="X1186" s="19" t="n">
        <v>3</v>
      </c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 t="n">
        <v>5</v>
      </c>
      <c r="AI1186" s="19"/>
      <c r="AJ1186" s="19"/>
      <c r="AK1186" s="19"/>
      <c r="AL1186" s="19" t="n">
        <v>1</v>
      </c>
      <c r="AM1186" s="19"/>
      <c r="AN1186" s="19" t="n">
        <v>2</v>
      </c>
      <c r="AO1186" s="19" t="n">
        <v>2</v>
      </c>
      <c r="AP1186" s="19"/>
      <c r="AQ1186" s="19"/>
      <c r="AR1186" s="19"/>
      <c r="AS1186" s="20" t="str">
        <f aca="false">HYPERLINK("http://www.openstreetmap.org/?mlat=30.3874&amp;mlon=47.7035&amp;zoom=12#map=12/30.3874/47.7035","Maplink1")</f>
        <v>Maplink1</v>
      </c>
      <c r="AT1186" s="20" t="str">
        <f aca="false">HYPERLINK("https://www.google.iq/maps/search/+30.3874,47.7035/@30.3874,47.7035,14z?hl=en","Maplink2")</f>
        <v>Maplink2</v>
      </c>
      <c r="AU1186" s="20" t="str">
        <f aca="false">HYPERLINK("http://www.bing.com/maps/?lvl=14&amp;sty=h&amp;cp=30.3874~47.7035&amp;sp=point.30.3874_47.7035","Maplink3")</f>
        <v>Maplink3</v>
      </c>
    </row>
    <row r="1187" customFormat="false" ht="15" hidden="false" customHeight="true" outlineLevel="0" collapsed="false">
      <c r="A1187" s="15" t="n">
        <v>757</v>
      </c>
      <c r="B1187" s="16" t="s">
        <v>18</v>
      </c>
      <c r="C1187" s="16" t="s">
        <v>2338</v>
      </c>
      <c r="D1187" s="16" t="s">
        <v>2357</v>
      </c>
      <c r="E1187" s="17" t="s">
        <v>2358</v>
      </c>
      <c r="F1187" s="16" t="n">
        <v>30.38299805</v>
      </c>
      <c r="G1187" s="16" t="n">
        <v>47.68064361</v>
      </c>
      <c r="H1187" s="18" t="n">
        <v>7</v>
      </c>
      <c r="I1187" s="18" t="n">
        <v>42</v>
      </c>
      <c r="J1187" s="19" t="n">
        <v>2</v>
      </c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 t="n">
        <v>5</v>
      </c>
      <c r="Y1187" s="19"/>
      <c r="Z1187" s="19"/>
      <c r="AA1187" s="19"/>
      <c r="AB1187" s="19"/>
      <c r="AC1187" s="19" t="n">
        <v>1</v>
      </c>
      <c r="AD1187" s="19"/>
      <c r="AE1187" s="19"/>
      <c r="AF1187" s="19"/>
      <c r="AG1187" s="19"/>
      <c r="AH1187" s="19" t="n">
        <v>6</v>
      </c>
      <c r="AI1187" s="19"/>
      <c r="AJ1187" s="19"/>
      <c r="AK1187" s="19"/>
      <c r="AL1187" s="19"/>
      <c r="AM1187" s="19"/>
      <c r="AN1187" s="19" t="n">
        <v>2</v>
      </c>
      <c r="AO1187" s="19" t="n">
        <v>5</v>
      </c>
      <c r="AP1187" s="19"/>
      <c r="AQ1187" s="19"/>
      <c r="AR1187" s="19"/>
      <c r="AS1187" s="20" t="str">
        <f aca="false">HYPERLINK("http://www.openstreetmap.org/?mlat=30.383&amp;mlon=47.6806&amp;zoom=12#map=12/30.383/47.6806","Maplink1")</f>
        <v>Maplink1</v>
      </c>
      <c r="AT1187" s="20" t="str">
        <f aca="false">HYPERLINK("https://www.google.iq/maps/search/+30.383,47.6806/@30.383,47.6806,14z?hl=en","Maplink2")</f>
        <v>Maplink2</v>
      </c>
      <c r="AU1187" s="20" t="str">
        <f aca="false">HYPERLINK("http://www.bing.com/maps/?lvl=14&amp;sty=h&amp;cp=30.383~47.6806&amp;sp=point.30.383_47.6806","Maplink3")</f>
        <v>Maplink3</v>
      </c>
    </row>
    <row r="1188" customFormat="false" ht="15" hidden="false" customHeight="true" outlineLevel="0" collapsed="false">
      <c r="A1188" s="15" t="n">
        <v>764</v>
      </c>
      <c r="B1188" s="16" t="s">
        <v>18</v>
      </c>
      <c r="C1188" s="16" t="s">
        <v>2338</v>
      </c>
      <c r="D1188" s="16" t="s">
        <v>2359</v>
      </c>
      <c r="E1188" s="17" t="s">
        <v>2360</v>
      </c>
      <c r="F1188" s="16" t="n">
        <v>30.39354139</v>
      </c>
      <c r="G1188" s="16" t="n">
        <v>47.70438401</v>
      </c>
      <c r="H1188" s="18" t="n">
        <v>8</v>
      </c>
      <c r="I1188" s="18" t="n">
        <v>48</v>
      </c>
      <c r="J1188" s="19" t="n">
        <v>2</v>
      </c>
      <c r="K1188" s="19"/>
      <c r="L1188" s="19"/>
      <c r="M1188" s="19"/>
      <c r="N1188" s="19"/>
      <c r="O1188" s="19"/>
      <c r="P1188" s="19"/>
      <c r="Q1188" s="19"/>
      <c r="R1188" s="19" t="n">
        <v>1</v>
      </c>
      <c r="S1188" s="19"/>
      <c r="T1188" s="19"/>
      <c r="U1188" s="19"/>
      <c r="V1188" s="19" t="n">
        <v>1</v>
      </c>
      <c r="W1188" s="19"/>
      <c r="X1188" s="19" t="n">
        <v>4</v>
      </c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 t="n">
        <v>8</v>
      </c>
      <c r="AI1188" s="19"/>
      <c r="AJ1188" s="19"/>
      <c r="AK1188" s="19"/>
      <c r="AL1188" s="19" t="n">
        <v>3</v>
      </c>
      <c r="AM1188" s="19" t="n">
        <v>1</v>
      </c>
      <c r="AN1188" s="19" t="n">
        <v>1</v>
      </c>
      <c r="AO1188" s="19" t="n">
        <v>3</v>
      </c>
      <c r="AP1188" s="19"/>
      <c r="AQ1188" s="19"/>
      <c r="AR1188" s="19"/>
      <c r="AS1188" s="20" t="str">
        <f aca="false">HYPERLINK("http://www.openstreetmap.org/?mlat=30.3935&amp;mlon=47.7044&amp;zoom=12#map=12/30.3935/47.7044","Maplink1")</f>
        <v>Maplink1</v>
      </c>
      <c r="AT1188" s="20" t="str">
        <f aca="false">HYPERLINK("https://www.google.iq/maps/search/+30.3935,47.7044/@30.3935,47.7044,14z?hl=en","Maplink2")</f>
        <v>Maplink2</v>
      </c>
      <c r="AU1188" s="20" t="str">
        <f aca="false">HYPERLINK("http://www.bing.com/maps/?lvl=14&amp;sty=h&amp;cp=30.3935~47.7044&amp;sp=point.30.3935_47.7044","Maplink3")</f>
        <v>Maplink3</v>
      </c>
    </row>
    <row r="1189" customFormat="false" ht="15" hidden="false" customHeight="true" outlineLevel="0" collapsed="false">
      <c r="A1189" s="15" t="n">
        <v>779</v>
      </c>
      <c r="B1189" s="16" t="s">
        <v>18</v>
      </c>
      <c r="C1189" s="16" t="s">
        <v>2338</v>
      </c>
      <c r="D1189" s="16" t="s">
        <v>2361</v>
      </c>
      <c r="E1189" s="17" t="s">
        <v>2362</v>
      </c>
      <c r="F1189" s="16" t="n">
        <v>30.3975642</v>
      </c>
      <c r="G1189" s="16" t="n">
        <v>47.70120241</v>
      </c>
      <c r="H1189" s="18" t="n">
        <v>8</v>
      </c>
      <c r="I1189" s="18" t="n">
        <v>48</v>
      </c>
      <c r="J1189" s="19" t="n">
        <v>1</v>
      </c>
      <c r="K1189" s="19"/>
      <c r="L1189" s="19"/>
      <c r="M1189" s="19"/>
      <c r="N1189" s="19"/>
      <c r="O1189" s="19" t="n">
        <v>1</v>
      </c>
      <c r="P1189" s="19"/>
      <c r="Q1189" s="19"/>
      <c r="R1189" s="19"/>
      <c r="S1189" s="19"/>
      <c r="T1189" s="19"/>
      <c r="U1189" s="19"/>
      <c r="V1189" s="19" t="n">
        <v>3</v>
      </c>
      <c r="W1189" s="19"/>
      <c r="X1189" s="19" t="n">
        <v>3</v>
      </c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 t="n">
        <v>8</v>
      </c>
      <c r="AI1189" s="19"/>
      <c r="AJ1189" s="19"/>
      <c r="AK1189" s="19"/>
      <c r="AL1189" s="19" t="n">
        <v>2</v>
      </c>
      <c r="AM1189" s="19" t="n">
        <v>1</v>
      </c>
      <c r="AN1189" s="19"/>
      <c r="AO1189" s="19" t="n">
        <v>5</v>
      </c>
      <c r="AP1189" s="19"/>
      <c r="AQ1189" s="19"/>
      <c r="AR1189" s="19"/>
      <c r="AS1189" s="20" t="str">
        <f aca="false">HYPERLINK("http://www.openstreetmap.org/?mlat=30.3976&amp;mlon=47.7012&amp;zoom=12#map=12/30.3976/47.7012","Maplink1")</f>
        <v>Maplink1</v>
      </c>
      <c r="AT1189" s="20" t="str">
        <f aca="false">HYPERLINK("https://www.google.iq/maps/search/+30.3976,47.7012/@30.3976,47.7012,14z?hl=en","Maplink2")</f>
        <v>Maplink2</v>
      </c>
      <c r="AU1189" s="20" t="str">
        <f aca="false">HYPERLINK("http://www.bing.com/maps/?lvl=14&amp;sty=h&amp;cp=30.3976~47.7012&amp;sp=point.30.3976_47.7012","Maplink3")</f>
        <v>Maplink3</v>
      </c>
    </row>
    <row r="1190" customFormat="false" ht="15" hidden="false" customHeight="true" outlineLevel="0" collapsed="false">
      <c r="A1190" s="15" t="n">
        <v>509</v>
      </c>
      <c r="B1190" s="16" t="s">
        <v>18</v>
      </c>
      <c r="C1190" s="16" t="s">
        <v>2338</v>
      </c>
      <c r="D1190" s="16" t="s">
        <v>2363</v>
      </c>
      <c r="E1190" s="17" t="s">
        <v>2364</v>
      </c>
      <c r="F1190" s="16" t="n">
        <v>30.40114432</v>
      </c>
      <c r="G1190" s="16" t="n">
        <v>47.70361262</v>
      </c>
      <c r="H1190" s="18" t="n">
        <v>68</v>
      </c>
      <c r="I1190" s="18" t="n">
        <v>408</v>
      </c>
      <c r="J1190" s="19" t="n">
        <v>5</v>
      </c>
      <c r="K1190" s="19"/>
      <c r="L1190" s="19"/>
      <c r="M1190" s="19"/>
      <c r="N1190" s="19"/>
      <c r="O1190" s="19" t="n">
        <v>1</v>
      </c>
      <c r="P1190" s="19"/>
      <c r="Q1190" s="19"/>
      <c r="R1190" s="19"/>
      <c r="S1190" s="19"/>
      <c r="T1190" s="19"/>
      <c r="U1190" s="19"/>
      <c r="V1190" s="19" t="n">
        <v>6</v>
      </c>
      <c r="W1190" s="19"/>
      <c r="X1190" s="19" t="n">
        <v>56</v>
      </c>
      <c r="Y1190" s="19"/>
      <c r="Z1190" s="19"/>
      <c r="AA1190" s="19"/>
      <c r="AB1190" s="19"/>
      <c r="AC1190" s="19" t="n">
        <v>6</v>
      </c>
      <c r="AD1190" s="19"/>
      <c r="AE1190" s="19" t="n">
        <v>6</v>
      </c>
      <c r="AF1190" s="19"/>
      <c r="AG1190" s="19"/>
      <c r="AH1190" s="19" t="n">
        <v>56</v>
      </c>
      <c r="AI1190" s="19"/>
      <c r="AJ1190" s="19"/>
      <c r="AK1190" s="19"/>
      <c r="AL1190" s="19" t="n">
        <v>8</v>
      </c>
      <c r="AM1190" s="19" t="n">
        <v>11</v>
      </c>
      <c r="AN1190" s="19" t="n">
        <v>7</v>
      </c>
      <c r="AO1190" s="19" t="n">
        <v>36</v>
      </c>
      <c r="AP1190" s="19" t="n">
        <v>1</v>
      </c>
      <c r="AQ1190" s="19" t="n">
        <v>4</v>
      </c>
      <c r="AR1190" s="19" t="n">
        <v>1</v>
      </c>
      <c r="AS1190" s="20" t="str">
        <f aca="false">HYPERLINK("http://www.openstreetmap.org/?mlat=30.4011&amp;mlon=47.7036&amp;zoom=12#map=12/30.4011/47.7036","Maplink1")</f>
        <v>Maplink1</v>
      </c>
      <c r="AT1190" s="20" t="str">
        <f aca="false">HYPERLINK("https://www.google.iq/maps/search/+30.4011,47.7036/@30.4011,47.7036,14z?hl=en","Maplink2")</f>
        <v>Maplink2</v>
      </c>
      <c r="AU1190" s="20" t="str">
        <f aca="false">HYPERLINK("http://www.bing.com/maps/?lvl=14&amp;sty=h&amp;cp=30.4011~47.7036&amp;sp=point.30.4011_47.7036","Maplink3")</f>
        <v>Maplink3</v>
      </c>
    </row>
    <row r="1191" customFormat="false" ht="15" hidden="false" customHeight="true" outlineLevel="0" collapsed="false">
      <c r="A1191" s="15" t="n">
        <v>27327</v>
      </c>
      <c r="B1191" s="16" t="s">
        <v>18</v>
      </c>
      <c r="C1191" s="16" t="s">
        <v>2338</v>
      </c>
      <c r="D1191" s="16" t="s">
        <v>2365</v>
      </c>
      <c r="E1191" s="17" t="s">
        <v>2366</v>
      </c>
      <c r="F1191" s="16" t="n">
        <v>30.44536297</v>
      </c>
      <c r="G1191" s="16" t="n">
        <v>47.65906407</v>
      </c>
      <c r="H1191" s="18" t="n">
        <v>4</v>
      </c>
      <c r="I1191" s="18" t="n">
        <v>24</v>
      </c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 t="n">
        <v>3</v>
      </c>
      <c r="W1191" s="19"/>
      <c r="X1191" s="19" t="n">
        <v>1</v>
      </c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 t="n">
        <v>4</v>
      </c>
      <c r="AI1191" s="19"/>
      <c r="AJ1191" s="19"/>
      <c r="AK1191" s="19"/>
      <c r="AL1191" s="19"/>
      <c r="AM1191" s="19" t="n">
        <v>1</v>
      </c>
      <c r="AN1191" s="19"/>
      <c r="AO1191" s="19" t="n">
        <v>3</v>
      </c>
      <c r="AP1191" s="19"/>
      <c r="AQ1191" s="19"/>
      <c r="AR1191" s="19"/>
      <c r="AS1191" s="20" t="str">
        <f aca="false">HYPERLINK("http://www.openstreetmap.org/?mlat=30.4454&amp;mlon=47.6591&amp;zoom=12#map=12/30.4454/47.6591","Maplink1")</f>
        <v>Maplink1</v>
      </c>
      <c r="AT1191" s="20" t="str">
        <f aca="false">HYPERLINK("https://www.google.iq/maps/search/+30.4454,47.6591/@30.4454,47.6591,14z?hl=en","Maplink2")</f>
        <v>Maplink2</v>
      </c>
      <c r="AU1191" s="20" t="str">
        <f aca="false">HYPERLINK("http://www.bing.com/maps/?lvl=14&amp;sty=h&amp;cp=30.4454~47.6591&amp;sp=point.30.4454_47.6591","Maplink3")</f>
        <v>Maplink3</v>
      </c>
    </row>
    <row r="1192" customFormat="false" ht="15" hidden="false" customHeight="true" outlineLevel="0" collapsed="false">
      <c r="A1192" s="15" t="n">
        <v>25463</v>
      </c>
      <c r="B1192" s="16" t="s">
        <v>18</v>
      </c>
      <c r="C1192" s="16" t="s">
        <v>2338</v>
      </c>
      <c r="D1192" s="16" t="s">
        <v>2367</v>
      </c>
      <c r="E1192" s="17" t="s">
        <v>2368</v>
      </c>
      <c r="F1192" s="16" t="n">
        <v>30.42985678</v>
      </c>
      <c r="G1192" s="16" t="n">
        <v>47.67946118</v>
      </c>
      <c r="H1192" s="18" t="n">
        <v>10</v>
      </c>
      <c r="I1192" s="18" t="n">
        <v>60</v>
      </c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 t="n">
        <v>9</v>
      </c>
      <c r="W1192" s="19"/>
      <c r="X1192" s="19" t="n">
        <v>1</v>
      </c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 t="n">
        <v>10</v>
      </c>
      <c r="AI1192" s="19"/>
      <c r="AJ1192" s="19"/>
      <c r="AK1192" s="19"/>
      <c r="AL1192" s="19"/>
      <c r="AM1192" s="19" t="n">
        <v>3</v>
      </c>
      <c r="AN1192" s="19" t="n">
        <v>3</v>
      </c>
      <c r="AO1192" s="19" t="n">
        <v>4</v>
      </c>
      <c r="AP1192" s="19"/>
      <c r="AQ1192" s="19"/>
      <c r="AR1192" s="19"/>
      <c r="AS1192" s="20" t="str">
        <f aca="false">HYPERLINK("http://www.openstreetmap.org/?mlat=30.4299&amp;mlon=47.6795&amp;zoom=12#map=12/30.4299/47.6795","Maplink1")</f>
        <v>Maplink1</v>
      </c>
      <c r="AT1192" s="20" t="str">
        <f aca="false">HYPERLINK("https://www.google.iq/maps/search/+30.4299,47.6795/@30.4299,47.6795,14z?hl=en","Maplink2")</f>
        <v>Maplink2</v>
      </c>
      <c r="AU1192" s="20" t="str">
        <f aca="false">HYPERLINK("http://www.bing.com/maps/?lvl=14&amp;sty=h&amp;cp=30.4299~47.6795&amp;sp=point.30.4299_47.6795","Maplink3")</f>
        <v>Maplink3</v>
      </c>
    </row>
    <row r="1193" customFormat="false" ht="15" hidden="false" customHeight="true" outlineLevel="0" collapsed="false">
      <c r="A1193" s="15" t="n">
        <v>1312</v>
      </c>
      <c r="B1193" s="16" t="s">
        <v>18</v>
      </c>
      <c r="C1193" s="16" t="s">
        <v>2338</v>
      </c>
      <c r="D1193" s="16" t="s">
        <v>2369</v>
      </c>
      <c r="E1193" s="17" t="s">
        <v>2370</v>
      </c>
      <c r="F1193" s="16" t="n">
        <v>30.40348333</v>
      </c>
      <c r="G1193" s="16" t="n">
        <v>47.68983881</v>
      </c>
      <c r="H1193" s="18" t="n">
        <v>3</v>
      </c>
      <c r="I1193" s="18" t="n">
        <v>18</v>
      </c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 t="n">
        <v>3</v>
      </c>
      <c r="Y1193" s="19"/>
      <c r="Z1193" s="19"/>
      <c r="AA1193" s="19"/>
      <c r="AB1193" s="19"/>
      <c r="AC1193" s="19" t="n">
        <v>1</v>
      </c>
      <c r="AD1193" s="19"/>
      <c r="AE1193" s="19"/>
      <c r="AF1193" s="19"/>
      <c r="AG1193" s="19"/>
      <c r="AH1193" s="19" t="n">
        <v>2</v>
      </c>
      <c r="AI1193" s="19"/>
      <c r="AJ1193" s="19"/>
      <c r="AK1193" s="19"/>
      <c r="AL1193" s="19"/>
      <c r="AM1193" s="19"/>
      <c r="AN1193" s="19" t="n">
        <v>1</v>
      </c>
      <c r="AO1193" s="19" t="n">
        <v>2</v>
      </c>
      <c r="AP1193" s="19"/>
      <c r="AQ1193" s="19"/>
      <c r="AR1193" s="19"/>
      <c r="AS1193" s="20" t="str">
        <f aca="false">HYPERLINK("http://www.openstreetmap.org/?mlat=30.4035&amp;mlon=47.6898&amp;zoom=12#map=12/30.4035/47.6898","Maplink1")</f>
        <v>Maplink1</v>
      </c>
      <c r="AT1193" s="20" t="str">
        <f aca="false">HYPERLINK("https://www.google.iq/maps/search/+30.4035,47.6898/@30.4035,47.6898,14z?hl=en","Maplink2")</f>
        <v>Maplink2</v>
      </c>
      <c r="AU1193" s="20" t="str">
        <f aca="false">HYPERLINK("http://www.bing.com/maps/?lvl=14&amp;sty=h&amp;cp=30.4035~47.6898&amp;sp=point.30.4035_47.6898","Maplink3")</f>
        <v>Maplink3</v>
      </c>
    </row>
    <row r="1194" customFormat="false" ht="15" hidden="false" customHeight="true" outlineLevel="0" collapsed="false">
      <c r="A1194" s="15" t="n">
        <v>25971</v>
      </c>
      <c r="B1194" s="16" t="s">
        <v>18</v>
      </c>
      <c r="C1194" s="16" t="s">
        <v>2338</v>
      </c>
      <c r="D1194" s="16" t="s">
        <v>2371</v>
      </c>
      <c r="E1194" s="17" t="s">
        <v>2372</v>
      </c>
      <c r="F1194" s="16" t="n">
        <v>30.37494144</v>
      </c>
      <c r="G1194" s="16" t="n">
        <v>47.70805411</v>
      </c>
      <c r="H1194" s="18" t="n">
        <v>7</v>
      </c>
      <c r="I1194" s="18" t="n">
        <v>42</v>
      </c>
      <c r="J1194" s="19"/>
      <c r="K1194" s="19"/>
      <c r="L1194" s="19"/>
      <c r="M1194" s="19"/>
      <c r="N1194" s="19"/>
      <c r="O1194" s="19" t="n">
        <v>1</v>
      </c>
      <c r="P1194" s="19"/>
      <c r="Q1194" s="19"/>
      <c r="R1194" s="19"/>
      <c r="S1194" s="19"/>
      <c r="T1194" s="19"/>
      <c r="U1194" s="19"/>
      <c r="V1194" s="19" t="n">
        <v>1</v>
      </c>
      <c r="W1194" s="19"/>
      <c r="X1194" s="19" t="n">
        <v>5</v>
      </c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 t="n">
        <v>7</v>
      </c>
      <c r="AI1194" s="19"/>
      <c r="AJ1194" s="19"/>
      <c r="AK1194" s="19"/>
      <c r="AL1194" s="19" t="n">
        <v>1</v>
      </c>
      <c r="AM1194" s="19"/>
      <c r="AN1194" s="19" t="n">
        <v>1</v>
      </c>
      <c r="AO1194" s="19" t="n">
        <v>5</v>
      </c>
      <c r="AP1194" s="19"/>
      <c r="AQ1194" s="19"/>
      <c r="AR1194" s="19"/>
      <c r="AS1194" s="20" t="str">
        <f aca="false">HYPERLINK("http://www.openstreetmap.org/?mlat=30.3749&amp;mlon=47.7081&amp;zoom=12#map=12/30.3749/47.7081","Maplink1")</f>
        <v>Maplink1</v>
      </c>
      <c r="AT1194" s="20" t="str">
        <f aca="false">HYPERLINK("https://www.google.iq/maps/search/+30.3749,47.7081/@30.3749,47.7081,14z?hl=en","Maplink2")</f>
        <v>Maplink2</v>
      </c>
      <c r="AU1194" s="20" t="str">
        <f aca="false">HYPERLINK("http://www.bing.com/maps/?lvl=14&amp;sty=h&amp;cp=30.3749~47.7081&amp;sp=point.30.3749_47.7081","Maplink3")</f>
        <v>Maplink3</v>
      </c>
    </row>
    <row r="1195" customFormat="false" ht="15" hidden="false" customHeight="true" outlineLevel="0" collapsed="false">
      <c r="A1195" s="15" t="n">
        <v>652</v>
      </c>
      <c r="B1195" s="16" t="s">
        <v>18</v>
      </c>
      <c r="C1195" s="16" t="s">
        <v>2338</v>
      </c>
      <c r="D1195" s="16" t="s">
        <v>2373</v>
      </c>
      <c r="E1195" s="17" t="s">
        <v>2374</v>
      </c>
      <c r="F1195" s="16" t="n">
        <v>30.04112314</v>
      </c>
      <c r="G1195" s="16" t="n">
        <v>47.90794716</v>
      </c>
      <c r="H1195" s="18" t="n">
        <v>2</v>
      </c>
      <c r="I1195" s="18" t="n">
        <v>12</v>
      </c>
      <c r="J1195" s="19" t="n">
        <v>2</v>
      </c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 t="n">
        <v>2</v>
      </c>
      <c r="AI1195" s="19"/>
      <c r="AJ1195" s="19"/>
      <c r="AK1195" s="19"/>
      <c r="AL1195" s="19"/>
      <c r="AM1195" s="19"/>
      <c r="AN1195" s="19" t="n">
        <v>1</v>
      </c>
      <c r="AO1195" s="19" t="n">
        <v>1</v>
      </c>
      <c r="AP1195" s="19"/>
      <c r="AQ1195" s="19"/>
      <c r="AR1195" s="19"/>
      <c r="AS1195" s="20" t="str">
        <f aca="false">HYPERLINK("http://www.openstreetmap.org/?mlat=30.0411&amp;mlon=47.9079&amp;zoom=12#map=12/30.0411/47.9079","Maplink1")</f>
        <v>Maplink1</v>
      </c>
      <c r="AT1195" s="20" t="str">
        <f aca="false">HYPERLINK("https://www.google.iq/maps/search/+30.0411,47.9079/@30.0411,47.9079,14z?hl=en","Maplink2")</f>
        <v>Maplink2</v>
      </c>
      <c r="AU1195" s="20" t="str">
        <f aca="false">HYPERLINK("http://www.bing.com/maps/?lvl=14&amp;sty=h&amp;cp=30.0411~47.9079&amp;sp=point.30.0411_47.9079","Maplink3")</f>
        <v>Maplink3</v>
      </c>
    </row>
    <row r="1196" customFormat="false" ht="15" hidden="false" customHeight="true" outlineLevel="0" collapsed="false">
      <c r="A1196" s="15" t="n">
        <v>651</v>
      </c>
      <c r="B1196" s="16" t="s">
        <v>18</v>
      </c>
      <c r="C1196" s="16" t="s">
        <v>2338</v>
      </c>
      <c r="D1196" s="16" t="s">
        <v>2375</v>
      </c>
      <c r="E1196" s="17" t="s">
        <v>2376</v>
      </c>
      <c r="F1196" s="16" t="n">
        <v>30.03719119</v>
      </c>
      <c r="G1196" s="16" t="n">
        <v>47.91649218</v>
      </c>
      <c r="H1196" s="18" t="n">
        <v>3</v>
      </c>
      <c r="I1196" s="18" t="n">
        <v>18</v>
      </c>
      <c r="J1196" s="19" t="n">
        <v>3</v>
      </c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 t="n">
        <v>3</v>
      </c>
      <c r="AI1196" s="19"/>
      <c r="AJ1196" s="19"/>
      <c r="AK1196" s="19"/>
      <c r="AL1196" s="19"/>
      <c r="AM1196" s="19" t="n">
        <v>2</v>
      </c>
      <c r="AN1196" s="19"/>
      <c r="AO1196" s="19"/>
      <c r="AP1196" s="19" t="n">
        <v>1</v>
      </c>
      <c r="AQ1196" s="19"/>
      <c r="AR1196" s="19"/>
      <c r="AS1196" s="20" t="str">
        <f aca="false">HYPERLINK("http://www.openstreetmap.org/?mlat=30.0372&amp;mlon=47.9165&amp;zoom=12#map=12/30.0372/47.9165","Maplink1")</f>
        <v>Maplink1</v>
      </c>
      <c r="AT1196" s="20" t="str">
        <f aca="false">HYPERLINK("https://www.google.iq/maps/search/+30.0372,47.9165/@30.0372,47.9165,14z?hl=en","Maplink2")</f>
        <v>Maplink2</v>
      </c>
      <c r="AU1196" s="20" t="str">
        <f aca="false">HYPERLINK("http://www.bing.com/maps/?lvl=14&amp;sty=h&amp;cp=30.0372~47.9165&amp;sp=point.30.0372_47.9165","Maplink3")</f>
        <v>Maplink3</v>
      </c>
    </row>
    <row r="1197" customFormat="false" ht="15" hidden="false" customHeight="true" outlineLevel="0" collapsed="false">
      <c r="A1197" s="15" t="n">
        <v>756</v>
      </c>
      <c r="B1197" s="16" t="s">
        <v>18</v>
      </c>
      <c r="C1197" s="16" t="s">
        <v>2338</v>
      </c>
      <c r="D1197" s="16" t="s">
        <v>2262</v>
      </c>
      <c r="E1197" s="17" t="s">
        <v>2377</v>
      </c>
      <c r="F1197" s="16" t="n">
        <v>30.38309</v>
      </c>
      <c r="G1197" s="16" t="n">
        <v>47.729128</v>
      </c>
      <c r="H1197" s="18" t="n">
        <v>5</v>
      </c>
      <c r="I1197" s="18" t="n">
        <v>30</v>
      </c>
      <c r="J1197" s="19" t="n">
        <v>2</v>
      </c>
      <c r="K1197" s="19"/>
      <c r="L1197" s="19"/>
      <c r="M1197" s="19"/>
      <c r="N1197" s="19"/>
      <c r="O1197" s="19"/>
      <c r="P1197" s="19"/>
      <c r="Q1197" s="19"/>
      <c r="R1197" s="19" t="n">
        <v>2</v>
      </c>
      <c r="S1197" s="19"/>
      <c r="T1197" s="19"/>
      <c r="U1197" s="19"/>
      <c r="V1197" s="19"/>
      <c r="W1197" s="19"/>
      <c r="X1197" s="19" t="n">
        <v>1</v>
      </c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 t="n">
        <v>5</v>
      </c>
      <c r="AI1197" s="19"/>
      <c r="AJ1197" s="19"/>
      <c r="AK1197" s="19"/>
      <c r="AL1197" s="19"/>
      <c r="AM1197" s="19"/>
      <c r="AN1197" s="19" t="n">
        <v>3</v>
      </c>
      <c r="AO1197" s="19" t="n">
        <v>2</v>
      </c>
      <c r="AP1197" s="19"/>
      <c r="AQ1197" s="19"/>
      <c r="AR1197" s="19"/>
      <c r="AS1197" s="20" t="str">
        <f aca="false">HYPERLINK("http://www.openstreetmap.org/?mlat=30.3831&amp;mlon=47.7291&amp;zoom=12#map=12/30.3831/47.7291","Maplink1")</f>
        <v>Maplink1</v>
      </c>
      <c r="AT1197" s="20" t="str">
        <f aca="false">HYPERLINK("https://www.google.iq/maps/search/+30.3831,47.7291/@30.3831,47.7291,14z?hl=en","Maplink2")</f>
        <v>Maplink2</v>
      </c>
      <c r="AU1197" s="20" t="str">
        <f aca="false">HYPERLINK("http://www.bing.com/maps/?lvl=14&amp;sty=h&amp;cp=30.3831~47.7291&amp;sp=point.30.3831_47.7291","Maplink3")</f>
        <v>Maplink3</v>
      </c>
    </row>
    <row r="1198" customFormat="false" ht="15" hidden="false" customHeight="true" outlineLevel="0" collapsed="false">
      <c r="A1198" s="15" t="n">
        <v>22858</v>
      </c>
      <c r="B1198" s="16" t="s">
        <v>18</v>
      </c>
      <c r="C1198" s="16" t="s">
        <v>2338</v>
      </c>
      <c r="D1198" s="16" t="s">
        <v>2378</v>
      </c>
      <c r="E1198" s="17" t="s">
        <v>2379</v>
      </c>
      <c r="F1198" s="16" t="n">
        <v>30.3719289</v>
      </c>
      <c r="G1198" s="16" t="n">
        <v>47.72166951</v>
      </c>
      <c r="H1198" s="18" t="n">
        <v>3</v>
      </c>
      <c r="I1198" s="18" t="n">
        <v>18</v>
      </c>
      <c r="J1198" s="19" t="n">
        <v>1</v>
      </c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 t="n">
        <v>2</v>
      </c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 t="n">
        <v>3</v>
      </c>
      <c r="AI1198" s="19"/>
      <c r="AJ1198" s="19"/>
      <c r="AK1198" s="19"/>
      <c r="AL1198" s="19"/>
      <c r="AM1198" s="19" t="n">
        <v>1</v>
      </c>
      <c r="AN1198" s="19" t="n">
        <v>2</v>
      </c>
      <c r="AO1198" s="19"/>
      <c r="AP1198" s="19"/>
      <c r="AQ1198" s="19"/>
      <c r="AR1198" s="19"/>
      <c r="AS1198" s="20" t="str">
        <f aca="false">HYPERLINK("http://www.openstreetmap.org/?mlat=30.3719&amp;mlon=47.7217&amp;zoom=12#map=12/30.3719/47.7217","Maplink1")</f>
        <v>Maplink1</v>
      </c>
      <c r="AT1198" s="20" t="str">
        <f aca="false">HYPERLINK("https://www.google.iq/maps/search/+30.3719,47.7217/@30.3719,47.7217,14z?hl=en","Maplink2")</f>
        <v>Maplink2</v>
      </c>
      <c r="AU1198" s="20" t="str">
        <f aca="false">HYPERLINK("http://www.bing.com/maps/?lvl=14&amp;sty=h&amp;cp=30.3719~47.7217&amp;sp=point.30.3719_47.7217","Maplink3")</f>
        <v>Maplink3</v>
      </c>
    </row>
    <row r="1199" customFormat="false" ht="15" hidden="false" customHeight="true" outlineLevel="0" collapsed="false">
      <c r="A1199" s="15" t="n">
        <v>1304</v>
      </c>
      <c r="B1199" s="16" t="s">
        <v>18</v>
      </c>
      <c r="C1199" s="16" t="s">
        <v>2338</v>
      </c>
      <c r="D1199" s="16" t="s">
        <v>2380</v>
      </c>
      <c r="E1199" s="17" t="s">
        <v>2381</v>
      </c>
      <c r="F1199" s="16" t="n">
        <v>30.37142067</v>
      </c>
      <c r="G1199" s="16" t="n">
        <v>47.72241692</v>
      </c>
      <c r="H1199" s="18" t="n">
        <v>4</v>
      </c>
      <c r="I1199" s="18" t="n">
        <v>24</v>
      </c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 t="n">
        <v>1</v>
      </c>
      <c r="W1199" s="19"/>
      <c r="X1199" s="19" t="n">
        <v>3</v>
      </c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 t="n">
        <v>4</v>
      </c>
      <c r="AI1199" s="19"/>
      <c r="AJ1199" s="19"/>
      <c r="AK1199" s="19"/>
      <c r="AL1199" s="19"/>
      <c r="AM1199" s="19"/>
      <c r="AN1199" s="19"/>
      <c r="AO1199" s="19" t="n">
        <v>4</v>
      </c>
      <c r="AP1199" s="19"/>
      <c r="AQ1199" s="19"/>
      <c r="AR1199" s="19"/>
      <c r="AS1199" s="20" t="str">
        <f aca="false">HYPERLINK("http://www.openstreetmap.org/?mlat=30.3714&amp;mlon=47.7224&amp;zoom=12#map=12/30.3714/47.7224","Maplink1")</f>
        <v>Maplink1</v>
      </c>
      <c r="AT1199" s="20" t="str">
        <f aca="false">HYPERLINK("https://www.google.iq/maps/search/+30.3714,47.7224/@30.3714,47.7224,14z?hl=en","Maplink2")</f>
        <v>Maplink2</v>
      </c>
      <c r="AU1199" s="20" t="str">
        <f aca="false">HYPERLINK("http://www.bing.com/maps/?lvl=14&amp;sty=h&amp;cp=30.3714~47.7224&amp;sp=point.30.3714_47.7224","Maplink3")</f>
        <v>Maplink3</v>
      </c>
    </row>
    <row r="1200" customFormat="false" ht="15" hidden="false" customHeight="true" outlineLevel="0" collapsed="false">
      <c r="A1200" s="15" t="n">
        <v>1277</v>
      </c>
      <c r="B1200" s="16" t="s">
        <v>18</v>
      </c>
      <c r="C1200" s="16" t="s">
        <v>2338</v>
      </c>
      <c r="D1200" s="16" t="s">
        <v>918</v>
      </c>
      <c r="E1200" s="17" t="s">
        <v>2382</v>
      </c>
      <c r="F1200" s="16" t="n">
        <v>30.38211824</v>
      </c>
      <c r="G1200" s="16" t="n">
        <v>47.73034687</v>
      </c>
      <c r="H1200" s="18" t="n">
        <v>4</v>
      </c>
      <c r="I1200" s="18" t="n">
        <v>24</v>
      </c>
      <c r="J1200" s="19" t="n">
        <v>2</v>
      </c>
      <c r="K1200" s="19"/>
      <c r="L1200" s="19"/>
      <c r="M1200" s="19"/>
      <c r="N1200" s="19"/>
      <c r="O1200" s="19"/>
      <c r="P1200" s="19"/>
      <c r="Q1200" s="19"/>
      <c r="R1200" s="19" t="n">
        <v>1</v>
      </c>
      <c r="S1200" s="19"/>
      <c r="T1200" s="19"/>
      <c r="U1200" s="19"/>
      <c r="V1200" s="19"/>
      <c r="W1200" s="19"/>
      <c r="X1200" s="19" t="n">
        <v>1</v>
      </c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 t="n">
        <v>4</v>
      </c>
      <c r="AI1200" s="19"/>
      <c r="AJ1200" s="19"/>
      <c r="AK1200" s="19"/>
      <c r="AL1200" s="19" t="n">
        <v>1</v>
      </c>
      <c r="AM1200" s="19" t="n">
        <v>1</v>
      </c>
      <c r="AN1200" s="19" t="n">
        <v>1</v>
      </c>
      <c r="AO1200" s="19" t="n">
        <v>1</v>
      </c>
      <c r="AP1200" s="19"/>
      <c r="AQ1200" s="19"/>
      <c r="AR1200" s="19"/>
      <c r="AS1200" s="20" t="str">
        <f aca="false">HYPERLINK("http://www.openstreetmap.org/?mlat=30.3821&amp;mlon=47.7303&amp;zoom=12#map=12/30.3821/47.7303","Maplink1")</f>
        <v>Maplink1</v>
      </c>
      <c r="AT1200" s="20" t="str">
        <f aca="false">HYPERLINK("https://www.google.iq/maps/search/+30.3821,47.7303/@30.3821,47.7303,14z?hl=en","Maplink2")</f>
        <v>Maplink2</v>
      </c>
      <c r="AU1200" s="20" t="str">
        <f aca="false">HYPERLINK("http://www.bing.com/maps/?lvl=14&amp;sty=h&amp;cp=30.3821~47.7303&amp;sp=point.30.3821_47.7303","Maplink3")</f>
        <v>Maplink3</v>
      </c>
    </row>
    <row r="1201" customFormat="false" ht="15" hidden="false" customHeight="true" outlineLevel="0" collapsed="false">
      <c r="A1201" s="15" t="n">
        <v>29677</v>
      </c>
      <c r="B1201" s="16" t="s">
        <v>18</v>
      </c>
      <c r="C1201" s="16" t="s">
        <v>2338</v>
      </c>
      <c r="D1201" s="16" t="s">
        <v>2383</v>
      </c>
      <c r="E1201" s="17" t="s">
        <v>2384</v>
      </c>
      <c r="F1201" s="16" t="n">
        <v>30.399651</v>
      </c>
      <c r="G1201" s="16" t="n">
        <v>47.674723</v>
      </c>
      <c r="H1201" s="18" t="n">
        <v>4</v>
      </c>
      <c r="I1201" s="18" t="n">
        <v>24</v>
      </c>
      <c r="J1201" s="19" t="n">
        <v>1</v>
      </c>
      <c r="K1201" s="19"/>
      <c r="L1201" s="19"/>
      <c r="M1201" s="19"/>
      <c r="N1201" s="19"/>
      <c r="O1201" s="19"/>
      <c r="P1201" s="19"/>
      <c r="Q1201" s="19"/>
      <c r="R1201" s="19" t="n">
        <v>3</v>
      </c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 t="n">
        <v>4</v>
      </c>
      <c r="AI1201" s="19"/>
      <c r="AJ1201" s="19"/>
      <c r="AK1201" s="19"/>
      <c r="AL1201" s="19"/>
      <c r="AM1201" s="19"/>
      <c r="AN1201" s="19"/>
      <c r="AO1201" s="19" t="n">
        <v>4</v>
      </c>
      <c r="AP1201" s="19"/>
      <c r="AQ1201" s="19"/>
      <c r="AR1201" s="19"/>
      <c r="AS1201" s="20" t="str">
        <f aca="false">HYPERLINK("http://www.openstreetmap.org/?mlat=30.3997&amp;mlon=47.6747&amp;zoom=12#map=12/30.3997/47.6747","Maplink1")</f>
        <v>Maplink1</v>
      </c>
      <c r="AT1201" s="20" t="str">
        <f aca="false">HYPERLINK("https://www.google.iq/maps/search/+30.3997,47.6747/@30.3997,47.6747,14z?hl=en","Maplink2")</f>
        <v>Maplink2</v>
      </c>
      <c r="AU1201" s="20" t="str">
        <f aca="false">HYPERLINK("http://www.bing.com/maps/?lvl=14&amp;sty=h&amp;cp=30.3997~47.6747&amp;sp=point.30.3997_47.6747","Maplink3")</f>
        <v>Maplink3</v>
      </c>
    </row>
    <row r="1202" customFormat="false" ht="15" hidden="false" customHeight="true" outlineLevel="0" collapsed="false">
      <c r="A1202" s="15" t="n">
        <v>1311</v>
      </c>
      <c r="B1202" s="16" t="s">
        <v>18</v>
      </c>
      <c r="C1202" s="16" t="s">
        <v>2338</v>
      </c>
      <c r="D1202" s="16" t="s">
        <v>2385</v>
      </c>
      <c r="E1202" s="17" t="s">
        <v>581</v>
      </c>
      <c r="F1202" s="16" t="n">
        <v>30.38195567</v>
      </c>
      <c r="G1202" s="16" t="n">
        <v>47.71761493</v>
      </c>
      <c r="H1202" s="18" t="n">
        <v>4</v>
      </c>
      <c r="I1202" s="18" t="n">
        <v>24</v>
      </c>
      <c r="J1202" s="19" t="n">
        <v>3</v>
      </c>
      <c r="K1202" s="19"/>
      <c r="L1202" s="19"/>
      <c r="M1202" s="19"/>
      <c r="N1202" s="19"/>
      <c r="O1202" s="19"/>
      <c r="P1202" s="19"/>
      <c r="Q1202" s="19"/>
      <c r="R1202" s="19" t="n">
        <v>1</v>
      </c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 t="n">
        <v>3</v>
      </c>
      <c r="AD1202" s="19"/>
      <c r="AE1202" s="19"/>
      <c r="AF1202" s="19"/>
      <c r="AG1202" s="19"/>
      <c r="AH1202" s="19" t="n">
        <v>1</v>
      </c>
      <c r="AI1202" s="19"/>
      <c r="AJ1202" s="19"/>
      <c r="AK1202" s="19"/>
      <c r="AL1202" s="19" t="n">
        <v>3</v>
      </c>
      <c r="AM1202" s="19"/>
      <c r="AN1202" s="19"/>
      <c r="AO1202" s="19" t="n">
        <v>1</v>
      </c>
      <c r="AP1202" s="19"/>
      <c r="AQ1202" s="19"/>
      <c r="AR1202" s="19"/>
      <c r="AS1202" s="20" t="str">
        <f aca="false">HYPERLINK("http://www.openstreetmap.org/?mlat=30.382&amp;mlon=47.7176&amp;zoom=12#map=12/30.382/47.7176","Maplink1")</f>
        <v>Maplink1</v>
      </c>
      <c r="AT1202" s="20" t="str">
        <f aca="false">HYPERLINK("https://www.google.iq/maps/search/+30.382,47.7176/@30.382,47.7176,14z?hl=en","Maplink2")</f>
        <v>Maplink2</v>
      </c>
      <c r="AU1202" s="20" t="str">
        <f aca="false">HYPERLINK("http://www.bing.com/maps/?lvl=14&amp;sty=h&amp;cp=30.382~47.7176&amp;sp=point.30.382_47.7176","Maplink3")</f>
        <v>Maplink3</v>
      </c>
    </row>
    <row r="1203" customFormat="false" ht="15" hidden="false" customHeight="true" outlineLevel="0" collapsed="false">
      <c r="A1203" s="15" t="n">
        <v>759</v>
      </c>
      <c r="B1203" s="16" t="s">
        <v>18</v>
      </c>
      <c r="C1203" s="16" t="s">
        <v>2338</v>
      </c>
      <c r="D1203" s="16" t="s">
        <v>2386</v>
      </c>
      <c r="E1203" s="17" t="s">
        <v>2387</v>
      </c>
      <c r="F1203" s="16" t="n">
        <v>30.38304637</v>
      </c>
      <c r="G1203" s="16" t="n">
        <v>47.71895528</v>
      </c>
      <c r="H1203" s="18" t="n">
        <v>1</v>
      </c>
      <c r="I1203" s="18" t="n">
        <v>6</v>
      </c>
      <c r="J1203" s="19"/>
      <c r="K1203" s="19"/>
      <c r="L1203" s="19"/>
      <c r="M1203" s="19"/>
      <c r="N1203" s="19"/>
      <c r="O1203" s="19" t="n">
        <v>1</v>
      </c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 t="n">
        <v>1</v>
      </c>
      <c r="AI1203" s="19"/>
      <c r="AJ1203" s="19"/>
      <c r="AK1203" s="19"/>
      <c r="AL1203" s="19"/>
      <c r="AM1203" s="19" t="n">
        <v>1</v>
      </c>
      <c r="AN1203" s="19"/>
      <c r="AO1203" s="19"/>
      <c r="AP1203" s="19"/>
      <c r="AQ1203" s="19"/>
      <c r="AR1203" s="19"/>
      <c r="AS1203" s="20" t="str">
        <f aca="false">HYPERLINK("http://www.openstreetmap.org/?mlat=30.383&amp;mlon=47.719&amp;zoom=12#map=12/30.383/47.719","Maplink1")</f>
        <v>Maplink1</v>
      </c>
      <c r="AT1203" s="20" t="str">
        <f aca="false">HYPERLINK("https://www.google.iq/maps/search/+30.383,47.719/@30.383,47.719,14z?hl=en","Maplink2")</f>
        <v>Maplink2</v>
      </c>
      <c r="AU1203" s="20" t="str">
        <f aca="false">HYPERLINK("http://www.bing.com/maps/?lvl=14&amp;sty=h&amp;cp=30.383~47.719&amp;sp=point.30.383_47.719","Maplink3")</f>
        <v>Maplink3</v>
      </c>
    </row>
    <row r="1204" customFormat="false" ht="15" hidden="false" customHeight="true" outlineLevel="0" collapsed="false">
      <c r="A1204" s="15" t="n">
        <v>755</v>
      </c>
      <c r="B1204" s="16" t="s">
        <v>18</v>
      </c>
      <c r="C1204" s="16" t="s">
        <v>2338</v>
      </c>
      <c r="D1204" s="16" t="s">
        <v>2388</v>
      </c>
      <c r="E1204" s="17" t="s">
        <v>241</v>
      </c>
      <c r="F1204" s="16" t="n">
        <v>30.38082529</v>
      </c>
      <c r="G1204" s="16" t="n">
        <v>47.71605656</v>
      </c>
      <c r="H1204" s="18" t="n">
        <v>1</v>
      </c>
      <c r="I1204" s="18" t="n">
        <v>6</v>
      </c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 t="n">
        <v>1</v>
      </c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 t="n">
        <v>1</v>
      </c>
      <c r="AI1204" s="19"/>
      <c r="AJ1204" s="19"/>
      <c r="AK1204" s="19"/>
      <c r="AL1204" s="19"/>
      <c r="AM1204" s="19" t="n">
        <v>1</v>
      </c>
      <c r="AN1204" s="19"/>
      <c r="AO1204" s="19"/>
      <c r="AP1204" s="19"/>
      <c r="AQ1204" s="19"/>
      <c r="AR1204" s="19"/>
      <c r="AS1204" s="20" t="str">
        <f aca="false">HYPERLINK("http://www.openstreetmap.org/?mlat=30.3808&amp;mlon=47.7161&amp;zoom=12#map=12/30.3808/47.7161","Maplink1")</f>
        <v>Maplink1</v>
      </c>
      <c r="AT1204" s="20" t="str">
        <f aca="false">HYPERLINK("https://www.google.iq/maps/search/+30.3808,47.7161/@30.3808,47.7161,14z?hl=en","Maplink2")</f>
        <v>Maplink2</v>
      </c>
      <c r="AU1204" s="20" t="str">
        <f aca="false">HYPERLINK("http://www.bing.com/maps/?lvl=14&amp;sty=h&amp;cp=30.3808~47.7161&amp;sp=point.30.3808_47.7161","Maplink3")</f>
        <v>Maplink3</v>
      </c>
    </row>
    <row r="1205" customFormat="false" ht="15" hidden="false" customHeight="true" outlineLevel="0" collapsed="false">
      <c r="A1205" s="15" t="n">
        <v>25225</v>
      </c>
      <c r="B1205" s="16" t="s">
        <v>18</v>
      </c>
      <c r="C1205" s="16" t="s">
        <v>2338</v>
      </c>
      <c r="D1205" s="16" t="s">
        <v>2389</v>
      </c>
      <c r="E1205" s="17" t="s">
        <v>2390</v>
      </c>
      <c r="F1205" s="16" t="n">
        <v>30.35935752</v>
      </c>
      <c r="G1205" s="16" t="n">
        <v>47.72637444</v>
      </c>
      <c r="H1205" s="18" t="n">
        <v>3</v>
      </c>
      <c r="I1205" s="18" t="n">
        <v>18</v>
      </c>
      <c r="J1205" s="19"/>
      <c r="K1205" s="19"/>
      <c r="L1205" s="19"/>
      <c r="M1205" s="19"/>
      <c r="N1205" s="19"/>
      <c r="O1205" s="19"/>
      <c r="P1205" s="19"/>
      <c r="Q1205" s="19"/>
      <c r="R1205" s="19" t="n">
        <v>1</v>
      </c>
      <c r="S1205" s="19"/>
      <c r="T1205" s="19"/>
      <c r="U1205" s="19"/>
      <c r="V1205" s="19"/>
      <c r="W1205" s="19"/>
      <c r="X1205" s="19" t="n">
        <v>2</v>
      </c>
      <c r="Y1205" s="19"/>
      <c r="Z1205" s="19"/>
      <c r="AA1205" s="19"/>
      <c r="AB1205" s="19"/>
      <c r="AC1205" s="19" t="n">
        <v>1</v>
      </c>
      <c r="AD1205" s="19"/>
      <c r="AE1205" s="19"/>
      <c r="AF1205" s="19"/>
      <c r="AG1205" s="19"/>
      <c r="AH1205" s="19" t="n">
        <v>2</v>
      </c>
      <c r="AI1205" s="19"/>
      <c r="AJ1205" s="19"/>
      <c r="AK1205" s="19"/>
      <c r="AL1205" s="19"/>
      <c r="AM1205" s="19" t="n">
        <v>2</v>
      </c>
      <c r="AN1205" s="19" t="n">
        <v>1</v>
      </c>
      <c r="AO1205" s="19"/>
      <c r="AP1205" s="19"/>
      <c r="AQ1205" s="19"/>
      <c r="AR1205" s="19"/>
      <c r="AS1205" s="20" t="str">
        <f aca="false">HYPERLINK("http://www.openstreetmap.org/?mlat=30.3594&amp;mlon=47.7264&amp;zoom=12#map=12/30.3594/47.7264","Maplink1")</f>
        <v>Maplink1</v>
      </c>
      <c r="AT1205" s="20" t="str">
        <f aca="false">HYPERLINK("https://www.google.iq/maps/search/+30.3594,47.7264/@30.3594,47.7264,14z?hl=en","Maplink2")</f>
        <v>Maplink2</v>
      </c>
      <c r="AU1205" s="20" t="str">
        <f aca="false">HYPERLINK("http://www.bing.com/maps/?lvl=14&amp;sty=h&amp;cp=30.3594~47.7264&amp;sp=point.30.3594_47.7264","Maplink3")</f>
        <v>Maplink3</v>
      </c>
    </row>
    <row r="1206" customFormat="false" ht="15" hidden="false" customHeight="true" outlineLevel="0" collapsed="false">
      <c r="A1206" s="15" t="n">
        <v>25226</v>
      </c>
      <c r="B1206" s="16" t="s">
        <v>18</v>
      </c>
      <c r="C1206" s="16" t="s">
        <v>2338</v>
      </c>
      <c r="D1206" s="16" t="s">
        <v>2391</v>
      </c>
      <c r="E1206" s="17" t="s">
        <v>2392</v>
      </c>
      <c r="F1206" s="16" t="n">
        <v>30.36506681</v>
      </c>
      <c r="G1206" s="16" t="n">
        <v>47.72071573</v>
      </c>
      <c r="H1206" s="18" t="n">
        <v>5</v>
      </c>
      <c r="I1206" s="18" t="n">
        <v>30</v>
      </c>
      <c r="J1206" s="19" t="n">
        <v>2</v>
      </c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 t="n">
        <v>3</v>
      </c>
      <c r="Y1206" s="19"/>
      <c r="Z1206" s="19"/>
      <c r="AA1206" s="19"/>
      <c r="AB1206" s="19"/>
      <c r="AC1206" s="19" t="n">
        <v>1</v>
      </c>
      <c r="AD1206" s="19"/>
      <c r="AE1206" s="19"/>
      <c r="AF1206" s="19"/>
      <c r="AG1206" s="19"/>
      <c r="AH1206" s="19" t="n">
        <v>4</v>
      </c>
      <c r="AI1206" s="19"/>
      <c r="AJ1206" s="19"/>
      <c r="AK1206" s="19"/>
      <c r="AL1206" s="19" t="n">
        <v>2</v>
      </c>
      <c r="AM1206" s="19"/>
      <c r="AN1206" s="19"/>
      <c r="AO1206" s="19" t="n">
        <v>2</v>
      </c>
      <c r="AP1206" s="19" t="n">
        <v>1</v>
      </c>
      <c r="AQ1206" s="19"/>
      <c r="AR1206" s="19"/>
      <c r="AS1206" s="20" t="str">
        <f aca="false">HYPERLINK("http://www.openstreetmap.org/?mlat=30.3651&amp;mlon=47.7207&amp;zoom=12#map=12/30.3651/47.7207","Maplink1")</f>
        <v>Maplink1</v>
      </c>
      <c r="AT1206" s="20" t="str">
        <f aca="false">HYPERLINK("https://www.google.iq/maps/search/+30.3651,47.7207/@30.3651,47.7207,14z?hl=en","Maplink2")</f>
        <v>Maplink2</v>
      </c>
      <c r="AU1206" s="20" t="str">
        <f aca="false">HYPERLINK("http://www.bing.com/maps/?lvl=14&amp;sty=h&amp;cp=30.3651~47.7207&amp;sp=point.30.3651_47.7207","Maplink3")</f>
        <v>Maplink3</v>
      </c>
    </row>
    <row r="1207" customFormat="false" ht="15" hidden="false" customHeight="true" outlineLevel="0" collapsed="false">
      <c r="A1207" s="15" t="n">
        <v>25227</v>
      </c>
      <c r="B1207" s="16" t="s">
        <v>18</v>
      </c>
      <c r="C1207" s="16" t="s">
        <v>2338</v>
      </c>
      <c r="D1207" s="16" t="s">
        <v>2393</v>
      </c>
      <c r="E1207" s="17" t="s">
        <v>2394</v>
      </c>
      <c r="F1207" s="16" t="n">
        <v>30.36135098</v>
      </c>
      <c r="G1207" s="16" t="n">
        <v>47.72381393</v>
      </c>
      <c r="H1207" s="18" t="n">
        <v>6</v>
      </c>
      <c r="I1207" s="18" t="n">
        <v>36</v>
      </c>
      <c r="J1207" s="19" t="n">
        <v>5</v>
      </c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 t="n">
        <v>1</v>
      </c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 t="n">
        <v>6</v>
      </c>
      <c r="AI1207" s="19"/>
      <c r="AJ1207" s="19"/>
      <c r="AK1207" s="19"/>
      <c r="AL1207" s="19"/>
      <c r="AM1207" s="19" t="n">
        <v>5</v>
      </c>
      <c r="AN1207" s="19"/>
      <c r="AO1207" s="19" t="n">
        <v>1</v>
      </c>
      <c r="AP1207" s="19"/>
      <c r="AQ1207" s="19"/>
      <c r="AR1207" s="19"/>
      <c r="AS1207" s="20" t="str">
        <f aca="false">HYPERLINK("http://www.openstreetmap.org/?mlat=30.3614&amp;mlon=47.7238&amp;zoom=12#map=12/30.3614/47.7238","Maplink1")</f>
        <v>Maplink1</v>
      </c>
      <c r="AT1207" s="20" t="str">
        <f aca="false">HYPERLINK("https://www.google.iq/maps/search/+30.3614,47.7238/@30.3614,47.7238,14z?hl=en","Maplink2")</f>
        <v>Maplink2</v>
      </c>
      <c r="AU1207" s="20" t="str">
        <f aca="false">HYPERLINK("http://www.bing.com/maps/?lvl=14&amp;sty=h&amp;cp=30.3614~47.7238&amp;sp=point.30.3614_47.7238","Maplink3")</f>
        <v>Maplink3</v>
      </c>
    </row>
    <row r="1208" customFormat="false" ht="15" hidden="false" customHeight="true" outlineLevel="0" collapsed="false">
      <c r="A1208" s="15" t="n">
        <v>657</v>
      </c>
      <c r="B1208" s="16" t="s">
        <v>18</v>
      </c>
      <c r="C1208" s="16" t="s">
        <v>2338</v>
      </c>
      <c r="D1208" s="16" t="s">
        <v>2395</v>
      </c>
      <c r="E1208" s="17" t="s">
        <v>2396</v>
      </c>
      <c r="F1208" s="16" t="n">
        <v>30.04174478</v>
      </c>
      <c r="G1208" s="16" t="n">
        <v>47.91280649</v>
      </c>
      <c r="H1208" s="18" t="n">
        <v>5</v>
      </c>
      <c r="I1208" s="18" t="n">
        <v>30</v>
      </c>
      <c r="J1208" s="19" t="n">
        <v>3</v>
      </c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 t="n">
        <v>2</v>
      </c>
      <c r="Y1208" s="19"/>
      <c r="Z1208" s="19"/>
      <c r="AA1208" s="19"/>
      <c r="AB1208" s="19"/>
      <c r="AC1208" s="19"/>
      <c r="AD1208" s="19"/>
      <c r="AE1208" s="19" t="n">
        <v>2</v>
      </c>
      <c r="AF1208" s="19"/>
      <c r="AG1208" s="19"/>
      <c r="AH1208" s="19" t="n">
        <v>3</v>
      </c>
      <c r="AI1208" s="19"/>
      <c r="AJ1208" s="19"/>
      <c r="AK1208" s="19"/>
      <c r="AL1208" s="19"/>
      <c r="AM1208" s="19"/>
      <c r="AN1208" s="19" t="n">
        <v>2</v>
      </c>
      <c r="AO1208" s="19" t="n">
        <v>1</v>
      </c>
      <c r="AP1208" s="19" t="n">
        <v>2</v>
      </c>
      <c r="AQ1208" s="19"/>
      <c r="AR1208" s="19"/>
      <c r="AS1208" s="20" t="str">
        <f aca="false">HYPERLINK("http://www.openstreetmap.org/?mlat=30.0417&amp;mlon=47.9128&amp;zoom=12#map=12/30.0417/47.9128","Maplink1")</f>
        <v>Maplink1</v>
      </c>
      <c r="AT1208" s="20" t="str">
        <f aca="false">HYPERLINK("https://www.google.iq/maps/search/+30.0417,47.9128/@30.0417,47.9128,14z?hl=en","Maplink2")</f>
        <v>Maplink2</v>
      </c>
      <c r="AU1208" s="20" t="str">
        <f aca="false">HYPERLINK("http://www.bing.com/maps/?lvl=14&amp;sty=h&amp;cp=30.0417~47.9128&amp;sp=point.30.0417_47.9128","Maplink3")</f>
        <v>Maplink3</v>
      </c>
    </row>
    <row r="1209" customFormat="false" ht="15" hidden="false" customHeight="true" outlineLevel="0" collapsed="false">
      <c r="A1209" s="15" t="n">
        <v>25725</v>
      </c>
      <c r="B1209" s="16" t="s">
        <v>18</v>
      </c>
      <c r="C1209" s="16" t="s">
        <v>2338</v>
      </c>
      <c r="D1209" s="16" t="s">
        <v>2397</v>
      </c>
      <c r="E1209" s="17" t="s">
        <v>2398</v>
      </c>
      <c r="F1209" s="16" t="n">
        <v>30.38936092</v>
      </c>
      <c r="G1209" s="16" t="n">
        <v>47.72207645</v>
      </c>
      <c r="H1209" s="18" t="n">
        <v>8</v>
      </c>
      <c r="I1209" s="18" t="n">
        <v>48</v>
      </c>
      <c r="J1209" s="19"/>
      <c r="K1209" s="19"/>
      <c r="L1209" s="19" t="n">
        <v>2</v>
      </c>
      <c r="M1209" s="19"/>
      <c r="N1209" s="19"/>
      <c r="O1209" s="19"/>
      <c r="P1209" s="19"/>
      <c r="Q1209" s="19"/>
      <c r="R1209" s="19"/>
      <c r="S1209" s="19"/>
      <c r="T1209" s="19"/>
      <c r="U1209" s="19"/>
      <c r="V1209" s="19" t="n">
        <v>3</v>
      </c>
      <c r="W1209" s="19"/>
      <c r="X1209" s="19" t="n">
        <v>3</v>
      </c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 t="n">
        <v>8</v>
      </c>
      <c r="AI1209" s="19"/>
      <c r="AJ1209" s="19"/>
      <c r="AK1209" s="19"/>
      <c r="AL1209" s="19" t="n">
        <v>2</v>
      </c>
      <c r="AM1209" s="19"/>
      <c r="AN1209" s="19" t="n">
        <v>1</v>
      </c>
      <c r="AO1209" s="19" t="n">
        <v>3</v>
      </c>
      <c r="AP1209" s="19"/>
      <c r="AQ1209" s="19" t="n">
        <v>2</v>
      </c>
      <c r="AR1209" s="19"/>
      <c r="AS1209" s="20" t="str">
        <f aca="false">HYPERLINK("http://www.openstreetmap.org/?mlat=30.3894&amp;mlon=47.7221&amp;zoom=12#map=12/30.3894/47.7221","Maplink1")</f>
        <v>Maplink1</v>
      </c>
      <c r="AT1209" s="20" t="str">
        <f aca="false">HYPERLINK("https://www.google.iq/maps/search/+30.3894,47.7221/@30.3894,47.7221,14z?hl=en","Maplink2")</f>
        <v>Maplink2</v>
      </c>
      <c r="AU1209" s="20" t="str">
        <f aca="false">HYPERLINK("http://www.bing.com/maps/?lvl=14&amp;sty=h&amp;cp=30.3894~47.7221&amp;sp=point.30.3894_47.7221","Maplink3")</f>
        <v>Maplink3</v>
      </c>
    </row>
    <row r="1210" customFormat="false" ht="15" hidden="false" customHeight="true" outlineLevel="0" collapsed="false">
      <c r="A1210" s="15" t="n">
        <v>28408</v>
      </c>
      <c r="B1210" s="16" t="s">
        <v>18</v>
      </c>
      <c r="C1210" s="16" t="s">
        <v>2338</v>
      </c>
      <c r="D1210" s="16" t="s">
        <v>2399</v>
      </c>
      <c r="E1210" s="17" t="s">
        <v>2400</v>
      </c>
      <c r="F1210" s="16" t="n">
        <v>30.22664508</v>
      </c>
      <c r="G1210" s="16" t="n">
        <v>47.765013</v>
      </c>
      <c r="H1210" s="18" t="n">
        <v>18</v>
      </c>
      <c r="I1210" s="18" t="n">
        <v>108</v>
      </c>
      <c r="J1210" s="19" t="n">
        <v>10</v>
      </c>
      <c r="K1210" s="19"/>
      <c r="L1210" s="19"/>
      <c r="M1210" s="19"/>
      <c r="N1210" s="19"/>
      <c r="O1210" s="19"/>
      <c r="P1210" s="19"/>
      <c r="Q1210" s="19"/>
      <c r="R1210" s="19" t="n">
        <v>2</v>
      </c>
      <c r="S1210" s="19"/>
      <c r="T1210" s="19"/>
      <c r="U1210" s="19"/>
      <c r="V1210" s="19"/>
      <c r="W1210" s="19"/>
      <c r="X1210" s="19" t="n">
        <v>6</v>
      </c>
      <c r="Y1210" s="19"/>
      <c r="Z1210" s="19"/>
      <c r="AA1210" s="19"/>
      <c r="AB1210" s="19"/>
      <c r="AC1210" s="19" t="n">
        <v>1</v>
      </c>
      <c r="AD1210" s="19"/>
      <c r="AE1210" s="19"/>
      <c r="AF1210" s="19"/>
      <c r="AG1210" s="19"/>
      <c r="AH1210" s="19" t="n">
        <v>17</v>
      </c>
      <c r="AI1210" s="19"/>
      <c r="AJ1210" s="19"/>
      <c r="AK1210" s="19"/>
      <c r="AL1210" s="19"/>
      <c r="AM1210" s="19" t="n">
        <v>1</v>
      </c>
      <c r="AN1210" s="19"/>
      <c r="AO1210" s="19" t="n">
        <v>11</v>
      </c>
      <c r="AP1210" s="19" t="n">
        <v>5</v>
      </c>
      <c r="AQ1210" s="19"/>
      <c r="AR1210" s="19" t="n">
        <v>1</v>
      </c>
      <c r="AS1210" s="20" t="str">
        <f aca="false">HYPERLINK("http://www.openstreetmap.org/?mlat=30.2266&amp;mlon=47.765&amp;zoom=12#map=12/30.2266/47.765","Maplink1")</f>
        <v>Maplink1</v>
      </c>
      <c r="AT1210" s="20" t="str">
        <f aca="false">HYPERLINK("https://www.google.iq/maps/search/+30.2266,47.765/@30.2266,47.765,14z?hl=en","Maplink2")</f>
        <v>Maplink2</v>
      </c>
      <c r="AU1210" s="20" t="str">
        <f aca="false">HYPERLINK("http://www.bing.com/maps/?lvl=14&amp;sty=h&amp;cp=30.2266~47.765&amp;sp=point.30.2266_47.765","Maplink3")</f>
        <v>Maplink3</v>
      </c>
    </row>
    <row r="1211" customFormat="false" ht="15" hidden="false" customHeight="true" outlineLevel="0" collapsed="false">
      <c r="A1211" s="15" t="n">
        <v>27196</v>
      </c>
      <c r="B1211" s="16" t="s">
        <v>18</v>
      </c>
      <c r="C1211" s="16" t="s">
        <v>2338</v>
      </c>
      <c r="D1211" s="16" t="s">
        <v>2401</v>
      </c>
      <c r="E1211" s="17" t="s">
        <v>2402</v>
      </c>
      <c r="F1211" s="16" t="n">
        <v>30.22728437</v>
      </c>
      <c r="G1211" s="16" t="n">
        <v>47.77031925</v>
      </c>
      <c r="H1211" s="18" t="n">
        <v>8</v>
      </c>
      <c r="I1211" s="18" t="n">
        <v>48</v>
      </c>
      <c r="J1211" s="19" t="n">
        <v>4</v>
      </c>
      <c r="K1211" s="19" t="n">
        <v>1</v>
      </c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 t="n">
        <v>3</v>
      </c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 t="n">
        <v>8</v>
      </c>
      <c r="AI1211" s="19"/>
      <c r="AJ1211" s="19"/>
      <c r="AK1211" s="19"/>
      <c r="AL1211" s="19"/>
      <c r="AM1211" s="19"/>
      <c r="AN1211" s="19" t="n">
        <v>1</v>
      </c>
      <c r="AO1211" s="19" t="n">
        <v>7</v>
      </c>
      <c r="AP1211" s="19"/>
      <c r="AQ1211" s="19"/>
      <c r="AR1211" s="19"/>
      <c r="AS1211" s="20" t="str">
        <f aca="false">HYPERLINK("http://www.openstreetmap.org/?mlat=30.2273&amp;mlon=47.7703&amp;zoom=12#map=12/30.2273/47.7703","Maplink1")</f>
        <v>Maplink1</v>
      </c>
      <c r="AT1211" s="20" t="str">
        <f aca="false">HYPERLINK("https://www.google.iq/maps/search/+30.2273,47.7703/@30.2273,47.7703,14z?hl=en","Maplink2")</f>
        <v>Maplink2</v>
      </c>
      <c r="AU1211" s="20" t="str">
        <f aca="false">HYPERLINK("http://www.bing.com/maps/?lvl=14&amp;sty=h&amp;cp=30.2273~47.7703&amp;sp=point.30.2273_47.7703","Maplink3")</f>
        <v>Maplink3</v>
      </c>
    </row>
    <row r="1212" customFormat="false" ht="15" hidden="false" customHeight="true" outlineLevel="0" collapsed="false">
      <c r="A1212" s="15" t="n">
        <v>23898</v>
      </c>
      <c r="B1212" s="16" t="s">
        <v>18</v>
      </c>
      <c r="C1212" s="16" t="s">
        <v>2338</v>
      </c>
      <c r="D1212" s="16" t="s">
        <v>2403</v>
      </c>
      <c r="E1212" s="17" t="s">
        <v>2404</v>
      </c>
      <c r="F1212" s="16" t="n">
        <v>30.23393583</v>
      </c>
      <c r="G1212" s="16" t="n">
        <v>47.76270906</v>
      </c>
      <c r="H1212" s="18" t="n">
        <v>1</v>
      </c>
      <c r="I1212" s="18" t="n">
        <v>6</v>
      </c>
      <c r="J1212" s="19" t="n">
        <v>1</v>
      </c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 t="n">
        <v>1</v>
      </c>
      <c r="AI1212" s="19"/>
      <c r="AJ1212" s="19"/>
      <c r="AK1212" s="19"/>
      <c r="AL1212" s="19"/>
      <c r="AM1212" s="19"/>
      <c r="AN1212" s="19"/>
      <c r="AO1212" s="19" t="n">
        <v>1</v>
      </c>
      <c r="AP1212" s="19"/>
      <c r="AQ1212" s="19"/>
      <c r="AR1212" s="19"/>
      <c r="AS1212" s="20" t="str">
        <f aca="false">HYPERLINK("http://www.openstreetmap.org/?mlat=30.2339&amp;mlon=47.7627&amp;zoom=12#map=12/30.2339/47.7627","Maplink1")</f>
        <v>Maplink1</v>
      </c>
      <c r="AT1212" s="20" t="str">
        <f aca="false">HYPERLINK("https://www.google.iq/maps/search/+30.2339,47.7627/@30.2339,47.7627,14z?hl=en","Maplink2")</f>
        <v>Maplink2</v>
      </c>
      <c r="AU1212" s="20" t="str">
        <f aca="false">HYPERLINK("http://www.bing.com/maps/?lvl=14&amp;sty=h&amp;cp=30.2339~47.7627&amp;sp=point.30.2339_47.7627","Maplink3")</f>
        <v>Maplink3</v>
      </c>
    </row>
    <row r="1213" customFormat="false" ht="15" hidden="false" customHeight="true" outlineLevel="0" collapsed="false">
      <c r="A1213" s="15" t="n">
        <v>26111</v>
      </c>
      <c r="B1213" s="16" t="s">
        <v>18</v>
      </c>
      <c r="C1213" s="16" t="s">
        <v>2338</v>
      </c>
      <c r="D1213" s="16" t="s">
        <v>2405</v>
      </c>
      <c r="E1213" s="17" t="s">
        <v>2406</v>
      </c>
      <c r="F1213" s="16" t="n">
        <v>30.22450958</v>
      </c>
      <c r="G1213" s="16" t="n">
        <v>47.77697423</v>
      </c>
      <c r="H1213" s="18" t="n">
        <v>8</v>
      </c>
      <c r="I1213" s="18" t="n">
        <v>48</v>
      </c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 t="n">
        <v>2</v>
      </c>
      <c r="W1213" s="19"/>
      <c r="X1213" s="19" t="n">
        <v>6</v>
      </c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 t="n">
        <v>8</v>
      </c>
      <c r="AI1213" s="19"/>
      <c r="AJ1213" s="19"/>
      <c r="AK1213" s="19"/>
      <c r="AL1213" s="19"/>
      <c r="AM1213" s="19" t="n">
        <v>4</v>
      </c>
      <c r="AN1213" s="19" t="n">
        <v>1</v>
      </c>
      <c r="AO1213" s="19" t="n">
        <v>1</v>
      </c>
      <c r="AP1213" s="19"/>
      <c r="AQ1213" s="19" t="n">
        <v>1</v>
      </c>
      <c r="AR1213" s="19" t="n">
        <v>1</v>
      </c>
      <c r="AS1213" s="20" t="str">
        <f aca="false">HYPERLINK("http://www.openstreetmap.org/?mlat=30.2245&amp;mlon=47.777&amp;zoom=12#map=12/30.2245/47.777","Maplink1")</f>
        <v>Maplink1</v>
      </c>
      <c r="AT1213" s="20" t="str">
        <f aca="false">HYPERLINK("https://www.google.iq/maps/search/+30.2245,47.777/@30.2245,47.777,14z?hl=en","Maplink2")</f>
        <v>Maplink2</v>
      </c>
      <c r="AU1213" s="20" t="str">
        <f aca="false">HYPERLINK("http://www.bing.com/maps/?lvl=14&amp;sty=h&amp;cp=30.2245~47.777&amp;sp=point.30.2245_47.777","Maplink3")</f>
        <v>Maplink3</v>
      </c>
    </row>
    <row r="1214" customFormat="false" ht="15" hidden="false" customHeight="true" outlineLevel="0" collapsed="false">
      <c r="A1214" s="15" t="n">
        <v>26107</v>
      </c>
      <c r="B1214" s="16" t="s">
        <v>18</v>
      </c>
      <c r="C1214" s="16" t="s">
        <v>2338</v>
      </c>
      <c r="D1214" s="16" t="s">
        <v>2407</v>
      </c>
      <c r="E1214" s="17" t="s">
        <v>2408</v>
      </c>
      <c r="F1214" s="16" t="n">
        <v>30.23393981</v>
      </c>
      <c r="G1214" s="16" t="n">
        <v>47.75843698</v>
      </c>
      <c r="H1214" s="18" t="n">
        <v>9</v>
      </c>
      <c r="I1214" s="18" t="n">
        <v>54</v>
      </c>
      <c r="J1214" s="19" t="n">
        <v>7</v>
      </c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 t="n">
        <v>2</v>
      </c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 t="n">
        <v>9</v>
      </c>
      <c r="AI1214" s="19"/>
      <c r="AJ1214" s="19"/>
      <c r="AK1214" s="19"/>
      <c r="AL1214" s="19"/>
      <c r="AM1214" s="19"/>
      <c r="AN1214" s="19"/>
      <c r="AO1214" s="19" t="n">
        <v>6</v>
      </c>
      <c r="AP1214" s="19" t="n">
        <v>3</v>
      </c>
      <c r="AQ1214" s="19"/>
      <c r="AR1214" s="19"/>
      <c r="AS1214" s="20" t="str">
        <f aca="false">HYPERLINK("http://www.openstreetmap.org/?mlat=30.2339&amp;mlon=47.7584&amp;zoom=12#map=12/30.2339/47.7584","Maplink1")</f>
        <v>Maplink1</v>
      </c>
      <c r="AT1214" s="20" t="str">
        <f aca="false">HYPERLINK("https://www.google.iq/maps/search/+30.2339,47.7584/@30.2339,47.7584,14z?hl=en","Maplink2")</f>
        <v>Maplink2</v>
      </c>
      <c r="AU1214" s="20" t="str">
        <f aca="false">HYPERLINK("http://www.bing.com/maps/?lvl=14&amp;sty=h&amp;cp=30.2339~47.7584&amp;sp=point.30.2339_47.7584","Maplink3")</f>
        <v>Maplink3</v>
      </c>
    </row>
    <row r="1215" customFormat="false" ht="15" hidden="false" customHeight="true" outlineLevel="0" collapsed="false">
      <c r="A1215" s="15" t="n">
        <v>26108</v>
      </c>
      <c r="B1215" s="16" t="s">
        <v>18</v>
      </c>
      <c r="C1215" s="16" t="s">
        <v>2338</v>
      </c>
      <c r="D1215" s="16" t="s">
        <v>2409</v>
      </c>
      <c r="E1215" s="17" t="s">
        <v>2410</v>
      </c>
      <c r="F1215" s="16" t="n">
        <v>30.24025704</v>
      </c>
      <c r="G1215" s="16" t="n">
        <v>47.77092174</v>
      </c>
      <c r="H1215" s="18" t="n">
        <v>9</v>
      </c>
      <c r="I1215" s="18" t="n">
        <v>54</v>
      </c>
      <c r="J1215" s="19" t="n">
        <v>1</v>
      </c>
      <c r="K1215" s="19"/>
      <c r="L1215" s="19"/>
      <c r="M1215" s="19"/>
      <c r="N1215" s="19"/>
      <c r="O1215" s="19" t="n">
        <v>1</v>
      </c>
      <c r="P1215" s="19"/>
      <c r="Q1215" s="19"/>
      <c r="R1215" s="19"/>
      <c r="S1215" s="19"/>
      <c r="T1215" s="19"/>
      <c r="U1215" s="19"/>
      <c r="V1215" s="19"/>
      <c r="W1215" s="19"/>
      <c r="X1215" s="19" t="n">
        <v>7</v>
      </c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 t="n">
        <v>9</v>
      </c>
      <c r="AI1215" s="19"/>
      <c r="AJ1215" s="19"/>
      <c r="AK1215" s="19"/>
      <c r="AL1215" s="19" t="n">
        <v>1</v>
      </c>
      <c r="AM1215" s="19" t="n">
        <v>1</v>
      </c>
      <c r="AN1215" s="19" t="n">
        <v>1</v>
      </c>
      <c r="AO1215" s="19" t="n">
        <v>1</v>
      </c>
      <c r="AP1215" s="19" t="n">
        <v>5</v>
      </c>
      <c r="AQ1215" s="19"/>
      <c r="AR1215" s="19"/>
      <c r="AS1215" s="20" t="str">
        <f aca="false">HYPERLINK("http://www.openstreetmap.org/?mlat=30.2403&amp;mlon=47.7709&amp;zoom=12#map=12/30.2403/47.7709","Maplink1")</f>
        <v>Maplink1</v>
      </c>
      <c r="AT1215" s="20" t="str">
        <f aca="false">HYPERLINK("https://www.google.iq/maps/search/+30.2403,47.7709/@30.2403,47.7709,14z?hl=en","Maplink2")</f>
        <v>Maplink2</v>
      </c>
      <c r="AU1215" s="20" t="str">
        <f aca="false">HYPERLINK("http://www.bing.com/maps/?lvl=14&amp;sty=h&amp;cp=30.2403~47.7709&amp;sp=point.30.2403_47.7709","Maplink3")</f>
        <v>Maplink3</v>
      </c>
    </row>
    <row r="1216" customFormat="false" ht="15" hidden="false" customHeight="true" outlineLevel="0" collapsed="false">
      <c r="A1216" s="15" t="n">
        <v>26109</v>
      </c>
      <c r="B1216" s="16" t="s">
        <v>18</v>
      </c>
      <c r="C1216" s="16" t="s">
        <v>2338</v>
      </c>
      <c r="D1216" s="16" t="s">
        <v>2411</v>
      </c>
      <c r="E1216" s="17" t="s">
        <v>2412</v>
      </c>
      <c r="F1216" s="16" t="n">
        <v>30.22852024</v>
      </c>
      <c r="G1216" s="16" t="n">
        <v>47.78164177</v>
      </c>
      <c r="H1216" s="18" t="n">
        <v>4</v>
      </c>
      <c r="I1216" s="18" t="n">
        <v>24</v>
      </c>
      <c r="J1216" s="19"/>
      <c r="K1216" s="19"/>
      <c r="L1216" s="19"/>
      <c r="M1216" s="19"/>
      <c r="N1216" s="19"/>
      <c r="O1216" s="19"/>
      <c r="P1216" s="19"/>
      <c r="Q1216" s="19"/>
      <c r="R1216" s="19" t="n">
        <v>1</v>
      </c>
      <c r="S1216" s="19"/>
      <c r="T1216" s="19"/>
      <c r="U1216" s="19"/>
      <c r="V1216" s="19" t="n">
        <v>3</v>
      </c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 t="n">
        <v>4</v>
      </c>
      <c r="AI1216" s="19"/>
      <c r="AJ1216" s="19"/>
      <c r="AK1216" s="19"/>
      <c r="AL1216" s="19" t="n">
        <v>1</v>
      </c>
      <c r="AM1216" s="19" t="n">
        <v>1</v>
      </c>
      <c r="AN1216" s="19" t="n">
        <v>2</v>
      </c>
      <c r="AO1216" s="19"/>
      <c r="AP1216" s="19"/>
      <c r="AQ1216" s="19"/>
      <c r="AR1216" s="19"/>
      <c r="AS1216" s="20" t="str">
        <f aca="false">HYPERLINK("http://www.openstreetmap.org/?mlat=30.2285&amp;mlon=47.7816&amp;zoom=12#map=12/30.2285/47.7816","Maplink1")</f>
        <v>Maplink1</v>
      </c>
      <c r="AT1216" s="20" t="str">
        <f aca="false">HYPERLINK("https://www.google.iq/maps/search/+30.2285,47.7816/@30.2285,47.7816,14z?hl=en","Maplink2")</f>
        <v>Maplink2</v>
      </c>
      <c r="AU1216" s="20" t="str">
        <f aca="false">HYPERLINK("http://www.bing.com/maps/?lvl=14&amp;sty=h&amp;cp=30.2285~47.7816&amp;sp=point.30.2285_47.7816","Maplink3")</f>
        <v>Maplink3</v>
      </c>
    </row>
    <row r="1217" customFormat="false" ht="15" hidden="false" customHeight="true" outlineLevel="0" collapsed="false">
      <c r="A1217" s="15" t="n">
        <v>26110</v>
      </c>
      <c r="B1217" s="16" t="s">
        <v>18</v>
      </c>
      <c r="C1217" s="16" t="s">
        <v>2338</v>
      </c>
      <c r="D1217" s="16" t="s">
        <v>2413</v>
      </c>
      <c r="E1217" s="17" t="s">
        <v>2414</v>
      </c>
      <c r="F1217" s="16" t="n">
        <v>30.23714132</v>
      </c>
      <c r="G1217" s="16" t="n">
        <v>47.76764944</v>
      </c>
      <c r="H1217" s="18" t="n">
        <v>2</v>
      </c>
      <c r="I1217" s="18" t="n">
        <v>12</v>
      </c>
      <c r="J1217" s="19" t="n">
        <v>2</v>
      </c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 t="n">
        <v>2</v>
      </c>
      <c r="AI1217" s="19"/>
      <c r="AJ1217" s="19"/>
      <c r="AK1217" s="19"/>
      <c r="AL1217" s="19"/>
      <c r="AM1217" s="19"/>
      <c r="AN1217" s="19"/>
      <c r="AO1217" s="19" t="n">
        <v>1</v>
      </c>
      <c r="AP1217" s="19" t="n">
        <v>1</v>
      </c>
      <c r="AQ1217" s="19"/>
      <c r="AR1217" s="19"/>
      <c r="AS1217" s="20" t="str">
        <f aca="false">HYPERLINK("http://www.openstreetmap.org/?mlat=30.2371&amp;mlon=47.7676&amp;zoom=12#map=12/30.2371/47.7676","Maplink1")</f>
        <v>Maplink1</v>
      </c>
      <c r="AT1217" s="20" t="str">
        <f aca="false">HYPERLINK("https://www.google.iq/maps/search/+30.2371,47.7676/@30.2371,47.7676,14z?hl=en","Maplink2")</f>
        <v>Maplink2</v>
      </c>
      <c r="AU1217" s="20" t="str">
        <f aca="false">HYPERLINK("http://www.bing.com/maps/?lvl=14&amp;sty=h&amp;cp=30.2371~47.7676&amp;sp=point.30.2371_47.7676","Maplink3")</f>
        <v>Maplink3</v>
      </c>
    </row>
    <row r="1218" customFormat="false" ht="15" hidden="false" customHeight="true" outlineLevel="0" collapsed="false">
      <c r="A1218" s="15" t="n">
        <v>1303</v>
      </c>
      <c r="B1218" s="16" t="s">
        <v>18</v>
      </c>
      <c r="C1218" s="16" t="s">
        <v>2338</v>
      </c>
      <c r="D1218" s="16" t="s">
        <v>2415</v>
      </c>
      <c r="E1218" s="17" t="s">
        <v>2416</v>
      </c>
      <c r="F1218" s="16" t="n">
        <v>30.2705</v>
      </c>
      <c r="G1218" s="16" t="n">
        <v>47.768</v>
      </c>
      <c r="H1218" s="18" t="n">
        <v>10</v>
      </c>
      <c r="I1218" s="18" t="n">
        <v>60</v>
      </c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 t="n">
        <v>2</v>
      </c>
      <c r="W1218" s="19"/>
      <c r="X1218" s="19" t="n">
        <v>8</v>
      </c>
      <c r="Y1218" s="19"/>
      <c r="Z1218" s="19"/>
      <c r="AA1218" s="19"/>
      <c r="AB1218" s="19"/>
      <c r="AC1218" s="19" t="n">
        <v>1</v>
      </c>
      <c r="AD1218" s="19"/>
      <c r="AE1218" s="19"/>
      <c r="AF1218" s="19"/>
      <c r="AG1218" s="19"/>
      <c r="AH1218" s="19" t="n">
        <v>9</v>
      </c>
      <c r="AI1218" s="19"/>
      <c r="AJ1218" s="19"/>
      <c r="AK1218" s="19"/>
      <c r="AL1218" s="19"/>
      <c r="AM1218" s="19"/>
      <c r="AN1218" s="19"/>
      <c r="AO1218" s="19" t="n">
        <v>10</v>
      </c>
      <c r="AP1218" s="19"/>
      <c r="AQ1218" s="19"/>
      <c r="AR1218" s="19"/>
      <c r="AS1218" s="20" t="str">
        <f aca="false">HYPERLINK("http://www.openstreetmap.org/?mlat=30.2705&amp;mlon=47.768&amp;zoom=12#map=12/30.2705/47.768","Maplink1")</f>
        <v>Maplink1</v>
      </c>
      <c r="AT1218" s="20" t="str">
        <f aca="false">HYPERLINK("https://www.google.iq/maps/search/+30.2705,47.768/@30.2705,47.768,14z?hl=en","Maplink2")</f>
        <v>Maplink2</v>
      </c>
      <c r="AU1218" s="20" t="str">
        <f aca="false">HYPERLINK("http://www.bing.com/maps/?lvl=14&amp;sty=h&amp;cp=30.2705~47.768&amp;sp=point.30.2705_47.768","Maplink3")</f>
        <v>Maplink3</v>
      </c>
    </row>
    <row r="1219" customFormat="false" ht="15" hidden="false" customHeight="true" outlineLevel="0" collapsed="false">
      <c r="A1219" s="15" t="n">
        <v>23976</v>
      </c>
      <c r="B1219" s="16" t="s">
        <v>18</v>
      </c>
      <c r="C1219" s="16" t="s">
        <v>2338</v>
      </c>
      <c r="D1219" s="16" t="s">
        <v>2417</v>
      </c>
      <c r="E1219" s="17" t="s">
        <v>2418</v>
      </c>
      <c r="F1219" s="16" t="n">
        <v>30.3940055</v>
      </c>
      <c r="G1219" s="16" t="n">
        <v>47.6936359</v>
      </c>
      <c r="H1219" s="18" t="n">
        <v>29</v>
      </c>
      <c r="I1219" s="18" t="n">
        <v>174</v>
      </c>
      <c r="J1219" s="19" t="n">
        <v>22</v>
      </c>
      <c r="K1219" s="19"/>
      <c r="L1219" s="19"/>
      <c r="M1219" s="19"/>
      <c r="N1219" s="19"/>
      <c r="O1219" s="19"/>
      <c r="P1219" s="19"/>
      <c r="Q1219" s="19"/>
      <c r="R1219" s="19" t="n">
        <v>4</v>
      </c>
      <c r="S1219" s="19"/>
      <c r="T1219" s="19"/>
      <c r="U1219" s="19"/>
      <c r="V1219" s="19" t="n">
        <v>3</v>
      </c>
      <c r="W1219" s="19"/>
      <c r="X1219" s="19"/>
      <c r="Y1219" s="19"/>
      <c r="Z1219" s="19"/>
      <c r="AA1219" s="19"/>
      <c r="AB1219" s="19"/>
      <c r="AC1219" s="19" t="n">
        <v>2</v>
      </c>
      <c r="AD1219" s="19"/>
      <c r="AE1219" s="19"/>
      <c r="AF1219" s="19"/>
      <c r="AG1219" s="19"/>
      <c r="AH1219" s="19" t="n">
        <v>27</v>
      </c>
      <c r="AI1219" s="19"/>
      <c r="AJ1219" s="19"/>
      <c r="AK1219" s="19"/>
      <c r="AL1219" s="19" t="n">
        <v>1</v>
      </c>
      <c r="AM1219" s="19" t="n">
        <v>7</v>
      </c>
      <c r="AN1219" s="19" t="n">
        <v>2</v>
      </c>
      <c r="AO1219" s="19" t="n">
        <v>6</v>
      </c>
      <c r="AP1219" s="19" t="n">
        <v>13</v>
      </c>
      <c r="AQ1219" s="19"/>
      <c r="AR1219" s="19"/>
      <c r="AS1219" s="20" t="str">
        <f aca="false">HYPERLINK("http://www.openstreetmap.org/?mlat=30.394&amp;mlon=47.6936&amp;zoom=12#map=12/30.394/47.6936","Maplink1")</f>
        <v>Maplink1</v>
      </c>
      <c r="AT1219" s="20" t="str">
        <f aca="false">HYPERLINK("https://www.google.iq/maps/search/+30.394,47.6936/@30.394,47.6936,14z?hl=en","Maplink2")</f>
        <v>Maplink2</v>
      </c>
      <c r="AU1219" s="20" t="str">
        <f aca="false">HYPERLINK("http://www.bing.com/maps/?lvl=14&amp;sty=h&amp;cp=30.394~47.6936&amp;sp=point.30.394_47.6936","Maplink3")</f>
        <v>Maplink3</v>
      </c>
    </row>
    <row r="1220" customFormat="false" ht="15" hidden="false" customHeight="true" outlineLevel="0" collapsed="false">
      <c r="A1220" s="15" t="n">
        <v>25018</v>
      </c>
      <c r="B1220" s="16" t="s">
        <v>18</v>
      </c>
      <c r="C1220" s="16" t="s">
        <v>2338</v>
      </c>
      <c r="D1220" s="16" t="s">
        <v>2419</v>
      </c>
      <c r="E1220" s="17" t="s">
        <v>2420</v>
      </c>
      <c r="F1220" s="16" t="n">
        <v>30.11722604</v>
      </c>
      <c r="G1220" s="16" t="n">
        <v>47.71894866</v>
      </c>
      <c r="H1220" s="18" t="n">
        <v>6</v>
      </c>
      <c r="I1220" s="18" t="n">
        <v>36</v>
      </c>
      <c r="J1220" s="19" t="n">
        <v>2</v>
      </c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 t="n">
        <v>2</v>
      </c>
      <c r="W1220" s="19"/>
      <c r="X1220" s="19" t="n">
        <v>2</v>
      </c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 t="n">
        <v>6</v>
      </c>
      <c r="AI1220" s="19"/>
      <c r="AJ1220" s="19"/>
      <c r="AK1220" s="19"/>
      <c r="AL1220" s="19" t="n">
        <v>2</v>
      </c>
      <c r="AM1220" s="19"/>
      <c r="AN1220" s="19" t="n">
        <v>1</v>
      </c>
      <c r="AO1220" s="19" t="n">
        <v>2</v>
      </c>
      <c r="AP1220" s="19" t="n">
        <v>1</v>
      </c>
      <c r="AQ1220" s="19"/>
      <c r="AR1220" s="19"/>
      <c r="AS1220" s="20" t="str">
        <f aca="false">HYPERLINK("http://www.openstreetmap.org/?mlat=30.1172&amp;mlon=47.7189&amp;zoom=12#map=12/30.1172/47.7189","Maplink1")</f>
        <v>Maplink1</v>
      </c>
      <c r="AT1220" s="20" t="str">
        <f aca="false">HYPERLINK("https://www.google.iq/maps/search/+30.1172,47.7189/@30.1172,47.7189,14z?hl=en","Maplink2")</f>
        <v>Maplink2</v>
      </c>
      <c r="AU1220" s="20" t="str">
        <f aca="false">HYPERLINK("http://www.bing.com/maps/?lvl=14&amp;sty=h&amp;cp=30.1172~47.7189&amp;sp=point.30.1172_47.7189","Maplink3")</f>
        <v>Maplink3</v>
      </c>
    </row>
    <row r="1221" customFormat="false" ht="15" hidden="false" customHeight="true" outlineLevel="0" collapsed="false">
      <c r="A1221" s="15" t="n">
        <v>25015</v>
      </c>
      <c r="B1221" s="16" t="s">
        <v>18</v>
      </c>
      <c r="C1221" s="16" t="s">
        <v>2338</v>
      </c>
      <c r="D1221" s="16" t="s">
        <v>2421</v>
      </c>
      <c r="E1221" s="17" t="s">
        <v>2422</v>
      </c>
      <c r="F1221" s="16" t="n">
        <v>30.11285475</v>
      </c>
      <c r="G1221" s="16" t="n">
        <v>47.71510153</v>
      </c>
      <c r="H1221" s="18" t="n">
        <v>2</v>
      </c>
      <c r="I1221" s="18" t="n">
        <v>12</v>
      </c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 t="n">
        <v>1</v>
      </c>
      <c r="W1221" s="19"/>
      <c r="X1221" s="19" t="n">
        <v>1</v>
      </c>
      <c r="Y1221" s="19"/>
      <c r="Z1221" s="19"/>
      <c r="AA1221" s="19"/>
      <c r="AB1221" s="19"/>
      <c r="AC1221" s="19" t="n">
        <v>2</v>
      </c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 t="n">
        <v>1</v>
      </c>
      <c r="AN1221" s="19" t="n">
        <v>1</v>
      </c>
      <c r="AO1221" s="19"/>
      <c r="AP1221" s="19"/>
      <c r="AQ1221" s="19"/>
      <c r="AR1221" s="19"/>
      <c r="AS1221" s="20" t="str">
        <f aca="false">HYPERLINK("http://www.openstreetmap.org/?mlat=30.1129&amp;mlon=47.7151&amp;zoom=12#map=12/30.1129/47.7151","Maplink1")</f>
        <v>Maplink1</v>
      </c>
      <c r="AT1221" s="20" t="str">
        <f aca="false">HYPERLINK("https://www.google.iq/maps/search/+30.1129,47.7151/@30.1129,47.7151,14z?hl=en","Maplink2")</f>
        <v>Maplink2</v>
      </c>
      <c r="AU1221" s="20" t="str">
        <f aca="false">HYPERLINK("http://www.bing.com/maps/?lvl=14&amp;sty=h&amp;cp=30.1129~47.7151&amp;sp=point.30.1129_47.7151","Maplink3")</f>
        <v>Maplink3</v>
      </c>
    </row>
    <row r="1222" customFormat="false" ht="15" hidden="false" customHeight="true" outlineLevel="0" collapsed="false">
      <c r="A1222" s="15" t="n">
        <v>27295</v>
      </c>
      <c r="B1222" s="16" t="s">
        <v>18</v>
      </c>
      <c r="C1222" s="16" t="s">
        <v>2338</v>
      </c>
      <c r="D1222" s="16" t="s">
        <v>2423</v>
      </c>
      <c r="E1222" s="17" t="s">
        <v>2424</v>
      </c>
      <c r="F1222" s="16" t="n">
        <v>30.0316611</v>
      </c>
      <c r="G1222" s="16" t="n">
        <v>47.9199156</v>
      </c>
      <c r="H1222" s="18" t="n">
        <v>3</v>
      </c>
      <c r="I1222" s="18" t="n">
        <v>18</v>
      </c>
      <c r="J1222" s="19" t="n">
        <v>1</v>
      </c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 t="n">
        <v>2</v>
      </c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 t="n">
        <v>3</v>
      </c>
      <c r="AI1222" s="19"/>
      <c r="AJ1222" s="19"/>
      <c r="AK1222" s="19"/>
      <c r="AL1222" s="19"/>
      <c r="AM1222" s="19"/>
      <c r="AN1222" s="19"/>
      <c r="AO1222" s="19" t="n">
        <v>3</v>
      </c>
      <c r="AP1222" s="19"/>
      <c r="AQ1222" s="19"/>
      <c r="AR1222" s="19"/>
      <c r="AS1222" s="20" t="str">
        <f aca="false">HYPERLINK("http://www.openstreetmap.org/?mlat=30.0317&amp;mlon=47.9199&amp;zoom=12#map=12/30.0317/47.9199","Maplink1")</f>
        <v>Maplink1</v>
      </c>
      <c r="AT1222" s="20" t="str">
        <f aca="false">HYPERLINK("https://www.google.iq/maps/search/+30.0317,47.9199/@30.0317,47.9199,14z?hl=en","Maplink2")</f>
        <v>Maplink2</v>
      </c>
      <c r="AU1222" s="20" t="str">
        <f aca="false">HYPERLINK("http://www.bing.com/maps/?lvl=14&amp;sty=h&amp;cp=30.0317~47.9199&amp;sp=point.30.0317_47.9199","Maplink3")</f>
        <v>Maplink3</v>
      </c>
    </row>
    <row r="1223" customFormat="false" ht="15" hidden="false" customHeight="true" outlineLevel="0" collapsed="false">
      <c r="A1223" s="15" t="n">
        <v>24925</v>
      </c>
      <c r="B1223" s="16" t="s">
        <v>18</v>
      </c>
      <c r="C1223" s="16" t="s">
        <v>2338</v>
      </c>
      <c r="D1223" s="16" t="s">
        <v>2425</v>
      </c>
      <c r="E1223" s="17" t="s">
        <v>2426</v>
      </c>
      <c r="F1223" s="16" t="n">
        <v>30.0375</v>
      </c>
      <c r="G1223" s="16" t="n">
        <v>47.9191</v>
      </c>
      <c r="H1223" s="18" t="n">
        <v>1</v>
      </c>
      <c r="I1223" s="18" t="n">
        <v>6</v>
      </c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 t="n">
        <v>1</v>
      </c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 t="n">
        <v>1</v>
      </c>
      <c r="AI1223" s="19"/>
      <c r="AJ1223" s="19"/>
      <c r="AK1223" s="19"/>
      <c r="AL1223" s="19"/>
      <c r="AM1223" s="19" t="n">
        <v>1</v>
      </c>
      <c r="AN1223" s="19"/>
      <c r="AO1223" s="19"/>
      <c r="AP1223" s="19"/>
      <c r="AQ1223" s="19"/>
      <c r="AR1223" s="19"/>
      <c r="AS1223" s="20" t="str">
        <f aca="false">HYPERLINK("http://www.openstreetmap.org/?mlat=30.0375&amp;mlon=47.9191&amp;zoom=12#map=12/30.0375/47.9191","Maplink1")</f>
        <v>Maplink1</v>
      </c>
      <c r="AT1223" s="20" t="str">
        <f aca="false">HYPERLINK("https://www.google.iq/maps/search/+30.0375,47.9191/@30.0375,47.9191,14z?hl=en","Maplink2")</f>
        <v>Maplink2</v>
      </c>
      <c r="AU1223" s="20" t="str">
        <f aca="false">HYPERLINK("http://www.bing.com/maps/?lvl=14&amp;sty=h&amp;cp=30.0375~47.9191&amp;sp=point.30.0375_47.9191","Maplink3")</f>
        <v>Maplink3</v>
      </c>
    </row>
    <row r="1224" customFormat="false" ht="15" hidden="false" customHeight="true" outlineLevel="0" collapsed="false">
      <c r="A1224" s="15" t="n">
        <v>24923</v>
      </c>
      <c r="B1224" s="16" t="s">
        <v>18</v>
      </c>
      <c r="C1224" s="16" t="s">
        <v>2338</v>
      </c>
      <c r="D1224" s="16" t="s">
        <v>2427</v>
      </c>
      <c r="E1224" s="17" t="s">
        <v>2428</v>
      </c>
      <c r="F1224" s="16" t="n">
        <v>30.0372</v>
      </c>
      <c r="G1224" s="16" t="n">
        <v>47.9194</v>
      </c>
      <c r="H1224" s="18" t="n">
        <v>2</v>
      </c>
      <c r="I1224" s="18" t="n">
        <v>12</v>
      </c>
      <c r="J1224" s="19"/>
      <c r="K1224" s="19" t="n">
        <v>1</v>
      </c>
      <c r="L1224" s="19"/>
      <c r="M1224" s="19"/>
      <c r="N1224" s="19"/>
      <c r="O1224" s="19" t="n">
        <v>1</v>
      </c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 t="n">
        <v>2</v>
      </c>
      <c r="AI1224" s="19"/>
      <c r="AJ1224" s="19"/>
      <c r="AK1224" s="19"/>
      <c r="AL1224" s="19" t="n">
        <v>1</v>
      </c>
      <c r="AM1224" s="19" t="n">
        <v>1</v>
      </c>
      <c r="AN1224" s="19"/>
      <c r="AO1224" s="19"/>
      <c r="AP1224" s="19"/>
      <c r="AQ1224" s="19"/>
      <c r="AR1224" s="19"/>
      <c r="AS1224" s="20" t="str">
        <f aca="false">HYPERLINK("http://www.openstreetmap.org/?mlat=30.0372&amp;mlon=47.9194&amp;zoom=12#map=12/30.0372/47.9194","Maplink1")</f>
        <v>Maplink1</v>
      </c>
      <c r="AT1224" s="20" t="str">
        <f aca="false">HYPERLINK("https://www.google.iq/maps/search/+30.0372,47.9194/@30.0372,47.9194,14z?hl=en","Maplink2")</f>
        <v>Maplink2</v>
      </c>
      <c r="AU1224" s="20" t="str">
        <f aca="false">HYPERLINK("http://www.bing.com/maps/?lvl=14&amp;sty=h&amp;cp=30.0372~47.9194&amp;sp=point.30.0372_47.9194","Maplink3")</f>
        <v>Maplink3</v>
      </c>
    </row>
    <row r="1225" customFormat="false" ht="15" hidden="false" customHeight="true" outlineLevel="0" collapsed="false">
      <c r="A1225" s="15" t="n">
        <v>24926</v>
      </c>
      <c r="B1225" s="16" t="s">
        <v>18</v>
      </c>
      <c r="C1225" s="16" t="s">
        <v>2338</v>
      </c>
      <c r="D1225" s="16" t="s">
        <v>2429</v>
      </c>
      <c r="E1225" s="17" t="s">
        <v>2430</v>
      </c>
      <c r="F1225" s="16" t="n">
        <v>30.0391</v>
      </c>
      <c r="G1225" s="16" t="n">
        <v>47.9155</v>
      </c>
      <c r="H1225" s="18" t="n">
        <v>1</v>
      </c>
      <c r="I1225" s="18" t="n">
        <v>6</v>
      </c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 t="n">
        <v>1</v>
      </c>
      <c r="W1225" s="19"/>
      <c r="X1225" s="19"/>
      <c r="Y1225" s="19"/>
      <c r="Z1225" s="19"/>
      <c r="AA1225" s="19"/>
      <c r="AB1225" s="19"/>
      <c r="AC1225" s="19" t="n">
        <v>1</v>
      </c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 t="n">
        <v>1</v>
      </c>
      <c r="AN1225" s="19"/>
      <c r="AO1225" s="19"/>
      <c r="AP1225" s="19"/>
      <c r="AQ1225" s="19"/>
      <c r="AR1225" s="19"/>
      <c r="AS1225" s="20" t="str">
        <f aca="false">HYPERLINK("http://www.openstreetmap.org/?mlat=30.0391&amp;mlon=47.9155&amp;zoom=12#map=12/30.0391/47.9155","Maplink1")</f>
        <v>Maplink1</v>
      </c>
      <c r="AT1225" s="20" t="str">
        <f aca="false">HYPERLINK("https://www.google.iq/maps/search/+30.0391,47.9155/@30.0391,47.9155,14z?hl=en","Maplink2")</f>
        <v>Maplink2</v>
      </c>
      <c r="AU1225" s="20" t="str">
        <f aca="false">HYPERLINK("http://www.bing.com/maps/?lvl=14&amp;sty=h&amp;cp=30.0391~47.9155&amp;sp=point.30.0391_47.9155","Maplink3")</f>
        <v>Maplink3</v>
      </c>
    </row>
    <row r="1226" customFormat="false" ht="15" hidden="false" customHeight="true" outlineLevel="0" collapsed="false">
      <c r="A1226" s="15" t="n">
        <v>27293</v>
      </c>
      <c r="B1226" s="16" t="s">
        <v>18</v>
      </c>
      <c r="C1226" s="16" t="s">
        <v>2338</v>
      </c>
      <c r="D1226" s="16" t="s">
        <v>2431</v>
      </c>
      <c r="E1226" s="17" t="s">
        <v>2432</v>
      </c>
      <c r="F1226" s="16" t="n">
        <v>30.03055951</v>
      </c>
      <c r="G1226" s="16" t="n">
        <v>47.93514778</v>
      </c>
      <c r="H1226" s="18" t="n">
        <v>4</v>
      </c>
      <c r="I1226" s="18" t="n">
        <v>24</v>
      </c>
      <c r="J1226" s="19" t="n">
        <v>2</v>
      </c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 t="n">
        <v>1</v>
      </c>
      <c r="W1226" s="19"/>
      <c r="X1226" s="19" t="n">
        <v>1</v>
      </c>
      <c r="Y1226" s="19"/>
      <c r="Z1226" s="19"/>
      <c r="AA1226" s="19"/>
      <c r="AB1226" s="19"/>
      <c r="AC1226" s="19" t="n">
        <v>1</v>
      </c>
      <c r="AD1226" s="19"/>
      <c r="AE1226" s="19"/>
      <c r="AF1226" s="19"/>
      <c r="AG1226" s="19"/>
      <c r="AH1226" s="19" t="n">
        <v>3</v>
      </c>
      <c r="AI1226" s="19"/>
      <c r="AJ1226" s="19"/>
      <c r="AK1226" s="19"/>
      <c r="AL1226" s="19"/>
      <c r="AM1226" s="19"/>
      <c r="AN1226" s="19" t="n">
        <v>1</v>
      </c>
      <c r="AO1226" s="19"/>
      <c r="AP1226" s="19" t="n">
        <v>3</v>
      </c>
      <c r="AQ1226" s="19"/>
      <c r="AR1226" s="19"/>
      <c r="AS1226" s="20" t="str">
        <f aca="false">HYPERLINK("http://www.openstreetmap.org/?mlat=30.0306&amp;mlon=47.9351&amp;zoom=12#map=12/30.0306/47.9351","Maplink1")</f>
        <v>Maplink1</v>
      </c>
      <c r="AT1226" s="20" t="str">
        <f aca="false">HYPERLINK("https://www.google.iq/maps/search/+30.0306,47.9351/@30.0306,47.9351,14z?hl=en","Maplink2")</f>
        <v>Maplink2</v>
      </c>
      <c r="AU1226" s="20" t="str">
        <f aca="false">HYPERLINK("http://www.bing.com/maps/?lvl=14&amp;sty=h&amp;cp=30.0306~47.9351&amp;sp=point.30.0306_47.9351","Maplink3")</f>
        <v>Maplink3</v>
      </c>
    </row>
    <row r="1227" customFormat="false" ht="15" hidden="false" customHeight="true" outlineLevel="0" collapsed="false">
      <c r="A1227" s="15" t="n">
        <v>25462</v>
      </c>
      <c r="B1227" s="16" t="s">
        <v>18</v>
      </c>
      <c r="C1227" s="16" t="s">
        <v>2338</v>
      </c>
      <c r="D1227" s="16" t="s">
        <v>2433</v>
      </c>
      <c r="E1227" s="17" t="s">
        <v>2434</v>
      </c>
      <c r="F1227" s="16" t="n">
        <v>30.35701775</v>
      </c>
      <c r="G1227" s="16" t="n">
        <v>47.71713649</v>
      </c>
      <c r="H1227" s="18" t="n">
        <v>7</v>
      </c>
      <c r="I1227" s="18" t="n">
        <v>42</v>
      </c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 t="n">
        <v>1</v>
      </c>
      <c r="W1227" s="19"/>
      <c r="X1227" s="19" t="n">
        <v>6</v>
      </c>
      <c r="Y1227" s="19"/>
      <c r="Z1227" s="19"/>
      <c r="AA1227" s="19"/>
      <c r="AB1227" s="19"/>
      <c r="AC1227" s="19"/>
      <c r="AD1227" s="19"/>
      <c r="AE1227" s="19" t="n">
        <v>7</v>
      </c>
      <c r="AF1227" s="19"/>
      <c r="AG1227" s="19"/>
      <c r="AH1227" s="19"/>
      <c r="AI1227" s="19"/>
      <c r="AJ1227" s="19"/>
      <c r="AK1227" s="19"/>
      <c r="AL1227" s="19" t="n">
        <v>2</v>
      </c>
      <c r="AM1227" s="19"/>
      <c r="AN1227" s="19"/>
      <c r="AO1227" s="19" t="n">
        <v>5</v>
      </c>
      <c r="AP1227" s="19"/>
      <c r="AQ1227" s="19"/>
      <c r="AR1227" s="19"/>
      <c r="AS1227" s="20" t="str">
        <f aca="false">HYPERLINK("http://www.openstreetmap.org/?mlat=30.357&amp;mlon=47.7171&amp;zoom=12#map=12/30.357/47.7171","Maplink1")</f>
        <v>Maplink1</v>
      </c>
      <c r="AT1227" s="20" t="str">
        <f aca="false">HYPERLINK("https://www.google.iq/maps/search/+30.357,47.7171/@30.357,47.7171,14z?hl=en","Maplink2")</f>
        <v>Maplink2</v>
      </c>
      <c r="AU1227" s="20" t="str">
        <f aca="false">HYPERLINK("http://www.bing.com/maps/?lvl=14&amp;sty=h&amp;cp=30.357~47.7171&amp;sp=point.30.357_47.7171","Maplink3")</f>
        <v>Maplink3</v>
      </c>
    </row>
    <row r="1228" customFormat="false" ht="15" hidden="false" customHeight="true" outlineLevel="0" collapsed="false">
      <c r="A1228" s="15" t="n">
        <v>24799</v>
      </c>
      <c r="B1228" s="16" t="s">
        <v>18</v>
      </c>
      <c r="C1228" s="16" t="s">
        <v>18</v>
      </c>
      <c r="D1228" s="16" t="s">
        <v>2435</v>
      </c>
      <c r="E1228" s="16" t="s">
        <v>2436</v>
      </c>
      <c r="F1228" s="16" t="n">
        <v>30.54642533</v>
      </c>
      <c r="G1228" s="16" t="n">
        <v>47.76442191</v>
      </c>
      <c r="H1228" s="18" t="n">
        <v>3</v>
      </c>
      <c r="I1228" s="18" t="n">
        <v>18</v>
      </c>
      <c r="J1228" s="19" t="n">
        <v>1</v>
      </c>
      <c r="K1228" s="19"/>
      <c r="L1228" s="19"/>
      <c r="M1228" s="19"/>
      <c r="N1228" s="19"/>
      <c r="O1228" s="19"/>
      <c r="P1228" s="19"/>
      <c r="Q1228" s="19"/>
      <c r="R1228" s="19" t="n">
        <v>2</v>
      </c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 t="n">
        <v>1</v>
      </c>
      <c r="AD1228" s="19"/>
      <c r="AE1228" s="19"/>
      <c r="AF1228" s="19"/>
      <c r="AG1228" s="19"/>
      <c r="AH1228" s="19" t="n">
        <v>2</v>
      </c>
      <c r="AI1228" s="19"/>
      <c r="AJ1228" s="19"/>
      <c r="AK1228" s="19"/>
      <c r="AL1228" s="19" t="n">
        <v>1</v>
      </c>
      <c r="AM1228" s="19"/>
      <c r="AN1228" s="19"/>
      <c r="AO1228" s="19" t="n">
        <v>2</v>
      </c>
      <c r="AP1228" s="19"/>
      <c r="AQ1228" s="19"/>
      <c r="AR1228" s="19"/>
      <c r="AS1228" s="20" t="str">
        <f aca="false">HYPERLINK("http://www.openstreetmap.org/?mlat=30.5464&amp;mlon=47.7644&amp;zoom=12#map=12/30.5464/47.7644","Maplink1")</f>
        <v>Maplink1</v>
      </c>
      <c r="AT1228" s="20" t="str">
        <f aca="false">HYPERLINK("https://www.google.iq/maps/search/+30.5464,47.7644/@30.5464,47.7644,14z?hl=en","Maplink2")</f>
        <v>Maplink2</v>
      </c>
      <c r="AU1228" s="20" t="str">
        <f aca="false">HYPERLINK("http://www.bing.com/maps/?lvl=14&amp;sty=h&amp;cp=30.5464~47.7644&amp;sp=point.30.5464_47.7644","Maplink3")</f>
        <v>Maplink3</v>
      </c>
    </row>
    <row r="1229" customFormat="false" ht="15" hidden="false" customHeight="true" outlineLevel="0" collapsed="false">
      <c r="A1229" s="15" t="n">
        <v>988</v>
      </c>
      <c r="B1229" s="16" t="s">
        <v>18</v>
      </c>
      <c r="C1229" s="16" t="s">
        <v>18</v>
      </c>
      <c r="D1229" s="16" t="s">
        <v>2437</v>
      </c>
      <c r="E1229" s="16" t="s">
        <v>2438</v>
      </c>
      <c r="F1229" s="16" t="n">
        <v>30.55</v>
      </c>
      <c r="G1229" s="16" t="n">
        <v>47.789167</v>
      </c>
      <c r="H1229" s="18" t="n">
        <v>2</v>
      </c>
      <c r="I1229" s="18" t="n">
        <v>12</v>
      </c>
      <c r="J1229" s="19" t="n">
        <v>1</v>
      </c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 t="n">
        <v>1</v>
      </c>
      <c r="W1229" s="19"/>
      <c r="X1229" s="19"/>
      <c r="Y1229" s="19"/>
      <c r="Z1229" s="19"/>
      <c r="AA1229" s="19"/>
      <c r="AB1229" s="19"/>
      <c r="AC1229" s="19" t="n">
        <v>1</v>
      </c>
      <c r="AD1229" s="19"/>
      <c r="AE1229" s="19"/>
      <c r="AF1229" s="19"/>
      <c r="AG1229" s="19"/>
      <c r="AH1229" s="19" t="n">
        <v>1</v>
      </c>
      <c r="AI1229" s="19"/>
      <c r="AJ1229" s="19"/>
      <c r="AK1229" s="19"/>
      <c r="AL1229" s="19" t="n">
        <v>1</v>
      </c>
      <c r="AM1229" s="19"/>
      <c r="AN1229" s="19"/>
      <c r="AO1229" s="19"/>
      <c r="AP1229" s="19"/>
      <c r="AQ1229" s="19"/>
      <c r="AR1229" s="19" t="n">
        <v>1</v>
      </c>
      <c r="AS1229" s="20" t="str">
        <f aca="false">HYPERLINK("http://www.openstreetmap.org/?mlat=30.55&amp;mlon=47.7892&amp;zoom=12#map=12/30.55/47.7892","Maplink1")</f>
        <v>Maplink1</v>
      </c>
      <c r="AT1229" s="20" t="str">
        <f aca="false">HYPERLINK("https://www.google.iq/maps/search/+30.55,47.7892/@30.55,47.7892,14z?hl=en","Maplink2")</f>
        <v>Maplink2</v>
      </c>
      <c r="AU1229" s="20" t="str">
        <f aca="false">HYPERLINK("http://www.bing.com/maps/?lvl=14&amp;sty=h&amp;cp=30.55~47.7892&amp;sp=point.30.55_47.7892","Maplink3")</f>
        <v>Maplink3</v>
      </c>
    </row>
    <row r="1230" customFormat="false" ht="15" hidden="false" customHeight="true" outlineLevel="0" collapsed="false">
      <c r="A1230" s="15" t="n">
        <v>21192</v>
      </c>
      <c r="B1230" s="16" t="s">
        <v>18</v>
      </c>
      <c r="C1230" s="16" t="s">
        <v>18</v>
      </c>
      <c r="D1230" s="16" t="s">
        <v>2439</v>
      </c>
      <c r="E1230" s="17" t="s">
        <v>2440</v>
      </c>
      <c r="F1230" s="16" t="n">
        <v>30.6176206</v>
      </c>
      <c r="G1230" s="16" t="n">
        <v>47.7544078</v>
      </c>
      <c r="H1230" s="18" t="n">
        <v>3</v>
      </c>
      <c r="I1230" s="18" t="n">
        <v>18</v>
      </c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 t="n">
        <v>2</v>
      </c>
      <c r="W1230" s="19"/>
      <c r="X1230" s="19" t="n">
        <v>1</v>
      </c>
      <c r="Y1230" s="19"/>
      <c r="Z1230" s="19"/>
      <c r="AA1230" s="19"/>
      <c r="AB1230" s="19"/>
      <c r="AC1230" s="19" t="n">
        <v>3</v>
      </c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 t="n">
        <v>3</v>
      </c>
      <c r="AN1230" s="19"/>
      <c r="AO1230" s="19"/>
      <c r="AP1230" s="19"/>
      <c r="AQ1230" s="19"/>
      <c r="AR1230" s="19"/>
      <c r="AS1230" s="20" t="str">
        <f aca="false">HYPERLINK("http://www.openstreetmap.org/?mlat=30.6176&amp;mlon=47.7544&amp;zoom=12#map=12/30.6176/47.7544","Maplink1")</f>
        <v>Maplink1</v>
      </c>
      <c r="AT1230" s="20" t="str">
        <f aca="false">HYPERLINK("https://www.google.iq/maps/search/+30.6176,47.7544/@30.6176,47.7544,14z?hl=en","Maplink2")</f>
        <v>Maplink2</v>
      </c>
      <c r="AU1230" s="20" t="str">
        <f aca="false">HYPERLINK("http://www.bing.com/maps/?lvl=14&amp;sty=h&amp;cp=30.6176~47.7544&amp;sp=point.30.6176_47.7544","Maplink3")</f>
        <v>Maplink3</v>
      </c>
    </row>
    <row r="1231" customFormat="false" ht="15" hidden="false" customHeight="true" outlineLevel="0" collapsed="false">
      <c r="A1231" s="15" t="n">
        <v>1003</v>
      </c>
      <c r="B1231" s="16" t="s">
        <v>18</v>
      </c>
      <c r="C1231" s="16" t="s">
        <v>18</v>
      </c>
      <c r="D1231" s="16" t="s">
        <v>2441</v>
      </c>
      <c r="E1231" s="17" t="s">
        <v>2442</v>
      </c>
      <c r="F1231" s="16" t="n">
        <v>30.56084372</v>
      </c>
      <c r="G1231" s="16" t="n">
        <v>47.73456557</v>
      </c>
      <c r="H1231" s="18" t="n">
        <v>1</v>
      </c>
      <c r="I1231" s="18" t="n">
        <v>6</v>
      </c>
      <c r="J1231" s="19"/>
      <c r="K1231" s="19"/>
      <c r="L1231" s="19"/>
      <c r="M1231" s="19"/>
      <c r="N1231" s="19"/>
      <c r="O1231" s="19" t="n">
        <v>1</v>
      </c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 t="n">
        <v>1</v>
      </c>
      <c r="AI1231" s="19"/>
      <c r="AJ1231" s="19"/>
      <c r="AK1231" s="19"/>
      <c r="AL1231" s="19"/>
      <c r="AM1231" s="19"/>
      <c r="AN1231" s="19" t="n">
        <v>1</v>
      </c>
      <c r="AO1231" s="19"/>
      <c r="AP1231" s="19"/>
      <c r="AQ1231" s="19"/>
      <c r="AR1231" s="19"/>
      <c r="AS1231" s="20" t="str">
        <f aca="false">HYPERLINK("http://www.openstreetmap.org/?mlat=30.5608&amp;mlon=47.7346&amp;zoom=12#map=12/30.5608/47.7346","Maplink1")</f>
        <v>Maplink1</v>
      </c>
      <c r="AT1231" s="20" t="str">
        <f aca="false">HYPERLINK("https://www.google.iq/maps/search/+30.5608,47.7346/@30.5608,47.7346,14z?hl=en","Maplink2")</f>
        <v>Maplink2</v>
      </c>
      <c r="AU1231" s="20" t="str">
        <f aca="false">HYPERLINK("http://www.bing.com/maps/?lvl=14&amp;sty=h&amp;cp=30.5608~47.7346&amp;sp=point.30.5608_47.7346","Maplink3")</f>
        <v>Maplink3</v>
      </c>
    </row>
    <row r="1232" customFormat="false" ht="15" hidden="false" customHeight="true" outlineLevel="0" collapsed="false">
      <c r="A1232" s="15" t="n">
        <v>24179</v>
      </c>
      <c r="B1232" s="16" t="s">
        <v>18</v>
      </c>
      <c r="C1232" s="16" t="s">
        <v>18</v>
      </c>
      <c r="D1232" s="16" t="s">
        <v>2443</v>
      </c>
      <c r="E1232" s="17" t="s">
        <v>2444</v>
      </c>
      <c r="F1232" s="16" t="n">
        <v>30.54627488</v>
      </c>
      <c r="G1232" s="16" t="n">
        <v>47.77617937</v>
      </c>
      <c r="H1232" s="18" t="n">
        <v>9</v>
      </c>
      <c r="I1232" s="18" t="n">
        <v>54</v>
      </c>
      <c r="J1232" s="19" t="n">
        <v>2</v>
      </c>
      <c r="K1232" s="19"/>
      <c r="L1232" s="19"/>
      <c r="M1232" s="19"/>
      <c r="N1232" s="19"/>
      <c r="O1232" s="19" t="n">
        <v>1</v>
      </c>
      <c r="P1232" s="19"/>
      <c r="Q1232" s="19"/>
      <c r="R1232" s="19" t="n">
        <v>1</v>
      </c>
      <c r="S1232" s="19"/>
      <c r="T1232" s="19"/>
      <c r="U1232" s="19"/>
      <c r="V1232" s="19"/>
      <c r="W1232" s="19"/>
      <c r="X1232" s="19" t="n">
        <v>5</v>
      </c>
      <c r="Y1232" s="19"/>
      <c r="Z1232" s="19"/>
      <c r="AA1232" s="19"/>
      <c r="AB1232" s="19"/>
      <c r="AC1232" s="19" t="n">
        <v>3</v>
      </c>
      <c r="AD1232" s="19"/>
      <c r="AE1232" s="19"/>
      <c r="AF1232" s="19"/>
      <c r="AG1232" s="19"/>
      <c r="AH1232" s="19" t="n">
        <v>6</v>
      </c>
      <c r="AI1232" s="19"/>
      <c r="AJ1232" s="19"/>
      <c r="AK1232" s="19"/>
      <c r="AL1232" s="19" t="n">
        <v>3</v>
      </c>
      <c r="AM1232" s="19" t="n">
        <v>5</v>
      </c>
      <c r="AN1232" s="19"/>
      <c r="AO1232" s="19"/>
      <c r="AP1232" s="19" t="n">
        <v>1</v>
      </c>
      <c r="AQ1232" s="19"/>
      <c r="AR1232" s="19"/>
      <c r="AS1232" s="20" t="str">
        <f aca="false">HYPERLINK("http://www.openstreetmap.org/?mlat=30.5463&amp;mlon=47.7762&amp;zoom=12#map=12/30.5463/47.7762","Maplink1")</f>
        <v>Maplink1</v>
      </c>
      <c r="AT1232" s="20" t="str">
        <f aca="false">HYPERLINK("https://www.google.iq/maps/search/+30.5463,47.7762/@30.5463,47.7762,14z?hl=en","Maplink2")</f>
        <v>Maplink2</v>
      </c>
      <c r="AU1232" s="20" t="str">
        <f aca="false">HYPERLINK("http://www.bing.com/maps/?lvl=14&amp;sty=h&amp;cp=30.5463~47.7762&amp;sp=point.30.5463_47.7762","Maplink3")</f>
        <v>Maplink3</v>
      </c>
    </row>
    <row r="1233" customFormat="false" ht="15" hidden="false" customHeight="true" outlineLevel="0" collapsed="false">
      <c r="A1233" s="15" t="n">
        <v>1269</v>
      </c>
      <c r="B1233" s="16" t="s">
        <v>18</v>
      </c>
      <c r="C1233" s="16" t="s">
        <v>18</v>
      </c>
      <c r="D1233" s="16" t="s">
        <v>2445</v>
      </c>
      <c r="E1233" s="17" t="s">
        <v>2446</v>
      </c>
      <c r="F1233" s="16" t="n">
        <v>30.46632736</v>
      </c>
      <c r="G1233" s="16" t="n">
        <v>47.78004795</v>
      </c>
      <c r="H1233" s="18" t="n">
        <v>13</v>
      </c>
      <c r="I1233" s="18" t="n">
        <v>78</v>
      </c>
      <c r="J1233" s="19"/>
      <c r="K1233" s="19"/>
      <c r="L1233" s="19"/>
      <c r="M1233" s="19"/>
      <c r="N1233" s="19"/>
      <c r="O1233" s="19"/>
      <c r="P1233" s="19"/>
      <c r="Q1233" s="19"/>
      <c r="R1233" s="19" t="n">
        <v>5</v>
      </c>
      <c r="S1233" s="19"/>
      <c r="T1233" s="19"/>
      <c r="U1233" s="19"/>
      <c r="V1233" s="19" t="n">
        <v>8</v>
      </c>
      <c r="W1233" s="19"/>
      <c r="X1233" s="19"/>
      <c r="Y1233" s="19"/>
      <c r="Z1233" s="19"/>
      <c r="AA1233" s="19"/>
      <c r="AB1233" s="19"/>
      <c r="AC1233" s="19" t="n">
        <v>2</v>
      </c>
      <c r="AD1233" s="19"/>
      <c r="AE1233" s="19" t="n">
        <v>1</v>
      </c>
      <c r="AF1233" s="19"/>
      <c r="AG1233" s="19"/>
      <c r="AH1233" s="19" t="n">
        <v>10</v>
      </c>
      <c r="AI1233" s="19"/>
      <c r="AJ1233" s="19"/>
      <c r="AK1233" s="19"/>
      <c r="AL1233" s="19" t="n">
        <v>6</v>
      </c>
      <c r="AM1233" s="19" t="n">
        <v>1</v>
      </c>
      <c r="AN1233" s="19" t="n">
        <v>3</v>
      </c>
      <c r="AO1233" s="19" t="n">
        <v>2</v>
      </c>
      <c r="AP1233" s="19"/>
      <c r="AQ1233" s="19"/>
      <c r="AR1233" s="19" t="n">
        <v>1</v>
      </c>
      <c r="AS1233" s="20" t="str">
        <f aca="false">HYPERLINK("http://www.openstreetmap.org/?mlat=30.4663&amp;mlon=47.78&amp;zoom=12#map=12/30.4663/47.78","Maplink1")</f>
        <v>Maplink1</v>
      </c>
      <c r="AT1233" s="20" t="str">
        <f aca="false">HYPERLINK("https://www.google.iq/maps/search/+30.4663,47.78/@30.4663,47.78,14z?hl=en","Maplink2")</f>
        <v>Maplink2</v>
      </c>
      <c r="AU1233" s="20" t="str">
        <f aca="false">HYPERLINK("http://www.bing.com/maps/?lvl=14&amp;sty=h&amp;cp=30.4663~47.78&amp;sp=point.30.4663_47.78","Maplink3")</f>
        <v>Maplink3</v>
      </c>
    </row>
    <row r="1234" customFormat="false" ht="15" hidden="false" customHeight="true" outlineLevel="0" collapsed="false">
      <c r="A1234" s="15" t="n">
        <v>968</v>
      </c>
      <c r="B1234" s="16" t="s">
        <v>18</v>
      </c>
      <c r="C1234" s="16" t="s">
        <v>18</v>
      </c>
      <c r="D1234" s="16" t="s">
        <v>2447</v>
      </c>
      <c r="E1234" s="17" t="s">
        <v>612</v>
      </c>
      <c r="F1234" s="16" t="n">
        <v>30.54327361</v>
      </c>
      <c r="G1234" s="16" t="n">
        <v>47.7949835</v>
      </c>
      <c r="H1234" s="18" t="n">
        <v>5</v>
      </c>
      <c r="I1234" s="18" t="n">
        <v>30</v>
      </c>
      <c r="J1234" s="19"/>
      <c r="K1234" s="19" t="n">
        <v>1</v>
      </c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 t="n">
        <v>4</v>
      </c>
      <c r="W1234" s="19"/>
      <c r="X1234" s="19"/>
      <c r="Y1234" s="19"/>
      <c r="Z1234" s="19"/>
      <c r="AA1234" s="19"/>
      <c r="AB1234" s="19"/>
      <c r="AC1234" s="19" t="n">
        <v>4</v>
      </c>
      <c r="AD1234" s="19"/>
      <c r="AE1234" s="19"/>
      <c r="AF1234" s="19"/>
      <c r="AG1234" s="19"/>
      <c r="AH1234" s="19" t="n">
        <v>1</v>
      </c>
      <c r="AI1234" s="19"/>
      <c r="AJ1234" s="19"/>
      <c r="AK1234" s="19"/>
      <c r="AL1234" s="19"/>
      <c r="AM1234" s="19" t="n">
        <v>2</v>
      </c>
      <c r="AN1234" s="19" t="n">
        <v>3</v>
      </c>
      <c r="AO1234" s="19"/>
      <c r="AP1234" s="19"/>
      <c r="AQ1234" s="19"/>
      <c r="AR1234" s="19"/>
      <c r="AS1234" s="20" t="str">
        <f aca="false">HYPERLINK("http://www.openstreetmap.org/?mlat=30.5433&amp;mlon=47.795&amp;zoom=12#map=12/30.5433/47.795","Maplink1")</f>
        <v>Maplink1</v>
      </c>
      <c r="AT1234" s="20" t="str">
        <f aca="false">HYPERLINK("https://www.google.iq/maps/search/+30.5433,47.795/@30.5433,47.795,14z?hl=en","Maplink2")</f>
        <v>Maplink2</v>
      </c>
      <c r="AU1234" s="20" t="str">
        <f aca="false">HYPERLINK("http://www.bing.com/maps/?lvl=14&amp;sty=h&amp;cp=30.5433~47.795&amp;sp=point.30.5433_47.795","Maplink3")</f>
        <v>Maplink3</v>
      </c>
    </row>
    <row r="1235" customFormat="false" ht="15" hidden="false" customHeight="true" outlineLevel="0" collapsed="false">
      <c r="A1235" s="15" t="n">
        <v>475</v>
      </c>
      <c r="B1235" s="16" t="s">
        <v>18</v>
      </c>
      <c r="C1235" s="16" t="s">
        <v>18</v>
      </c>
      <c r="D1235" s="16" t="s">
        <v>2448</v>
      </c>
      <c r="E1235" s="17" t="s">
        <v>2449</v>
      </c>
      <c r="F1235" s="16" t="n">
        <v>30.5219104</v>
      </c>
      <c r="G1235" s="16" t="n">
        <v>47.82880842</v>
      </c>
      <c r="H1235" s="18" t="n">
        <v>2</v>
      </c>
      <c r="I1235" s="18" t="n">
        <v>12</v>
      </c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 t="n">
        <v>2</v>
      </c>
      <c r="W1235" s="19"/>
      <c r="X1235" s="19"/>
      <c r="Y1235" s="19"/>
      <c r="Z1235" s="19"/>
      <c r="AA1235" s="19"/>
      <c r="AB1235" s="19"/>
      <c r="AC1235" s="19" t="n">
        <v>2</v>
      </c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  <c r="AP1235" s="19"/>
      <c r="AQ1235" s="19"/>
      <c r="AR1235" s="19" t="n">
        <v>2</v>
      </c>
      <c r="AS1235" s="20" t="str">
        <f aca="false">HYPERLINK("http://www.openstreetmap.org/?mlat=30.5219&amp;mlon=47.8288&amp;zoom=12#map=12/30.5219/47.8288","Maplink1")</f>
        <v>Maplink1</v>
      </c>
      <c r="AT1235" s="20" t="str">
        <f aca="false">HYPERLINK("https://www.google.iq/maps/search/+30.5219,47.8288/@30.5219,47.8288,14z?hl=en","Maplink2")</f>
        <v>Maplink2</v>
      </c>
      <c r="AU1235" s="20" t="str">
        <f aca="false">HYPERLINK("http://www.bing.com/maps/?lvl=14&amp;sty=h&amp;cp=30.5219~47.8288&amp;sp=point.30.5219_47.8288","Maplink3")</f>
        <v>Maplink3</v>
      </c>
    </row>
    <row r="1236" customFormat="false" ht="15" hidden="false" customHeight="true" outlineLevel="0" collapsed="false">
      <c r="A1236" s="15" t="n">
        <v>24346</v>
      </c>
      <c r="B1236" s="16" t="s">
        <v>18</v>
      </c>
      <c r="C1236" s="16" t="s">
        <v>18</v>
      </c>
      <c r="D1236" s="16" t="s">
        <v>2450</v>
      </c>
      <c r="E1236" s="17" t="s">
        <v>2451</v>
      </c>
      <c r="F1236" s="16" t="n">
        <v>30.51895272</v>
      </c>
      <c r="G1236" s="16" t="n">
        <v>47.83596925</v>
      </c>
      <c r="H1236" s="18" t="n">
        <v>97</v>
      </c>
      <c r="I1236" s="18" t="n">
        <v>582</v>
      </c>
      <c r="J1236" s="19" t="n">
        <v>1</v>
      </c>
      <c r="K1236" s="19"/>
      <c r="L1236" s="19" t="n">
        <v>4</v>
      </c>
      <c r="M1236" s="19"/>
      <c r="N1236" s="19"/>
      <c r="O1236" s="19" t="n">
        <v>6</v>
      </c>
      <c r="P1236" s="19"/>
      <c r="Q1236" s="19"/>
      <c r="R1236" s="19" t="n">
        <v>3</v>
      </c>
      <c r="S1236" s="19"/>
      <c r="T1236" s="19"/>
      <c r="U1236" s="19"/>
      <c r="V1236" s="19" t="n">
        <v>69</v>
      </c>
      <c r="W1236" s="19"/>
      <c r="X1236" s="19" t="n">
        <v>14</v>
      </c>
      <c r="Y1236" s="19"/>
      <c r="Z1236" s="19"/>
      <c r="AA1236" s="19"/>
      <c r="AB1236" s="19"/>
      <c r="AC1236" s="19"/>
      <c r="AD1236" s="19" t="n">
        <v>97</v>
      </c>
      <c r="AE1236" s="19"/>
      <c r="AF1236" s="19"/>
      <c r="AG1236" s="19"/>
      <c r="AH1236" s="19"/>
      <c r="AI1236" s="19"/>
      <c r="AJ1236" s="19"/>
      <c r="AK1236" s="19"/>
      <c r="AL1236" s="19" t="n">
        <v>2</v>
      </c>
      <c r="AM1236" s="19" t="n">
        <v>15</v>
      </c>
      <c r="AN1236" s="19" t="n">
        <v>21</v>
      </c>
      <c r="AO1236" s="19" t="n">
        <v>39</v>
      </c>
      <c r="AP1236" s="19" t="n">
        <v>12</v>
      </c>
      <c r="AQ1236" s="19" t="n">
        <v>8</v>
      </c>
      <c r="AR1236" s="19"/>
      <c r="AS1236" s="20" t="str">
        <f aca="false">HYPERLINK("http://www.openstreetmap.org/?mlat=30.519&amp;mlon=47.836&amp;zoom=12#map=12/30.519/47.836","Maplink1")</f>
        <v>Maplink1</v>
      </c>
      <c r="AT1236" s="20" t="str">
        <f aca="false">HYPERLINK("https://www.google.iq/maps/search/+30.519,47.836/@30.519,47.836,14z?hl=en","Maplink2")</f>
        <v>Maplink2</v>
      </c>
      <c r="AU1236" s="20" t="str">
        <f aca="false">HYPERLINK("http://www.bing.com/maps/?lvl=14&amp;sty=h&amp;cp=30.519~47.836&amp;sp=point.30.519_47.836","Maplink3")</f>
        <v>Maplink3</v>
      </c>
    </row>
    <row r="1237" customFormat="false" ht="15" hidden="false" customHeight="true" outlineLevel="0" collapsed="false">
      <c r="A1237" s="15" t="n">
        <v>24529</v>
      </c>
      <c r="B1237" s="16" t="s">
        <v>18</v>
      </c>
      <c r="C1237" s="16" t="s">
        <v>18</v>
      </c>
      <c r="D1237" s="16" t="s">
        <v>2452</v>
      </c>
      <c r="E1237" s="17" t="s">
        <v>2453</v>
      </c>
      <c r="F1237" s="16" t="n">
        <v>30.61421683</v>
      </c>
      <c r="G1237" s="16" t="n">
        <v>47.75496502</v>
      </c>
      <c r="H1237" s="18" t="n">
        <v>4</v>
      </c>
      <c r="I1237" s="18" t="n">
        <v>24</v>
      </c>
      <c r="J1237" s="19" t="n">
        <v>2</v>
      </c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 t="n">
        <v>2</v>
      </c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 t="n">
        <v>4</v>
      </c>
      <c r="AI1237" s="19"/>
      <c r="AJ1237" s="19"/>
      <c r="AK1237" s="19"/>
      <c r="AL1237" s="19" t="n">
        <v>2</v>
      </c>
      <c r="AM1237" s="19" t="n">
        <v>2</v>
      </c>
      <c r="AN1237" s="19"/>
      <c r="AO1237" s="19"/>
      <c r="AP1237" s="19"/>
      <c r="AQ1237" s="19"/>
      <c r="AR1237" s="19"/>
      <c r="AS1237" s="20" t="str">
        <f aca="false">HYPERLINK("http://www.openstreetmap.org/?mlat=30.6142&amp;mlon=47.755&amp;zoom=12#map=12/30.6142/47.755","Maplink1")</f>
        <v>Maplink1</v>
      </c>
      <c r="AT1237" s="20" t="str">
        <f aca="false">HYPERLINK("https://www.google.iq/maps/search/+30.6142,47.755/@30.6142,47.755,14z?hl=en","Maplink2")</f>
        <v>Maplink2</v>
      </c>
      <c r="AU1237" s="20" t="str">
        <f aca="false">HYPERLINK("http://www.bing.com/maps/?lvl=14&amp;sty=h&amp;cp=30.6142~47.755&amp;sp=point.30.6142_47.755","Maplink3")</f>
        <v>Maplink3</v>
      </c>
    </row>
    <row r="1238" customFormat="false" ht="15" hidden="false" customHeight="true" outlineLevel="0" collapsed="false">
      <c r="A1238" s="15" t="n">
        <v>24675</v>
      </c>
      <c r="B1238" s="16" t="s">
        <v>18</v>
      </c>
      <c r="C1238" s="16" t="s">
        <v>18</v>
      </c>
      <c r="D1238" s="16" t="s">
        <v>2454</v>
      </c>
      <c r="E1238" s="17" t="s">
        <v>2455</v>
      </c>
      <c r="F1238" s="16" t="n">
        <v>30.66282034</v>
      </c>
      <c r="G1238" s="16" t="n">
        <v>47.74272292</v>
      </c>
      <c r="H1238" s="18" t="n">
        <v>3</v>
      </c>
      <c r="I1238" s="18" t="n">
        <v>18</v>
      </c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 t="n">
        <v>3</v>
      </c>
      <c r="W1238" s="19"/>
      <c r="X1238" s="19"/>
      <c r="Y1238" s="19"/>
      <c r="Z1238" s="19"/>
      <c r="AA1238" s="19"/>
      <c r="AB1238" s="19"/>
      <c r="AC1238" s="19" t="n">
        <v>1</v>
      </c>
      <c r="AD1238" s="19"/>
      <c r="AE1238" s="19"/>
      <c r="AF1238" s="19"/>
      <c r="AG1238" s="19"/>
      <c r="AH1238" s="19" t="n">
        <v>2</v>
      </c>
      <c r="AI1238" s="19"/>
      <c r="AJ1238" s="19"/>
      <c r="AK1238" s="19"/>
      <c r="AL1238" s="19"/>
      <c r="AM1238" s="19"/>
      <c r="AN1238" s="19"/>
      <c r="AO1238" s="19" t="n">
        <v>2</v>
      </c>
      <c r="AP1238" s="19"/>
      <c r="AQ1238" s="19"/>
      <c r="AR1238" s="19" t="n">
        <v>1</v>
      </c>
      <c r="AS1238" s="20" t="str">
        <f aca="false">HYPERLINK("http://www.openstreetmap.org/?mlat=30.6628&amp;mlon=47.7427&amp;zoom=12#map=12/30.6628/47.7427","Maplink1")</f>
        <v>Maplink1</v>
      </c>
      <c r="AT1238" s="20" t="str">
        <f aca="false">HYPERLINK("https://www.google.iq/maps/search/+30.6628,47.7427/@30.6628,47.7427,14z?hl=en","Maplink2")</f>
        <v>Maplink2</v>
      </c>
      <c r="AU1238" s="20" t="str">
        <f aca="false">HYPERLINK("http://www.bing.com/maps/?lvl=14&amp;sty=h&amp;cp=30.6628~47.7427&amp;sp=point.30.6628_47.7427","Maplink3")</f>
        <v>Maplink3</v>
      </c>
    </row>
    <row r="1239" customFormat="false" ht="15" hidden="false" customHeight="true" outlineLevel="0" collapsed="false">
      <c r="A1239" s="15" t="n">
        <v>29555</v>
      </c>
      <c r="B1239" s="16" t="s">
        <v>18</v>
      </c>
      <c r="C1239" s="16" t="s">
        <v>18</v>
      </c>
      <c r="D1239" s="16" t="s">
        <v>2456</v>
      </c>
      <c r="E1239" s="17" t="s">
        <v>2457</v>
      </c>
      <c r="F1239" s="16" t="n">
        <v>30.577734</v>
      </c>
      <c r="G1239" s="16" t="n">
        <v>47.7463775</v>
      </c>
      <c r="H1239" s="18" t="n">
        <v>1</v>
      </c>
      <c r="I1239" s="18" t="n">
        <v>6</v>
      </c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 t="n">
        <v>1</v>
      </c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 t="n">
        <v>1</v>
      </c>
      <c r="AI1239" s="19"/>
      <c r="AJ1239" s="19"/>
      <c r="AK1239" s="19"/>
      <c r="AL1239" s="19"/>
      <c r="AM1239" s="19" t="n">
        <v>1</v>
      </c>
      <c r="AN1239" s="19"/>
      <c r="AO1239" s="19"/>
      <c r="AP1239" s="19"/>
      <c r="AQ1239" s="19"/>
      <c r="AR1239" s="19"/>
      <c r="AS1239" s="20" t="str">
        <f aca="false">HYPERLINK("http://www.openstreetmap.org/?mlat=30.5777&amp;mlon=47.7464&amp;zoom=12#map=12/30.5777/47.7464","Maplink1")</f>
        <v>Maplink1</v>
      </c>
      <c r="AT1239" s="20" t="str">
        <f aca="false">HYPERLINK("https://www.google.iq/maps/search/+30.5777,47.7464/@30.5777,47.7464,14z?hl=en","Maplink2")</f>
        <v>Maplink2</v>
      </c>
      <c r="AU1239" s="20" t="str">
        <f aca="false">HYPERLINK("http://www.bing.com/maps/?lvl=14&amp;sty=h&amp;cp=30.5777~47.7464&amp;sp=point.30.5777_47.7464","Maplink3")</f>
        <v>Maplink3</v>
      </c>
    </row>
    <row r="1240" customFormat="false" ht="15" hidden="false" customHeight="true" outlineLevel="0" collapsed="false">
      <c r="A1240" s="15" t="n">
        <v>871</v>
      </c>
      <c r="B1240" s="16" t="s">
        <v>18</v>
      </c>
      <c r="C1240" s="16" t="s">
        <v>18</v>
      </c>
      <c r="D1240" s="16" t="s">
        <v>2458</v>
      </c>
      <c r="E1240" s="17" t="s">
        <v>2459</v>
      </c>
      <c r="F1240" s="16" t="n">
        <v>30.5966851</v>
      </c>
      <c r="G1240" s="16" t="n">
        <v>47.75094645</v>
      </c>
      <c r="H1240" s="18" t="n">
        <v>3</v>
      </c>
      <c r="I1240" s="18" t="n">
        <v>18</v>
      </c>
      <c r="J1240" s="19"/>
      <c r="K1240" s="19"/>
      <c r="L1240" s="19"/>
      <c r="M1240" s="19"/>
      <c r="N1240" s="19"/>
      <c r="O1240" s="19"/>
      <c r="P1240" s="19"/>
      <c r="Q1240" s="19"/>
      <c r="R1240" s="19" t="n">
        <v>2</v>
      </c>
      <c r="S1240" s="19"/>
      <c r="T1240" s="19"/>
      <c r="U1240" s="19"/>
      <c r="V1240" s="19" t="n">
        <v>1</v>
      </c>
      <c r="W1240" s="19"/>
      <c r="X1240" s="19"/>
      <c r="Y1240" s="19"/>
      <c r="Z1240" s="19"/>
      <c r="AA1240" s="19"/>
      <c r="AB1240" s="19"/>
      <c r="AC1240" s="19" t="n">
        <v>1</v>
      </c>
      <c r="AD1240" s="19"/>
      <c r="AE1240" s="19"/>
      <c r="AF1240" s="19"/>
      <c r="AG1240" s="19"/>
      <c r="AH1240" s="19" t="n">
        <v>2</v>
      </c>
      <c r="AI1240" s="19"/>
      <c r="AJ1240" s="19"/>
      <c r="AK1240" s="19"/>
      <c r="AL1240" s="19"/>
      <c r="AM1240" s="19" t="n">
        <v>2</v>
      </c>
      <c r="AN1240" s="19"/>
      <c r="AO1240" s="19" t="n">
        <v>1</v>
      </c>
      <c r="AP1240" s="19"/>
      <c r="AQ1240" s="19"/>
      <c r="AR1240" s="19"/>
      <c r="AS1240" s="20" t="str">
        <f aca="false">HYPERLINK("http://www.openstreetmap.org/?mlat=30.5967&amp;mlon=47.7509&amp;zoom=12#map=12/30.5967/47.7509","Maplink1")</f>
        <v>Maplink1</v>
      </c>
      <c r="AT1240" s="20" t="str">
        <f aca="false">HYPERLINK("https://www.google.iq/maps/search/+30.5967,47.7509/@30.5967,47.7509,14z?hl=en","Maplink2")</f>
        <v>Maplink2</v>
      </c>
      <c r="AU1240" s="20" t="str">
        <f aca="false">HYPERLINK("http://www.bing.com/maps/?lvl=14&amp;sty=h&amp;cp=30.5967~47.7509&amp;sp=point.30.5967_47.7509","Maplink3")</f>
        <v>Maplink3</v>
      </c>
    </row>
    <row r="1241" customFormat="false" ht="15" hidden="false" customHeight="true" outlineLevel="0" collapsed="false">
      <c r="A1241" s="15" t="n">
        <v>894</v>
      </c>
      <c r="B1241" s="16" t="s">
        <v>18</v>
      </c>
      <c r="C1241" s="16" t="s">
        <v>18</v>
      </c>
      <c r="D1241" s="16" t="s">
        <v>2460</v>
      </c>
      <c r="E1241" s="17" t="s">
        <v>2461</v>
      </c>
      <c r="F1241" s="16" t="n">
        <v>30.5040764</v>
      </c>
      <c r="G1241" s="16" t="n">
        <v>47.82601953</v>
      </c>
      <c r="H1241" s="18" t="n">
        <v>4</v>
      </c>
      <c r="I1241" s="18" t="n">
        <v>24</v>
      </c>
      <c r="J1241" s="19" t="n">
        <v>1</v>
      </c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 t="n">
        <v>2</v>
      </c>
      <c r="W1241" s="19"/>
      <c r="X1241" s="19" t="n">
        <v>1</v>
      </c>
      <c r="Y1241" s="19"/>
      <c r="Z1241" s="19"/>
      <c r="AA1241" s="19"/>
      <c r="AB1241" s="19"/>
      <c r="AC1241" s="19" t="n">
        <v>2</v>
      </c>
      <c r="AD1241" s="19"/>
      <c r="AE1241" s="19"/>
      <c r="AF1241" s="19"/>
      <c r="AG1241" s="19"/>
      <c r="AH1241" s="19" t="n">
        <v>2</v>
      </c>
      <c r="AI1241" s="19"/>
      <c r="AJ1241" s="19"/>
      <c r="AK1241" s="19"/>
      <c r="AL1241" s="19" t="n">
        <v>1</v>
      </c>
      <c r="AM1241" s="19"/>
      <c r="AN1241" s="19" t="n">
        <v>1</v>
      </c>
      <c r="AO1241" s="19" t="n">
        <v>2</v>
      </c>
      <c r="AP1241" s="19"/>
      <c r="AQ1241" s="19"/>
      <c r="AR1241" s="19"/>
      <c r="AS1241" s="20" t="str">
        <f aca="false">HYPERLINK("http://www.openstreetmap.org/?mlat=30.5041&amp;mlon=47.826&amp;zoom=12#map=12/30.5041/47.826","Maplink1")</f>
        <v>Maplink1</v>
      </c>
      <c r="AT1241" s="20" t="str">
        <f aca="false">HYPERLINK("https://www.google.iq/maps/search/+30.5041,47.826/@30.5041,47.826,14z?hl=en","Maplink2")</f>
        <v>Maplink2</v>
      </c>
      <c r="AU1241" s="20" t="str">
        <f aca="false">HYPERLINK("http://www.bing.com/maps/?lvl=14&amp;sty=h&amp;cp=30.5041~47.826&amp;sp=point.30.5041_47.826","Maplink3")</f>
        <v>Maplink3</v>
      </c>
    </row>
    <row r="1242" customFormat="false" ht="15" hidden="false" customHeight="true" outlineLevel="0" collapsed="false">
      <c r="A1242" s="15" t="n">
        <v>927</v>
      </c>
      <c r="B1242" s="16" t="s">
        <v>18</v>
      </c>
      <c r="C1242" s="16" t="s">
        <v>18</v>
      </c>
      <c r="D1242" s="16" t="s">
        <v>2462</v>
      </c>
      <c r="E1242" s="17" t="s">
        <v>2463</v>
      </c>
      <c r="F1242" s="16" t="n">
        <v>30.52243352</v>
      </c>
      <c r="G1242" s="16" t="n">
        <v>47.79682299</v>
      </c>
      <c r="H1242" s="18" t="n">
        <v>15</v>
      </c>
      <c r="I1242" s="18" t="n">
        <v>90</v>
      </c>
      <c r="J1242" s="19" t="n">
        <v>1</v>
      </c>
      <c r="K1242" s="19"/>
      <c r="L1242" s="19"/>
      <c r="M1242" s="19"/>
      <c r="N1242" s="19"/>
      <c r="O1242" s="19" t="n">
        <v>3</v>
      </c>
      <c r="P1242" s="19"/>
      <c r="Q1242" s="19"/>
      <c r="R1242" s="19" t="n">
        <v>10</v>
      </c>
      <c r="S1242" s="19"/>
      <c r="T1242" s="19"/>
      <c r="U1242" s="19"/>
      <c r="V1242" s="19" t="n">
        <v>1</v>
      </c>
      <c r="W1242" s="19"/>
      <c r="X1242" s="19"/>
      <c r="Y1242" s="19"/>
      <c r="Z1242" s="19"/>
      <c r="AA1242" s="19"/>
      <c r="AB1242" s="19"/>
      <c r="AC1242" s="19" t="n">
        <v>5</v>
      </c>
      <c r="AD1242" s="19"/>
      <c r="AE1242" s="19"/>
      <c r="AF1242" s="19"/>
      <c r="AG1242" s="19"/>
      <c r="AH1242" s="19" t="n">
        <v>10</v>
      </c>
      <c r="AI1242" s="19"/>
      <c r="AJ1242" s="19"/>
      <c r="AK1242" s="19"/>
      <c r="AL1242" s="19" t="n">
        <v>4</v>
      </c>
      <c r="AM1242" s="19" t="n">
        <v>2</v>
      </c>
      <c r="AN1242" s="19" t="n">
        <v>4</v>
      </c>
      <c r="AO1242" s="19" t="n">
        <v>5</v>
      </c>
      <c r="AP1242" s="19"/>
      <c r="AQ1242" s="19"/>
      <c r="AR1242" s="19"/>
      <c r="AS1242" s="20" t="str">
        <f aca="false">HYPERLINK("http://www.openstreetmap.org/?mlat=30.5224&amp;mlon=47.7968&amp;zoom=12#map=12/30.5224/47.7968","Maplink1")</f>
        <v>Maplink1</v>
      </c>
      <c r="AT1242" s="20" t="str">
        <f aca="false">HYPERLINK("https://www.google.iq/maps/search/+30.5224,47.7968/@30.5224,47.7968,14z?hl=en","Maplink2")</f>
        <v>Maplink2</v>
      </c>
      <c r="AU1242" s="20" t="str">
        <f aca="false">HYPERLINK("http://www.bing.com/maps/?lvl=14&amp;sty=h&amp;cp=30.5224~47.7968&amp;sp=point.30.5224_47.7968","Maplink3")</f>
        <v>Maplink3</v>
      </c>
    </row>
    <row r="1243" customFormat="false" ht="15" hidden="false" customHeight="true" outlineLevel="0" collapsed="false">
      <c r="A1243" s="15" t="n">
        <v>24344</v>
      </c>
      <c r="B1243" s="16" t="s">
        <v>18</v>
      </c>
      <c r="C1243" s="16" t="s">
        <v>18</v>
      </c>
      <c r="D1243" s="16" t="s">
        <v>2464</v>
      </c>
      <c r="E1243" s="17" t="s">
        <v>2465</v>
      </c>
      <c r="F1243" s="16" t="n">
        <v>30.46898841</v>
      </c>
      <c r="G1243" s="16" t="n">
        <v>47.81162392</v>
      </c>
      <c r="H1243" s="18" t="n">
        <v>12</v>
      </c>
      <c r="I1243" s="18" t="n">
        <v>72</v>
      </c>
      <c r="J1243" s="19" t="n">
        <v>6</v>
      </c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 t="n">
        <v>6</v>
      </c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 t="n">
        <v>12</v>
      </c>
      <c r="AI1243" s="19"/>
      <c r="AJ1243" s="19"/>
      <c r="AK1243" s="19"/>
      <c r="AL1243" s="19" t="n">
        <v>11</v>
      </c>
      <c r="AM1243" s="19"/>
      <c r="AN1243" s="19"/>
      <c r="AO1243" s="19" t="n">
        <v>1</v>
      </c>
      <c r="AP1243" s="19"/>
      <c r="AQ1243" s="19"/>
      <c r="AR1243" s="19"/>
      <c r="AS1243" s="20" t="str">
        <f aca="false">HYPERLINK("http://www.openstreetmap.org/?mlat=30.469&amp;mlon=47.8116&amp;zoom=12#map=12/30.469/47.8116","Maplink1")</f>
        <v>Maplink1</v>
      </c>
      <c r="AT1243" s="20" t="str">
        <f aca="false">HYPERLINK("https://www.google.iq/maps/search/+30.469,47.8116/@30.469,47.8116,14z?hl=en","Maplink2")</f>
        <v>Maplink2</v>
      </c>
      <c r="AU1243" s="20" t="str">
        <f aca="false">HYPERLINK("http://www.bing.com/maps/?lvl=14&amp;sty=h&amp;cp=30.469~47.8116&amp;sp=point.30.469_47.8116","Maplink3")</f>
        <v>Maplink3</v>
      </c>
    </row>
    <row r="1244" customFormat="false" ht="15" hidden="false" customHeight="true" outlineLevel="0" collapsed="false">
      <c r="A1244" s="15" t="n">
        <v>898</v>
      </c>
      <c r="B1244" s="16" t="s">
        <v>18</v>
      </c>
      <c r="C1244" s="16" t="s">
        <v>18</v>
      </c>
      <c r="D1244" s="16" t="s">
        <v>2466</v>
      </c>
      <c r="E1244" s="17" t="s">
        <v>2467</v>
      </c>
      <c r="F1244" s="16" t="n">
        <v>30.48889379</v>
      </c>
      <c r="G1244" s="16" t="n">
        <v>47.79219953</v>
      </c>
      <c r="H1244" s="18" t="n">
        <v>8</v>
      </c>
      <c r="I1244" s="18" t="n">
        <v>48</v>
      </c>
      <c r="J1244" s="19" t="n">
        <v>1</v>
      </c>
      <c r="K1244" s="19"/>
      <c r="L1244" s="19"/>
      <c r="M1244" s="19"/>
      <c r="N1244" s="19"/>
      <c r="O1244" s="19" t="n">
        <v>1</v>
      </c>
      <c r="P1244" s="19"/>
      <c r="Q1244" s="19"/>
      <c r="R1244" s="19"/>
      <c r="S1244" s="19"/>
      <c r="T1244" s="19"/>
      <c r="U1244" s="19"/>
      <c r="V1244" s="19" t="n">
        <v>6</v>
      </c>
      <c r="W1244" s="19"/>
      <c r="X1244" s="19"/>
      <c r="Y1244" s="19"/>
      <c r="Z1244" s="19"/>
      <c r="AA1244" s="19"/>
      <c r="AB1244" s="19"/>
      <c r="AC1244" s="19" t="n">
        <v>6</v>
      </c>
      <c r="AD1244" s="19"/>
      <c r="AE1244" s="19"/>
      <c r="AF1244" s="19"/>
      <c r="AG1244" s="19"/>
      <c r="AH1244" s="19" t="n">
        <v>2</v>
      </c>
      <c r="AI1244" s="19"/>
      <c r="AJ1244" s="19"/>
      <c r="AK1244" s="19"/>
      <c r="AL1244" s="19" t="n">
        <v>1</v>
      </c>
      <c r="AM1244" s="19" t="n">
        <v>1</v>
      </c>
      <c r="AN1244" s="19"/>
      <c r="AO1244" s="19" t="n">
        <v>2</v>
      </c>
      <c r="AP1244" s="19"/>
      <c r="AQ1244" s="19"/>
      <c r="AR1244" s="19" t="n">
        <v>4</v>
      </c>
      <c r="AS1244" s="20" t="str">
        <f aca="false">HYPERLINK("http://www.openstreetmap.org/?mlat=30.4889&amp;mlon=47.7922&amp;zoom=12#map=12/30.4889/47.7922","Maplink1")</f>
        <v>Maplink1</v>
      </c>
      <c r="AT1244" s="20" t="str">
        <f aca="false">HYPERLINK("https://www.google.iq/maps/search/+30.4889,47.7922/@30.4889,47.7922,14z?hl=en","Maplink2")</f>
        <v>Maplink2</v>
      </c>
      <c r="AU1244" s="20" t="str">
        <f aca="false">HYPERLINK("http://www.bing.com/maps/?lvl=14&amp;sty=h&amp;cp=30.4889~47.7922&amp;sp=point.30.4889_47.7922","Maplink3")</f>
        <v>Maplink3</v>
      </c>
    </row>
    <row r="1245" customFormat="false" ht="15" hidden="false" customHeight="true" outlineLevel="0" collapsed="false">
      <c r="A1245" s="15" t="n">
        <v>885</v>
      </c>
      <c r="B1245" s="16" t="s">
        <v>18</v>
      </c>
      <c r="C1245" s="16" t="s">
        <v>18</v>
      </c>
      <c r="D1245" s="16" t="s">
        <v>2468</v>
      </c>
      <c r="E1245" s="17" t="s">
        <v>2469</v>
      </c>
      <c r="F1245" s="16" t="n">
        <v>30.49527812</v>
      </c>
      <c r="G1245" s="16" t="n">
        <v>47.78869665</v>
      </c>
      <c r="H1245" s="18" t="n">
        <v>2</v>
      </c>
      <c r="I1245" s="18" t="n">
        <v>12</v>
      </c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 t="n">
        <v>1</v>
      </c>
      <c r="W1245" s="19"/>
      <c r="X1245" s="19" t="n">
        <v>1</v>
      </c>
      <c r="Y1245" s="19"/>
      <c r="Z1245" s="19"/>
      <c r="AA1245" s="19"/>
      <c r="AB1245" s="19"/>
      <c r="AC1245" s="19" t="n">
        <v>1</v>
      </c>
      <c r="AD1245" s="19"/>
      <c r="AE1245" s="19"/>
      <c r="AF1245" s="19"/>
      <c r="AG1245" s="19"/>
      <c r="AH1245" s="19"/>
      <c r="AI1245" s="19"/>
      <c r="AJ1245" s="19" t="n">
        <v>1</v>
      </c>
      <c r="AK1245" s="19"/>
      <c r="AL1245" s="19"/>
      <c r="AM1245" s="19" t="n">
        <v>1</v>
      </c>
      <c r="AN1245" s="19" t="n">
        <v>1</v>
      </c>
      <c r="AO1245" s="19"/>
      <c r="AP1245" s="19"/>
      <c r="AQ1245" s="19"/>
      <c r="AR1245" s="19"/>
      <c r="AS1245" s="20" t="str">
        <f aca="false">HYPERLINK("http://www.openstreetmap.org/?mlat=30.4953&amp;mlon=47.7887&amp;zoom=12#map=12/30.4953/47.7887","Maplink1")</f>
        <v>Maplink1</v>
      </c>
      <c r="AT1245" s="20" t="str">
        <f aca="false">HYPERLINK("https://www.google.iq/maps/search/+30.4953,47.7887/@30.4953,47.7887,14z?hl=en","Maplink2")</f>
        <v>Maplink2</v>
      </c>
      <c r="AU1245" s="20" t="str">
        <f aca="false">HYPERLINK("http://www.bing.com/maps/?lvl=14&amp;sty=h&amp;cp=30.4953~47.7887&amp;sp=point.30.4953_47.7887","Maplink3")</f>
        <v>Maplink3</v>
      </c>
    </row>
    <row r="1246" customFormat="false" ht="15" hidden="false" customHeight="true" outlineLevel="0" collapsed="false">
      <c r="A1246" s="15" t="n">
        <v>511</v>
      </c>
      <c r="B1246" s="16" t="s">
        <v>18</v>
      </c>
      <c r="C1246" s="16" t="s">
        <v>18</v>
      </c>
      <c r="D1246" s="16" t="s">
        <v>2470</v>
      </c>
      <c r="E1246" s="17" t="s">
        <v>2471</v>
      </c>
      <c r="F1246" s="16" t="n">
        <v>30.50561469</v>
      </c>
      <c r="G1246" s="16" t="n">
        <v>47.78104741</v>
      </c>
      <c r="H1246" s="18" t="n">
        <v>7</v>
      </c>
      <c r="I1246" s="18" t="n">
        <v>42</v>
      </c>
      <c r="J1246" s="19" t="n">
        <v>3</v>
      </c>
      <c r="K1246" s="19"/>
      <c r="L1246" s="19"/>
      <c r="M1246" s="19"/>
      <c r="N1246" s="19"/>
      <c r="O1246" s="19" t="n">
        <v>1</v>
      </c>
      <c r="P1246" s="19"/>
      <c r="Q1246" s="19"/>
      <c r="R1246" s="19"/>
      <c r="S1246" s="19"/>
      <c r="T1246" s="19"/>
      <c r="U1246" s="19"/>
      <c r="V1246" s="19"/>
      <c r="W1246" s="19"/>
      <c r="X1246" s="19" t="n">
        <v>3</v>
      </c>
      <c r="Y1246" s="19"/>
      <c r="Z1246" s="19"/>
      <c r="AA1246" s="19"/>
      <c r="AB1246" s="19"/>
      <c r="AC1246" s="19" t="n">
        <v>3</v>
      </c>
      <c r="AD1246" s="19"/>
      <c r="AE1246" s="19"/>
      <c r="AF1246" s="19"/>
      <c r="AG1246" s="19"/>
      <c r="AH1246" s="19" t="n">
        <v>4</v>
      </c>
      <c r="AI1246" s="19"/>
      <c r="AJ1246" s="19"/>
      <c r="AK1246" s="19"/>
      <c r="AL1246" s="19" t="n">
        <v>1</v>
      </c>
      <c r="AM1246" s="19"/>
      <c r="AN1246" s="19" t="n">
        <v>1</v>
      </c>
      <c r="AO1246" s="19"/>
      <c r="AP1246" s="19" t="n">
        <v>5</v>
      </c>
      <c r="AQ1246" s="19"/>
      <c r="AR1246" s="19"/>
      <c r="AS1246" s="20" t="str">
        <f aca="false">HYPERLINK("http://www.openstreetmap.org/?mlat=30.5056&amp;mlon=47.781&amp;zoom=12#map=12/30.5056/47.781","Maplink1")</f>
        <v>Maplink1</v>
      </c>
      <c r="AT1246" s="20" t="str">
        <f aca="false">HYPERLINK("https://www.google.iq/maps/search/+30.5056,47.781/@30.5056,47.781,14z?hl=en","Maplink2")</f>
        <v>Maplink2</v>
      </c>
      <c r="AU1246" s="20" t="str">
        <f aca="false">HYPERLINK("http://www.bing.com/maps/?lvl=14&amp;sty=h&amp;cp=30.5056~47.781&amp;sp=point.30.5056_47.781","Maplink3")</f>
        <v>Maplink3</v>
      </c>
    </row>
    <row r="1247" customFormat="false" ht="15" hidden="false" customHeight="true" outlineLevel="0" collapsed="false">
      <c r="A1247" s="15" t="n">
        <v>29595</v>
      </c>
      <c r="B1247" s="16" t="s">
        <v>18</v>
      </c>
      <c r="C1247" s="16" t="s">
        <v>18</v>
      </c>
      <c r="D1247" s="16" t="s">
        <v>2472</v>
      </c>
      <c r="E1247" s="17" t="s">
        <v>2473</v>
      </c>
      <c r="F1247" s="16" t="n">
        <v>30.551667</v>
      </c>
      <c r="G1247" s="16" t="n">
        <v>47.767778</v>
      </c>
      <c r="H1247" s="18" t="n">
        <v>2</v>
      </c>
      <c r="I1247" s="18" t="n">
        <v>12</v>
      </c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 t="n">
        <v>2</v>
      </c>
      <c r="W1247" s="19"/>
      <c r="X1247" s="19"/>
      <c r="Y1247" s="19"/>
      <c r="Z1247" s="19"/>
      <c r="AA1247" s="19"/>
      <c r="AB1247" s="19"/>
      <c r="AC1247" s="19" t="n">
        <v>2</v>
      </c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 t="n">
        <v>2</v>
      </c>
      <c r="AN1247" s="19"/>
      <c r="AO1247" s="19"/>
      <c r="AP1247" s="19"/>
      <c r="AQ1247" s="19"/>
      <c r="AR1247" s="19"/>
      <c r="AS1247" s="20" t="str">
        <f aca="false">HYPERLINK("http://www.openstreetmap.org/?mlat=30.5517&amp;mlon=47.7678&amp;zoom=12#map=12/30.5517/47.7678","Maplink1")</f>
        <v>Maplink1</v>
      </c>
      <c r="AT1247" s="20" t="str">
        <f aca="false">HYPERLINK("https://www.google.iq/maps/search/+30.5517,47.7678/@30.5517,47.7678,14z?hl=en","Maplink2")</f>
        <v>Maplink2</v>
      </c>
      <c r="AU1247" s="20" t="str">
        <f aca="false">HYPERLINK("http://www.bing.com/maps/?lvl=14&amp;sty=h&amp;cp=30.5517~47.7678&amp;sp=point.30.5517_47.7678","Maplink3")</f>
        <v>Maplink3</v>
      </c>
    </row>
    <row r="1248" customFormat="false" ht="15" hidden="false" customHeight="true" outlineLevel="0" collapsed="false">
      <c r="A1248" s="15" t="n">
        <v>989</v>
      </c>
      <c r="B1248" s="16" t="s">
        <v>18</v>
      </c>
      <c r="C1248" s="16" t="s">
        <v>18</v>
      </c>
      <c r="D1248" s="16" t="s">
        <v>2474</v>
      </c>
      <c r="E1248" s="17" t="s">
        <v>2475</v>
      </c>
      <c r="F1248" s="16" t="n">
        <v>30.55088585</v>
      </c>
      <c r="G1248" s="16" t="n">
        <v>47.76831354</v>
      </c>
      <c r="H1248" s="18" t="n">
        <v>1</v>
      </c>
      <c r="I1248" s="18" t="n">
        <v>6</v>
      </c>
      <c r="J1248" s="19"/>
      <c r="K1248" s="19"/>
      <c r="L1248" s="19"/>
      <c r="M1248" s="19"/>
      <c r="N1248" s="19"/>
      <c r="O1248" s="19" t="n">
        <v>1</v>
      </c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 t="n">
        <v>1</v>
      </c>
      <c r="AI1248" s="19"/>
      <c r="AJ1248" s="19"/>
      <c r="AK1248" s="19"/>
      <c r="AL1248" s="19"/>
      <c r="AM1248" s="19" t="n">
        <v>1</v>
      </c>
      <c r="AN1248" s="19"/>
      <c r="AO1248" s="19"/>
      <c r="AP1248" s="19"/>
      <c r="AQ1248" s="19"/>
      <c r="AR1248" s="19"/>
      <c r="AS1248" s="20" t="str">
        <f aca="false">HYPERLINK("http://www.openstreetmap.org/?mlat=30.5509&amp;mlon=47.7683&amp;zoom=12#map=12/30.5509/47.7683","Maplink1")</f>
        <v>Maplink1</v>
      </c>
      <c r="AT1248" s="20" t="str">
        <f aca="false">HYPERLINK("https://www.google.iq/maps/search/+30.5509,47.7683/@30.5509,47.7683,14z?hl=en","Maplink2")</f>
        <v>Maplink2</v>
      </c>
      <c r="AU1248" s="20" t="str">
        <f aca="false">HYPERLINK("http://www.bing.com/maps/?lvl=14&amp;sty=h&amp;cp=30.5509~47.7683&amp;sp=point.30.5509_47.7683","Maplink3")</f>
        <v>Maplink3</v>
      </c>
    </row>
    <row r="1249" customFormat="false" ht="15" hidden="false" customHeight="true" outlineLevel="0" collapsed="false">
      <c r="A1249" s="15" t="n">
        <v>29538</v>
      </c>
      <c r="B1249" s="16" t="s">
        <v>18</v>
      </c>
      <c r="C1249" s="16" t="s">
        <v>18</v>
      </c>
      <c r="D1249" s="16" t="s">
        <v>2476</v>
      </c>
      <c r="E1249" s="17" t="s">
        <v>2477</v>
      </c>
      <c r="F1249" s="16" t="n">
        <v>30.52830429</v>
      </c>
      <c r="G1249" s="16" t="n">
        <v>47.7747065</v>
      </c>
      <c r="H1249" s="18" t="n">
        <v>5</v>
      </c>
      <c r="I1249" s="18" t="n">
        <v>30</v>
      </c>
      <c r="J1249" s="19" t="n">
        <v>1</v>
      </c>
      <c r="K1249" s="19"/>
      <c r="L1249" s="19"/>
      <c r="M1249" s="19"/>
      <c r="N1249" s="19"/>
      <c r="O1249" s="19"/>
      <c r="P1249" s="19"/>
      <c r="Q1249" s="19"/>
      <c r="R1249" s="19" t="n">
        <v>2</v>
      </c>
      <c r="S1249" s="19"/>
      <c r="T1249" s="19"/>
      <c r="U1249" s="19"/>
      <c r="V1249" s="19" t="n">
        <v>1</v>
      </c>
      <c r="W1249" s="19"/>
      <c r="X1249" s="19" t="n">
        <v>1</v>
      </c>
      <c r="Y1249" s="19"/>
      <c r="Z1249" s="19"/>
      <c r="AA1249" s="19"/>
      <c r="AB1249" s="19"/>
      <c r="AC1249" s="19" t="n">
        <v>3</v>
      </c>
      <c r="AD1249" s="19"/>
      <c r="AE1249" s="19" t="n">
        <v>2</v>
      </c>
      <c r="AF1249" s="19"/>
      <c r="AG1249" s="19"/>
      <c r="AH1249" s="19"/>
      <c r="AI1249" s="19"/>
      <c r="AJ1249" s="19"/>
      <c r="AK1249" s="19"/>
      <c r="AL1249" s="19"/>
      <c r="AM1249" s="19" t="n">
        <v>2</v>
      </c>
      <c r="AN1249" s="19" t="n">
        <v>1</v>
      </c>
      <c r="AO1249" s="19" t="n">
        <v>2</v>
      </c>
      <c r="AP1249" s="19"/>
      <c r="AQ1249" s="19"/>
      <c r="AR1249" s="19"/>
      <c r="AS1249" s="20" t="str">
        <f aca="false">HYPERLINK("http://www.openstreetmap.org/?mlat=30.5283&amp;mlon=47.7747&amp;zoom=12#map=12/30.5283/47.7747","Maplink1")</f>
        <v>Maplink1</v>
      </c>
      <c r="AT1249" s="20" t="str">
        <f aca="false">HYPERLINK("https://www.google.iq/maps/search/+30.5283,47.7747/@30.5283,47.7747,14z?hl=en","Maplink2")</f>
        <v>Maplink2</v>
      </c>
      <c r="AU1249" s="20" t="str">
        <f aca="false">HYPERLINK("http://www.bing.com/maps/?lvl=14&amp;sty=h&amp;cp=30.5283~47.7747&amp;sp=point.30.5283_47.7747","Maplink3")</f>
        <v>Maplink3</v>
      </c>
    </row>
    <row r="1250" customFormat="false" ht="15" hidden="false" customHeight="true" outlineLevel="0" collapsed="false">
      <c r="A1250" s="15" t="n">
        <v>963</v>
      </c>
      <c r="B1250" s="16" t="s">
        <v>18</v>
      </c>
      <c r="C1250" s="16" t="s">
        <v>18</v>
      </c>
      <c r="D1250" s="16" t="s">
        <v>2478</v>
      </c>
      <c r="E1250" s="17" t="s">
        <v>2479</v>
      </c>
      <c r="F1250" s="16" t="n">
        <v>30.51648731</v>
      </c>
      <c r="G1250" s="16" t="n">
        <v>47.79080805</v>
      </c>
      <c r="H1250" s="18" t="n">
        <v>30</v>
      </c>
      <c r="I1250" s="18" t="n">
        <v>180</v>
      </c>
      <c r="J1250" s="19" t="n">
        <v>7</v>
      </c>
      <c r="K1250" s="19"/>
      <c r="L1250" s="19"/>
      <c r="M1250" s="19"/>
      <c r="N1250" s="19"/>
      <c r="O1250" s="19"/>
      <c r="P1250" s="19"/>
      <c r="Q1250" s="19"/>
      <c r="R1250" s="19" t="n">
        <v>4</v>
      </c>
      <c r="S1250" s="19"/>
      <c r="T1250" s="19"/>
      <c r="U1250" s="19"/>
      <c r="V1250" s="19" t="n">
        <v>14</v>
      </c>
      <c r="W1250" s="19"/>
      <c r="X1250" s="19" t="n">
        <v>5</v>
      </c>
      <c r="Y1250" s="19"/>
      <c r="Z1250" s="19"/>
      <c r="AA1250" s="19"/>
      <c r="AB1250" s="19"/>
      <c r="AC1250" s="19" t="n">
        <v>5</v>
      </c>
      <c r="AD1250" s="19"/>
      <c r="AE1250" s="19" t="n">
        <v>5</v>
      </c>
      <c r="AF1250" s="19"/>
      <c r="AG1250" s="19"/>
      <c r="AH1250" s="19" t="n">
        <v>20</v>
      </c>
      <c r="AI1250" s="19"/>
      <c r="AJ1250" s="19"/>
      <c r="AK1250" s="19"/>
      <c r="AL1250" s="19" t="n">
        <v>14</v>
      </c>
      <c r="AM1250" s="19" t="n">
        <v>5</v>
      </c>
      <c r="AN1250" s="19" t="n">
        <v>9</v>
      </c>
      <c r="AO1250" s="19" t="n">
        <v>2</v>
      </c>
      <c r="AP1250" s="19"/>
      <c r="AQ1250" s="19"/>
      <c r="AR1250" s="19"/>
      <c r="AS1250" s="20" t="str">
        <f aca="false">HYPERLINK("http://www.openstreetmap.org/?mlat=30.5165&amp;mlon=47.7908&amp;zoom=12#map=12/30.5165/47.7908","Maplink1")</f>
        <v>Maplink1</v>
      </c>
      <c r="AT1250" s="20" t="str">
        <f aca="false">HYPERLINK("https://www.google.iq/maps/search/+30.5165,47.7908/@30.5165,47.7908,14z?hl=en","Maplink2")</f>
        <v>Maplink2</v>
      </c>
      <c r="AU1250" s="20" t="str">
        <f aca="false">HYPERLINK("http://www.bing.com/maps/?lvl=14&amp;sty=h&amp;cp=30.5165~47.7908&amp;sp=point.30.5165_47.7908","Maplink3")</f>
        <v>Maplink3</v>
      </c>
    </row>
    <row r="1251" customFormat="false" ht="15" hidden="false" customHeight="true" outlineLevel="0" collapsed="false">
      <c r="A1251" s="15" t="n">
        <v>24481</v>
      </c>
      <c r="B1251" s="16" t="s">
        <v>18</v>
      </c>
      <c r="C1251" s="16" t="s">
        <v>18</v>
      </c>
      <c r="D1251" s="16" t="s">
        <v>2480</v>
      </c>
      <c r="E1251" s="17" t="s">
        <v>2481</v>
      </c>
      <c r="F1251" s="16" t="n">
        <v>30.48997087</v>
      </c>
      <c r="G1251" s="16" t="n">
        <v>47.81084516</v>
      </c>
      <c r="H1251" s="18" t="n">
        <v>5</v>
      </c>
      <c r="I1251" s="18" t="n">
        <v>30</v>
      </c>
      <c r="J1251" s="19" t="n">
        <v>2</v>
      </c>
      <c r="K1251" s="19"/>
      <c r="L1251" s="19" t="n">
        <v>1</v>
      </c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 t="n">
        <v>2</v>
      </c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 t="n">
        <v>5</v>
      </c>
      <c r="AI1251" s="19"/>
      <c r="AJ1251" s="19"/>
      <c r="AK1251" s="19"/>
      <c r="AL1251" s="19" t="n">
        <v>2</v>
      </c>
      <c r="AM1251" s="19" t="n">
        <v>2</v>
      </c>
      <c r="AN1251" s="19"/>
      <c r="AO1251" s="19"/>
      <c r="AP1251" s="19" t="n">
        <v>1</v>
      </c>
      <c r="AQ1251" s="19"/>
      <c r="AR1251" s="19"/>
      <c r="AS1251" s="20" t="str">
        <f aca="false">HYPERLINK("http://www.openstreetmap.org/?mlat=30.49&amp;mlon=47.8108&amp;zoom=12#map=12/30.49/47.8108","Maplink1")</f>
        <v>Maplink1</v>
      </c>
      <c r="AT1251" s="20" t="str">
        <f aca="false">HYPERLINK("https://www.google.iq/maps/search/+30.49,47.8108/@30.49,47.8108,14z?hl=en","Maplink2")</f>
        <v>Maplink2</v>
      </c>
      <c r="AU1251" s="20" t="str">
        <f aca="false">HYPERLINK("http://www.bing.com/maps/?lvl=14&amp;sty=h&amp;cp=30.49~47.8108&amp;sp=point.30.49_47.8108","Maplink3")</f>
        <v>Maplink3</v>
      </c>
    </row>
    <row r="1252" customFormat="false" ht="15" hidden="false" customHeight="true" outlineLevel="0" collapsed="false">
      <c r="A1252" s="15" t="n">
        <v>1310</v>
      </c>
      <c r="B1252" s="16" t="s">
        <v>18</v>
      </c>
      <c r="C1252" s="16" t="s">
        <v>18</v>
      </c>
      <c r="D1252" s="16" t="s">
        <v>2482</v>
      </c>
      <c r="E1252" s="17" t="s">
        <v>2483</v>
      </c>
      <c r="F1252" s="16" t="n">
        <v>30.46671482</v>
      </c>
      <c r="G1252" s="16" t="n">
        <v>47.8057861</v>
      </c>
      <c r="H1252" s="18" t="n">
        <v>7</v>
      </c>
      <c r="I1252" s="18" t="n">
        <v>42</v>
      </c>
      <c r="J1252" s="19" t="n">
        <v>2</v>
      </c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 t="n">
        <v>3</v>
      </c>
      <c r="W1252" s="19"/>
      <c r="X1252" s="19" t="n">
        <v>2</v>
      </c>
      <c r="Y1252" s="19"/>
      <c r="Z1252" s="19"/>
      <c r="AA1252" s="19"/>
      <c r="AB1252" s="19"/>
      <c r="AC1252" s="19" t="n">
        <v>4</v>
      </c>
      <c r="AD1252" s="19"/>
      <c r="AE1252" s="19"/>
      <c r="AF1252" s="19"/>
      <c r="AG1252" s="19"/>
      <c r="AH1252" s="19" t="n">
        <v>3</v>
      </c>
      <c r="AI1252" s="19"/>
      <c r="AJ1252" s="19"/>
      <c r="AK1252" s="19"/>
      <c r="AL1252" s="19" t="n">
        <v>1</v>
      </c>
      <c r="AM1252" s="19" t="n">
        <v>2</v>
      </c>
      <c r="AN1252" s="19" t="n">
        <v>2</v>
      </c>
      <c r="AO1252" s="19" t="n">
        <v>2</v>
      </c>
      <c r="AP1252" s="19"/>
      <c r="AQ1252" s="19"/>
      <c r="AR1252" s="19"/>
      <c r="AS1252" s="20" t="str">
        <f aca="false">HYPERLINK("http://www.openstreetmap.org/?mlat=30.4667&amp;mlon=47.8058&amp;zoom=12#map=12/30.4667/47.8058","Maplink1")</f>
        <v>Maplink1</v>
      </c>
      <c r="AT1252" s="20" t="str">
        <f aca="false">HYPERLINK("https://www.google.iq/maps/search/+30.4667,47.8058/@30.4667,47.8058,14z?hl=en","Maplink2")</f>
        <v>Maplink2</v>
      </c>
      <c r="AU1252" s="20" t="str">
        <f aca="false">HYPERLINK("http://www.bing.com/maps/?lvl=14&amp;sty=h&amp;cp=30.4667~47.8058&amp;sp=point.30.4667_47.8058","Maplink3")</f>
        <v>Maplink3</v>
      </c>
    </row>
    <row r="1253" customFormat="false" ht="15" hidden="false" customHeight="true" outlineLevel="0" collapsed="false">
      <c r="A1253" s="15" t="n">
        <v>24627</v>
      </c>
      <c r="B1253" s="16" t="s">
        <v>18</v>
      </c>
      <c r="C1253" s="16" t="s">
        <v>18</v>
      </c>
      <c r="D1253" s="16" t="s">
        <v>2484</v>
      </c>
      <c r="E1253" s="17" t="s">
        <v>2485</v>
      </c>
      <c r="F1253" s="16" t="n">
        <v>30.47051073</v>
      </c>
      <c r="G1253" s="16" t="n">
        <v>47.82278778</v>
      </c>
      <c r="H1253" s="18" t="n">
        <v>2</v>
      </c>
      <c r="I1253" s="18" t="n">
        <v>12</v>
      </c>
      <c r="J1253" s="19"/>
      <c r="K1253" s="19" t="n">
        <v>1</v>
      </c>
      <c r="L1253" s="19"/>
      <c r="M1253" s="19"/>
      <c r="N1253" s="19"/>
      <c r="O1253" s="19" t="n">
        <v>1</v>
      </c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 t="n">
        <v>1</v>
      </c>
      <c r="AD1253" s="19"/>
      <c r="AE1253" s="19"/>
      <c r="AF1253" s="19"/>
      <c r="AG1253" s="19"/>
      <c r="AH1253" s="19" t="n">
        <v>1</v>
      </c>
      <c r="AI1253" s="19"/>
      <c r="AJ1253" s="19"/>
      <c r="AK1253" s="19"/>
      <c r="AL1253" s="19" t="n">
        <v>1</v>
      </c>
      <c r="AM1253" s="19"/>
      <c r="AN1253" s="19" t="n">
        <v>1</v>
      </c>
      <c r="AO1253" s="19"/>
      <c r="AP1253" s="19"/>
      <c r="AQ1253" s="19"/>
      <c r="AR1253" s="19"/>
      <c r="AS1253" s="20" t="str">
        <f aca="false">HYPERLINK("http://www.openstreetmap.org/?mlat=30.4705&amp;mlon=47.8228&amp;zoom=12#map=12/30.4705/47.8228","Maplink1")</f>
        <v>Maplink1</v>
      </c>
      <c r="AT1253" s="20" t="str">
        <f aca="false">HYPERLINK("https://www.google.iq/maps/search/+30.4705,47.8228/@30.4705,47.8228,14z?hl=en","Maplink2")</f>
        <v>Maplink2</v>
      </c>
      <c r="AU1253" s="20" t="str">
        <f aca="false">HYPERLINK("http://www.bing.com/maps/?lvl=14&amp;sty=h&amp;cp=30.4705~47.8228&amp;sp=point.30.4705_47.8228","Maplink3")</f>
        <v>Maplink3</v>
      </c>
    </row>
    <row r="1254" customFormat="false" ht="15" hidden="false" customHeight="true" outlineLevel="0" collapsed="false">
      <c r="A1254" s="15" t="n">
        <v>21641</v>
      </c>
      <c r="B1254" s="16" t="s">
        <v>18</v>
      </c>
      <c r="C1254" s="16" t="s">
        <v>18</v>
      </c>
      <c r="D1254" s="16" t="s">
        <v>2486</v>
      </c>
      <c r="E1254" s="17" t="s">
        <v>2487</v>
      </c>
      <c r="F1254" s="16" t="n">
        <v>30.54014549</v>
      </c>
      <c r="G1254" s="16" t="n">
        <v>47.75428634</v>
      </c>
      <c r="H1254" s="18" t="n">
        <v>8</v>
      </c>
      <c r="I1254" s="18" t="n">
        <v>48</v>
      </c>
      <c r="J1254" s="19" t="n">
        <v>1</v>
      </c>
      <c r="K1254" s="19"/>
      <c r="L1254" s="19"/>
      <c r="M1254" s="19"/>
      <c r="N1254" s="19"/>
      <c r="O1254" s="19" t="n">
        <v>1</v>
      </c>
      <c r="P1254" s="19"/>
      <c r="Q1254" s="19"/>
      <c r="R1254" s="19" t="n">
        <v>3</v>
      </c>
      <c r="S1254" s="19"/>
      <c r="T1254" s="19"/>
      <c r="U1254" s="19"/>
      <c r="V1254" s="19" t="n">
        <v>1</v>
      </c>
      <c r="W1254" s="19"/>
      <c r="X1254" s="19" t="n">
        <v>2</v>
      </c>
      <c r="Y1254" s="19"/>
      <c r="Z1254" s="19"/>
      <c r="AA1254" s="19"/>
      <c r="AB1254" s="19"/>
      <c r="AC1254" s="19" t="n">
        <v>3</v>
      </c>
      <c r="AD1254" s="19"/>
      <c r="AE1254" s="19"/>
      <c r="AF1254" s="19"/>
      <c r="AG1254" s="19"/>
      <c r="AH1254" s="19" t="n">
        <v>5</v>
      </c>
      <c r="AI1254" s="19"/>
      <c r="AJ1254" s="19"/>
      <c r="AK1254" s="19"/>
      <c r="AL1254" s="19"/>
      <c r="AM1254" s="19" t="n">
        <v>1</v>
      </c>
      <c r="AN1254" s="19" t="n">
        <v>3</v>
      </c>
      <c r="AO1254" s="19" t="n">
        <v>3</v>
      </c>
      <c r="AP1254" s="19" t="n">
        <v>1</v>
      </c>
      <c r="AQ1254" s="19"/>
      <c r="AR1254" s="19"/>
      <c r="AS1254" s="20" t="str">
        <f aca="false">HYPERLINK("http://www.openstreetmap.org/?mlat=30.5401&amp;mlon=47.7543&amp;zoom=12#map=12/30.5401/47.7543","Maplink1")</f>
        <v>Maplink1</v>
      </c>
      <c r="AT1254" s="20" t="str">
        <f aca="false">HYPERLINK("https://www.google.iq/maps/search/+30.5401,47.7543/@30.5401,47.7543,14z?hl=en","Maplink2")</f>
        <v>Maplink2</v>
      </c>
      <c r="AU1254" s="20" t="str">
        <f aca="false">HYPERLINK("http://www.bing.com/maps/?lvl=14&amp;sty=h&amp;cp=30.5401~47.7543&amp;sp=point.30.5401_47.7543","Maplink3")</f>
        <v>Maplink3</v>
      </c>
    </row>
    <row r="1255" customFormat="false" ht="15" hidden="false" customHeight="true" outlineLevel="0" collapsed="false">
      <c r="A1255" s="15" t="n">
        <v>959</v>
      </c>
      <c r="B1255" s="16" t="s">
        <v>18</v>
      </c>
      <c r="C1255" s="16" t="s">
        <v>18</v>
      </c>
      <c r="D1255" s="16" t="s">
        <v>2488</v>
      </c>
      <c r="E1255" s="17" t="s">
        <v>2489</v>
      </c>
      <c r="F1255" s="16" t="n">
        <v>30.53554026</v>
      </c>
      <c r="G1255" s="16" t="n">
        <v>47.76052273</v>
      </c>
      <c r="H1255" s="18" t="n">
        <v>1</v>
      </c>
      <c r="I1255" s="18" t="n">
        <v>6</v>
      </c>
      <c r="J1255" s="19" t="n">
        <v>1</v>
      </c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 t="n">
        <v>1</v>
      </c>
      <c r="AF1255" s="19"/>
      <c r="AG1255" s="19"/>
      <c r="AH1255" s="19"/>
      <c r="AI1255" s="19"/>
      <c r="AJ1255" s="19"/>
      <c r="AK1255" s="19"/>
      <c r="AL1255" s="19" t="n">
        <v>1</v>
      </c>
      <c r="AM1255" s="19"/>
      <c r="AN1255" s="19"/>
      <c r="AO1255" s="19"/>
      <c r="AP1255" s="19"/>
      <c r="AQ1255" s="19"/>
      <c r="AR1255" s="19"/>
      <c r="AS1255" s="20" t="str">
        <f aca="false">HYPERLINK("http://www.openstreetmap.org/?mlat=30.5355&amp;mlon=47.7605&amp;zoom=12#map=12/30.5355/47.7605","Maplink1")</f>
        <v>Maplink1</v>
      </c>
      <c r="AT1255" s="20" t="str">
        <f aca="false">HYPERLINK("https://www.google.iq/maps/search/+30.5355,47.7605/@30.5355,47.7605,14z?hl=en","Maplink2")</f>
        <v>Maplink2</v>
      </c>
      <c r="AU1255" s="20" t="str">
        <f aca="false">HYPERLINK("http://www.bing.com/maps/?lvl=14&amp;sty=h&amp;cp=30.5355~47.7605&amp;sp=point.30.5355_47.7605","Maplink3")</f>
        <v>Maplink3</v>
      </c>
    </row>
    <row r="1256" customFormat="false" ht="15" hidden="false" customHeight="true" outlineLevel="0" collapsed="false">
      <c r="A1256" s="15" t="n">
        <v>24180</v>
      </c>
      <c r="B1256" s="16" t="s">
        <v>18</v>
      </c>
      <c r="C1256" s="16" t="s">
        <v>18</v>
      </c>
      <c r="D1256" s="16" t="s">
        <v>2490</v>
      </c>
      <c r="E1256" s="17" t="s">
        <v>2491</v>
      </c>
      <c r="F1256" s="16" t="n">
        <v>30.51292169</v>
      </c>
      <c r="G1256" s="16" t="n">
        <v>47.76797231</v>
      </c>
      <c r="H1256" s="18" t="n">
        <v>8</v>
      </c>
      <c r="I1256" s="18" t="n">
        <v>48</v>
      </c>
      <c r="J1256" s="19" t="n">
        <v>2</v>
      </c>
      <c r="K1256" s="19"/>
      <c r="L1256" s="19" t="n">
        <v>1</v>
      </c>
      <c r="M1256" s="19"/>
      <c r="N1256" s="19"/>
      <c r="O1256" s="19"/>
      <c r="P1256" s="19"/>
      <c r="Q1256" s="19"/>
      <c r="R1256" s="19"/>
      <c r="S1256" s="19"/>
      <c r="T1256" s="19"/>
      <c r="U1256" s="19"/>
      <c r="V1256" s="19" t="n">
        <v>4</v>
      </c>
      <c r="W1256" s="19"/>
      <c r="X1256" s="19" t="n">
        <v>1</v>
      </c>
      <c r="Y1256" s="19"/>
      <c r="Z1256" s="19"/>
      <c r="AA1256" s="19"/>
      <c r="AB1256" s="19"/>
      <c r="AC1256" s="19" t="n">
        <v>1</v>
      </c>
      <c r="AD1256" s="19"/>
      <c r="AE1256" s="19"/>
      <c r="AF1256" s="19"/>
      <c r="AG1256" s="19"/>
      <c r="AH1256" s="19" t="n">
        <v>7</v>
      </c>
      <c r="AI1256" s="19"/>
      <c r="AJ1256" s="19"/>
      <c r="AK1256" s="19"/>
      <c r="AL1256" s="19" t="n">
        <v>1</v>
      </c>
      <c r="AM1256" s="19" t="n">
        <v>2</v>
      </c>
      <c r="AN1256" s="19"/>
      <c r="AO1256" s="19" t="n">
        <v>3</v>
      </c>
      <c r="AP1256" s="19"/>
      <c r="AQ1256" s="19" t="n">
        <v>2</v>
      </c>
      <c r="AR1256" s="19"/>
      <c r="AS1256" s="20" t="str">
        <f aca="false">HYPERLINK("http://www.openstreetmap.org/?mlat=30.5129&amp;mlon=47.768&amp;zoom=12#map=12/30.5129/47.768","Maplink1")</f>
        <v>Maplink1</v>
      </c>
      <c r="AT1256" s="20" t="str">
        <f aca="false">HYPERLINK("https://www.google.iq/maps/search/+30.5129,47.768/@30.5129,47.768,14z?hl=en","Maplink2")</f>
        <v>Maplink2</v>
      </c>
      <c r="AU1256" s="20" t="str">
        <f aca="false">HYPERLINK("http://www.bing.com/maps/?lvl=14&amp;sty=h&amp;cp=30.5129~47.768&amp;sp=point.30.5129_47.768","Maplink3")</f>
        <v>Maplink3</v>
      </c>
    </row>
    <row r="1257" customFormat="false" ht="15" hidden="false" customHeight="true" outlineLevel="0" collapsed="false">
      <c r="A1257" s="15" t="n">
        <v>1296</v>
      </c>
      <c r="B1257" s="16" t="s">
        <v>18</v>
      </c>
      <c r="C1257" s="16" t="s">
        <v>18</v>
      </c>
      <c r="D1257" s="16" t="s">
        <v>2492</v>
      </c>
      <c r="E1257" s="17" t="s">
        <v>2493</v>
      </c>
      <c r="F1257" s="16" t="n">
        <v>30.52398279</v>
      </c>
      <c r="G1257" s="16" t="n">
        <v>47.82721217</v>
      </c>
      <c r="H1257" s="18" t="n">
        <v>2</v>
      </c>
      <c r="I1257" s="18" t="n">
        <v>12</v>
      </c>
      <c r="J1257" s="19" t="n">
        <v>1</v>
      </c>
      <c r="K1257" s="19"/>
      <c r="L1257" s="19"/>
      <c r="M1257" s="19"/>
      <c r="N1257" s="19"/>
      <c r="O1257" s="19" t="n">
        <v>1</v>
      </c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 t="n">
        <v>2</v>
      </c>
      <c r="AI1257" s="19"/>
      <c r="AJ1257" s="19"/>
      <c r="AK1257" s="19"/>
      <c r="AL1257" s="19"/>
      <c r="AM1257" s="19" t="n">
        <v>1</v>
      </c>
      <c r="AN1257" s="19"/>
      <c r="AO1257" s="19" t="n">
        <v>1</v>
      </c>
      <c r="AP1257" s="19"/>
      <c r="AQ1257" s="19"/>
      <c r="AR1257" s="19"/>
      <c r="AS1257" s="20" t="str">
        <f aca="false">HYPERLINK("http://www.openstreetmap.org/?mlat=30.524&amp;mlon=47.8272&amp;zoom=12#map=12/30.524/47.8272","Maplink1")</f>
        <v>Maplink1</v>
      </c>
      <c r="AT1257" s="20" t="str">
        <f aca="false">HYPERLINK("https://www.google.iq/maps/search/+30.524,47.8272/@30.524,47.8272,14z?hl=en","Maplink2")</f>
        <v>Maplink2</v>
      </c>
      <c r="AU1257" s="20" t="str">
        <f aca="false">HYPERLINK("http://www.bing.com/maps/?lvl=14&amp;sty=h&amp;cp=30.524~47.8272&amp;sp=point.30.524_47.8272","Maplink3")</f>
        <v>Maplink3</v>
      </c>
    </row>
    <row r="1258" customFormat="false" ht="15" hidden="false" customHeight="true" outlineLevel="0" collapsed="false">
      <c r="A1258" s="15" t="n">
        <v>920</v>
      </c>
      <c r="B1258" s="16" t="s">
        <v>18</v>
      </c>
      <c r="C1258" s="16" t="s">
        <v>18</v>
      </c>
      <c r="D1258" s="16" t="s">
        <v>2494</v>
      </c>
      <c r="E1258" s="17" t="s">
        <v>2495</v>
      </c>
      <c r="F1258" s="16" t="n">
        <v>30.52075064</v>
      </c>
      <c r="G1258" s="16" t="n">
        <v>47.81812551</v>
      </c>
      <c r="H1258" s="18" t="n">
        <v>8</v>
      </c>
      <c r="I1258" s="18" t="n">
        <v>48</v>
      </c>
      <c r="J1258" s="19" t="n">
        <v>1</v>
      </c>
      <c r="K1258" s="19"/>
      <c r="L1258" s="19"/>
      <c r="M1258" s="19"/>
      <c r="N1258" s="19"/>
      <c r="O1258" s="19" t="n">
        <v>1</v>
      </c>
      <c r="P1258" s="19"/>
      <c r="Q1258" s="19"/>
      <c r="R1258" s="19"/>
      <c r="S1258" s="19"/>
      <c r="T1258" s="19"/>
      <c r="U1258" s="19"/>
      <c r="V1258" s="19" t="n">
        <v>6</v>
      </c>
      <c r="W1258" s="19"/>
      <c r="X1258" s="19"/>
      <c r="Y1258" s="19"/>
      <c r="Z1258" s="19"/>
      <c r="AA1258" s="19"/>
      <c r="AB1258" s="19"/>
      <c r="AC1258" s="19" t="n">
        <v>3</v>
      </c>
      <c r="AD1258" s="19"/>
      <c r="AE1258" s="19" t="n">
        <v>1</v>
      </c>
      <c r="AF1258" s="19"/>
      <c r="AG1258" s="19"/>
      <c r="AH1258" s="19" t="n">
        <v>4</v>
      </c>
      <c r="AI1258" s="19"/>
      <c r="AJ1258" s="19"/>
      <c r="AK1258" s="19"/>
      <c r="AL1258" s="19"/>
      <c r="AM1258" s="19" t="n">
        <v>4</v>
      </c>
      <c r="AN1258" s="19" t="n">
        <v>1</v>
      </c>
      <c r="AO1258" s="19" t="n">
        <v>2</v>
      </c>
      <c r="AP1258" s="19"/>
      <c r="AQ1258" s="19" t="n">
        <v>1</v>
      </c>
      <c r="AR1258" s="19"/>
      <c r="AS1258" s="20" t="str">
        <f aca="false">HYPERLINK("http://www.openstreetmap.org/?mlat=30.5208&amp;mlon=47.8181&amp;zoom=12#map=12/30.5208/47.8181","Maplink1")</f>
        <v>Maplink1</v>
      </c>
      <c r="AT1258" s="20" t="str">
        <f aca="false">HYPERLINK("https://www.google.iq/maps/search/+30.5208,47.8181/@30.5208,47.8181,14z?hl=en","Maplink2")</f>
        <v>Maplink2</v>
      </c>
      <c r="AU1258" s="20" t="str">
        <f aca="false">HYPERLINK("http://www.bing.com/maps/?lvl=14&amp;sty=h&amp;cp=30.5208~47.8181&amp;sp=point.30.5208_47.8181","Maplink3")</f>
        <v>Maplink3</v>
      </c>
    </row>
    <row r="1259" customFormat="false" ht="15" hidden="false" customHeight="true" outlineLevel="0" collapsed="false">
      <c r="A1259" s="15" t="n">
        <v>905</v>
      </c>
      <c r="B1259" s="16" t="s">
        <v>18</v>
      </c>
      <c r="C1259" s="16" t="s">
        <v>18</v>
      </c>
      <c r="D1259" s="16" t="s">
        <v>2496</v>
      </c>
      <c r="E1259" s="17" t="s">
        <v>2497</v>
      </c>
      <c r="F1259" s="16" t="n">
        <v>30.50919732</v>
      </c>
      <c r="G1259" s="16" t="n">
        <v>47.79174213</v>
      </c>
      <c r="H1259" s="18" t="n">
        <v>7</v>
      </c>
      <c r="I1259" s="18" t="n">
        <v>42</v>
      </c>
      <c r="J1259" s="19"/>
      <c r="K1259" s="19"/>
      <c r="L1259" s="19" t="n">
        <v>4</v>
      </c>
      <c r="M1259" s="19"/>
      <c r="N1259" s="19"/>
      <c r="O1259" s="19" t="n">
        <v>1</v>
      </c>
      <c r="P1259" s="19"/>
      <c r="Q1259" s="19"/>
      <c r="R1259" s="19" t="n">
        <v>1</v>
      </c>
      <c r="S1259" s="19"/>
      <c r="T1259" s="19"/>
      <c r="U1259" s="19"/>
      <c r="V1259" s="19" t="n">
        <v>1</v>
      </c>
      <c r="W1259" s="19"/>
      <c r="X1259" s="19"/>
      <c r="Y1259" s="19"/>
      <c r="Z1259" s="19"/>
      <c r="AA1259" s="19"/>
      <c r="AB1259" s="19"/>
      <c r="AC1259" s="19" t="n">
        <v>2</v>
      </c>
      <c r="AD1259" s="19"/>
      <c r="AE1259" s="19"/>
      <c r="AF1259" s="19"/>
      <c r="AG1259" s="19"/>
      <c r="AH1259" s="19" t="n">
        <v>5</v>
      </c>
      <c r="AI1259" s="19"/>
      <c r="AJ1259" s="19"/>
      <c r="AK1259" s="19"/>
      <c r="AL1259" s="19" t="n">
        <v>5</v>
      </c>
      <c r="AM1259" s="19" t="n">
        <v>1</v>
      </c>
      <c r="AN1259" s="19" t="n">
        <v>1</v>
      </c>
      <c r="AO1259" s="19"/>
      <c r="AP1259" s="19"/>
      <c r="AQ1259" s="19"/>
      <c r="AR1259" s="19"/>
      <c r="AS1259" s="20" t="str">
        <f aca="false">HYPERLINK("http://www.openstreetmap.org/?mlat=30.5092&amp;mlon=47.7917&amp;zoom=12#map=12/30.5092/47.7917","Maplink1")</f>
        <v>Maplink1</v>
      </c>
      <c r="AT1259" s="20" t="str">
        <f aca="false">HYPERLINK("https://www.google.iq/maps/search/+30.5092,47.7917/@30.5092,47.7917,14z?hl=en","Maplink2")</f>
        <v>Maplink2</v>
      </c>
      <c r="AU1259" s="20" t="str">
        <f aca="false">HYPERLINK("http://www.bing.com/maps/?lvl=14&amp;sty=h&amp;cp=30.5092~47.7917&amp;sp=point.30.5092_47.7917","Maplink3")</f>
        <v>Maplink3</v>
      </c>
    </row>
    <row r="1260" customFormat="false" ht="15" hidden="false" customHeight="true" outlineLevel="0" collapsed="false">
      <c r="A1260" s="15" t="n">
        <v>1030</v>
      </c>
      <c r="B1260" s="16" t="s">
        <v>18</v>
      </c>
      <c r="C1260" s="16" t="s">
        <v>18</v>
      </c>
      <c r="D1260" s="16" t="s">
        <v>2498</v>
      </c>
      <c r="E1260" s="17" t="s">
        <v>2499</v>
      </c>
      <c r="F1260" s="16" t="n">
        <v>30.58571727</v>
      </c>
      <c r="G1260" s="16" t="n">
        <v>47.75861719</v>
      </c>
      <c r="H1260" s="18" t="n">
        <v>8</v>
      </c>
      <c r="I1260" s="18" t="n">
        <v>48</v>
      </c>
      <c r="J1260" s="19" t="n">
        <v>2</v>
      </c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 t="n">
        <v>6</v>
      </c>
      <c r="W1260" s="19"/>
      <c r="X1260" s="19"/>
      <c r="Y1260" s="19"/>
      <c r="Z1260" s="19"/>
      <c r="AA1260" s="19"/>
      <c r="AB1260" s="19"/>
      <c r="AC1260" s="19" t="n">
        <v>5</v>
      </c>
      <c r="AD1260" s="19"/>
      <c r="AE1260" s="19" t="n">
        <v>2</v>
      </c>
      <c r="AF1260" s="19"/>
      <c r="AG1260" s="19"/>
      <c r="AH1260" s="19" t="n">
        <v>1</v>
      </c>
      <c r="AI1260" s="19"/>
      <c r="AJ1260" s="19"/>
      <c r="AK1260" s="19"/>
      <c r="AL1260" s="19" t="n">
        <v>2</v>
      </c>
      <c r="AM1260" s="19" t="n">
        <v>6</v>
      </c>
      <c r="AN1260" s="19"/>
      <c r="AO1260" s="19"/>
      <c r="AP1260" s="19"/>
      <c r="AQ1260" s="19"/>
      <c r="AR1260" s="19"/>
      <c r="AS1260" s="20" t="str">
        <f aca="false">HYPERLINK("http://www.openstreetmap.org/?mlat=30.5857&amp;mlon=47.7586&amp;zoom=12#map=12/30.5857/47.7586","Maplink1")</f>
        <v>Maplink1</v>
      </c>
      <c r="AT1260" s="20" t="str">
        <f aca="false">HYPERLINK("https://www.google.iq/maps/search/+30.5857,47.7586/@30.5857,47.7586,14z?hl=en","Maplink2")</f>
        <v>Maplink2</v>
      </c>
      <c r="AU1260" s="20" t="str">
        <f aca="false">HYPERLINK("http://www.bing.com/maps/?lvl=14&amp;sty=h&amp;cp=30.5857~47.7586&amp;sp=point.30.5857_47.7586","Maplink3")</f>
        <v>Maplink3</v>
      </c>
    </row>
    <row r="1261" customFormat="false" ht="15" hidden="false" customHeight="true" outlineLevel="0" collapsed="false">
      <c r="A1261" s="15" t="n">
        <v>1308</v>
      </c>
      <c r="B1261" s="16" t="s">
        <v>18</v>
      </c>
      <c r="C1261" s="16" t="s">
        <v>18</v>
      </c>
      <c r="D1261" s="16" t="s">
        <v>2500</v>
      </c>
      <c r="E1261" s="17" t="s">
        <v>2501</v>
      </c>
      <c r="F1261" s="16" t="n">
        <v>30.49900715</v>
      </c>
      <c r="G1261" s="16" t="n">
        <v>47.81347959</v>
      </c>
      <c r="H1261" s="18" t="n">
        <v>22</v>
      </c>
      <c r="I1261" s="18" t="n">
        <v>132</v>
      </c>
      <c r="J1261" s="19" t="n">
        <v>5</v>
      </c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 t="n">
        <v>7</v>
      </c>
      <c r="W1261" s="19"/>
      <c r="X1261" s="19" t="n">
        <v>10</v>
      </c>
      <c r="Y1261" s="19"/>
      <c r="Z1261" s="19"/>
      <c r="AA1261" s="19"/>
      <c r="AB1261" s="19"/>
      <c r="AC1261" s="19" t="n">
        <v>9</v>
      </c>
      <c r="AD1261" s="19"/>
      <c r="AE1261" s="19"/>
      <c r="AF1261" s="19"/>
      <c r="AG1261" s="19"/>
      <c r="AH1261" s="19" t="n">
        <v>13</v>
      </c>
      <c r="AI1261" s="19"/>
      <c r="AJ1261" s="19"/>
      <c r="AK1261" s="19"/>
      <c r="AL1261" s="19" t="n">
        <v>2</v>
      </c>
      <c r="AM1261" s="19" t="n">
        <v>6</v>
      </c>
      <c r="AN1261" s="19" t="n">
        <v>4</v>
      </c>
      <c r="AO1261" s="19" t="n">
        <v>10</v>
      </c>
      <c r="AP1261" s="19"/>
      <c r="AQ1261" s="19"/>
      <c r="AR1261" s="19"/>
      <c r="AS1261" s="20" t="str">
        <f aca="false">HYPERLINK("http://www.openstreetmap.org/?mlat=30.499&amp;mlon=47.8135&amp;zoom=12#map=12/30.499/47.8135","Maplink1")</f>
        <v>Maplink1</v>
      </c>
      <c r="AT1261" s="20" t="str">
        <f aca="false">HYPERLINK("https://www.google.iq/maps/search/+30.499,47.8135/@30.499,47.8135,14z?hl=en","Maplink2")</f>
        <v>Maplink2</v>
      </c>
      <c r="AU1261" s="20" t="str">
        <f aca="false">HYPERLINK("http://www.bing.com/maps/?lvl=14&amp;sty=h&amp;cp=30.499~47.8135&amp;sp=point.30.499_47.8135","Maplink3")</f>
        <v>Maplink3</v>
      </c>
    </row>
    <row r="1262" customFormat="false" ht="15" hidden="false" customHeight="true" outlineLevel="0" collapsed="false">
      <c r="A1262" s="15" t="n">
        <v>872</v>
      </c>
      <c r="B1262" s="16" t="s">
        <v>18</v>
      </c>
      <c r="C1262" s="16" t="s">
        <v>18</v>
      </c>
      <c r="D1262" s="16" t="s">
        <v>2502</v>
      </c>
      <c r="E1262" s="17" t="s">
        <v>2503</v>
      </c>
      <c r="F1262" s="16" t="n">
        <v>30.49970205</v>
      </c>
      <c r="G1262" s="16" t="n">
        <v>47.85495023</v>
      </c>
      <c r="H1262" s="18" t="n">
        <v>9</v>
      </c>
      <c r="I1262" s="18" t="n">
        <v>54</v>
      </c>
      <c r="J1262" s="19" t="n">
        <v>1</v>
      </c>
      <c r="K1262" s="19"/>
      <c r="L1262" s="19"/>
      <c r="M1262" s="19"/>
      <c r="N1262" s="19"/>
      <c r="O1262" s="19"/>
      <c r="P1262" s="19"/>
      <c r="Q1262" s="19"/>
      <c r="R1262" s="19" t="n">
        <v>2</v>
      </c>
      <c r="S1262" s="19"/>
      <c r="T1262" s="19"/>
      <c r="U1262" s="19"/>
      <c r="V1262" s="19" t="n">
        <v>2</v>
      </c>
      <c r="W1262" s="19"/>
      <c r="X1262" s="19" t="n">
        <v>4</v>
      </c>
      <c r="Y1262" s="19"/>
      <c r="Z1262" s="19"/>
      <c r="AA1262" s="19"/>
      <c r="AB1262" s="19"/>
      <c r="AC1262" s="19" t="n">
        <v>6</v>
      </c>
      <c r="AD1262" s="19"/>
      <c r="AE1262" s="19"/>
      <c r="AF1262" s="19"/>
      <c r="AG1262" s="19"/>
      <c r="AH1262" s="19" t="n">
        <v>3</v>
      </c>
      <c r="AI1262" s="19"/>
      <c r="AJ1262" s="19"/>
      <c r="AK1262" s="19"/>
      <c r="AL1262" s="19"/>
      <c r="AM1262" s="19" t="n">
        <v>3</v>
      </c>
      <c r="AN1262" s="19"/>
      <c r="AO1262" s="19" t="n">
        <v>4</v>
      </c>
      <c r="AP1262" s="19" t="n">
        <v>1</v>
      </c>
      <c r="AQ1262" s="19"/>
      <c r="AR1262" s="19" t="n">
        <v>1</v>
      </c>
      <c r="AS1262" s="20" t="str">
        <f aca="false">HYPERLINK("http://www.openstreetmap.org/?mlat=30.4997&amp;mlon=47.855&amp;zoom=12#map=12/30.4997/47.855","Maplink1")</f>
        <v>Maplink1</v>
      </c>
      <c r="AT1262" s="20" t="str">
        <f aca="false">HYPERLINK("https://www.google.iq/maps/search/+30.4997,47.855/@30.4997,47.855,14z?hl=en","Maplink2")</f>
        <v>Maplink2</v>
      </c>
      <c r="AU1262" s="20" t="str">
        <f aca="false">HYPERLINK("http://www.bing.com/maps/?lvl=14&amp;sty=h&amp;cp=30.4997~47.855&amp;sp=point.30.4997_47.855","Maplink3")</f>
        <v>Maplink3</v>
      </c>
    </row>
    <row r="1263" customFormat="false" ht="15" hidden="false" customHeight="true" outlineLevel="0" collapsed="false">
      <c r="A1263" s="15" t="n">
        <v>998</v>
      </c>
      <c r="B1263" s="16" t="s">
        <v>18</v>
      </c>
      <c r="C1263" s="16" t="s">
        <v>18</v>
      </c>
      <c r="D1263" s="16" t="s">
        <v>2504</v>
      </c>
      <c r="E1263" s="17" t="s">
        <v>2505</v>
      </c>
      <c r="F1263" s="16" t="n">
        <v>30.45648114</v>
      </c>
      <c r="G1263" s="16" t="n">
        <v>47.80000929</v>
      </c>
      <c r="H1263" s="18" t="n">
        <v>13</v>
      </c>
      <c r="I1263" s="18" t="n">
        <v>78</v>
      </c>
      <c r="J1263" s="19"/>
      <c r="K1263" s="19" t="n">
        <v>2</v>
      </c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 t="n">
        <v>5</v>
      </c>
      <c r="W1263" s="19"/>
      <c r="X1263" s="19" t="n">
        <v>6</v>
      </c>
      <c r="Y1263" s="19"/>
      <c r="Z1263" s="19"/>
      <c r="AA1263" s="19"/>
      <c r="AB1263" s="19"/>
      <c r="AC1263" s="19" t="n">
        <v>1</v>
      </c>
      <c r="AD1263" s="19"/>
      <c r="AE1263" s="19"/>
      <c r="AF1263" s="19"/>
      <c r="AG1263" s="19"/>
      <c r="AH1263" s="19" t="n">
        <v>12</v>
      </c>
      <c r="AI1263" s="19"/>
      <c r="AJ1263" s="19"/>
      <c r="AK1263" s="19"/>
      <c r="AL1263" s="19" t="n">
        <v>1</v>
      </c>
      <c r="AM1263" s="19"/>
      <c r="AN1263" s="19" t="n">
        <v>3</v>
      </c>
      <c r="AO1263" s="19" t="n">
        <v>9</v>
      </c>
      <c r="AP1263" s="19"/>
      <c r="AQ1263" s="19"/>
      <c r="AR1263" s="19"/>
      <c r="AS1263" s="20" t="str">
        <f aca="false">HYPERLINK("http://www.openstreetmap.org/?mlat=30.4565&amp;mlon=47.8&amp;zoom=12#map=12/30.4565/47.8","Maplink1")</f>
        <v>Maplink1</v>
      </c>
      <c r="AT1263" s="20" t="str">
        <f aca="false">HYPERLINK("https://www.google.iq/maps/search/+30.4565,47.8/@30.4565,47.8,14z?hl=en","Maplink2")</f>
        <v>Maplink2</v>
      </c>
      <c r="AU1263" s="20" t="str">
        <f aca="false">HYPERLINK("http://www.bing.com/maps/?lvl=14&amp;sty=h&amp;cp=30.4565~47.8&amp;sp=point.30.4565_47.8","Maplink3")</f>
        <v>Maplink3</v>
      </c>
    </row>
    <row r="1264" customFormat="false" ht="15" hidden="false" customHeight="true" outlineLevel="0" collapsed="false">
      <c r="A1264" s="15" t="n">
        <v>951</v>
      </c>
      <c r="B1264" s="16" t="s">
        <v>18</v>
      </c>
      <c r="C1264" s="16" t="s">
        <v>18</v>
      </c>
      <c r="D1264" s="16" t="s">
        <v>2506</v>
      </c>
      <c r="E1264" s="17" t="s">
        <v>2507</v>
      </c>
      <c r="F1264" s="16" t="n">
        <v>30.52641828</v>
      </c>
      <c r="G1264" s="16" t="n">
        <v>47.8150121</v>
      </c>
      <c r="H1264" s="18" t="n">
        <v>11</v>
      </c>
      <c r="I1264" s="18" t="n">
        <v>66</v>
      </c>
      <c r="J1264" s="19" t="n">
        <v>1</v>
      </c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 t="n">
        <v>5</v>
      </c>
      <c r="W1264" s="19"/>
      <c r="X1264" s="19" t="n">
        <v>5</v>
      </c>
      <c r="Y1264" s="19"/>
      <c r="Z1264" s="19"/>
      <c r="AA1264" s="19"/>
      <c r="AB1264" s="19"/>
      <c r="AC1264" s="19" t="n">
        <v>5</v>
      </c>
      <c r="AD1264" s="19"/>
      <c r="AE1264" s="19"/>
      <c r="AF1264" s="19"/>
      <c r="AG1264" s="19"/>
      <c r="AH1264" s="19" t="n">
        <v>6</v>
      </c>
      <c r="AI1264" s="19"/>
      <c r="AJ1264" s="19"/>
      <c r="AK1264" s="19"/>
      <c r="AL1264" s="19" t="n">
        <v>1</v>
      </c>
      <c r="AM1264" s="19" t="n">
        <v>4</v>
      </c>
      <c r="AN1264" s="19" t="n">
        <v>4</v>
      </c>
      <c r="AO1264" s="19"/>
      <c r="AP1264" s="19" t="n">
        <v>1</v>
      </c>
      <c r="AQ1264" s="19"/>
      <c r="AR1264" s="19" t="n">
        <v>1</v>
      </c>
      <c r="AS1264" s="20" t="str">
        <f aca="false">HYPERLINK("http://www.openstreetmap.org/?mlat=30.5264&amp;mlon=47.815&amp;zoom=12#map=12/30.5264/47.815","Maplink1")</f>
        <v>Maplink1</v>
      </c>
      <c r="AT1264" s="20" t="str">
        <f aca="false">HYPERLINK("https://www.google.iq/maps/search/+30.5264,47.815/@30.5264,47.815,14z?hl=en","Maplink2")</f>
        <v>Maplink2</v>
      </c>
      <c r="AU1264" s="20" t="str">
        <f aca="false">HYPERLINK("http://www.bing.com/maps/?lvl=14&amp;sty=h&amp;cp=30.5264~47.815&amp;sp=point.30.5264_47.815","Maplink3")</f>
        <v>Maplink3</v>
      </c>
    </row>
    <row r="1265" customFormat="false" ht="15" hidden="false" customHeight="true" outlineLevel="0" collapsed="false">
      <c r="A1265" s="15" t="n">
        <v>1022</v>
      </c>
      <c r="B1265" s="16" t="s">
        <v>18</v>
      </c>
      <c r="C1265" s="16" t="s">
        <v>18</v>
      </c>
      <c r="D1265" s="16" t="s">
        <v>2508</v>
      </c>
      <c r="E1265" s="17" t="s">
        <v>2509</v>
      </c>
      <c r="F1265" s="16" t="n">
        <v>30.5768202</v>
      </c>
      <c r="G1265" s="16" t="n">
        <v>47.7592218</v>
      </c>
      <c r="H1265" s="18" t="n">
        <v>5</v>
      </c>
      <c r="I1265" s="18" t="n">
        <v>30</v>
      </c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 t="n">
        <v>5</v>
      </c>
      <c r="W1265" s="19"/>
      <c r="X1265" s="19"/>
      <c r="Y1265" s="19"/>
      <c r="Z1265" s="19"/>
      <c r="AA1265" s="19"/>
      <c r="AB1265" s="19"/>
      <c r="AC1265" s="19" t="n">
        <v>5</v>
      </c>
      <c r="AD1265" s="19"/>
      <c r="AE1265" s="19"/>
      <c r="AF1265" s="19"/>
      <c r="AG1265" s="19"/>
      <c r="AH1265" s="19"/>
      <c r="AI1265" s="19"/>
      <c r="AJ1265" s="19"/>
      <c r="AK1265" s="19"/>
      <c r="AL1265" s="19"/>
      <c r="AM1265" s="19"/>
      <c r="AN1265" s="19" t="n">
        <v>5</v>
      </c>
      <c r="AO1265" s="19"/>
      <c r="AP1265" s="19"/>
      <c r="AQ1265" s="19"/>
      <c r="AR1265" s="19"/>
      <c r="AS1265" s="20" t="str">
        <f aca="false">HYPERLINK("http://www.openstreetmap.org/?mlat=30.5768&amp;mlon=47.7592&amp;zoom=12#map=12/30.5768/47.7592","Maplink1")</f>
        <v>Maplink1</v>
      </c>
      <c r="AT1265" s="20" t="str">
        <f aca="false">HYPERLINK("https://www.google.iq/maps/search/+30.5768,47.7592/@30.5768,47.7592,14z?hl=en","Maplink2")</f>
        <v>Maplink2</v>
      </c>
      <c r="AU1265" s="20" t="str">
        <f aca="false">HYPERLINK("http://www.bing.com/maps/?lvl=14&amp;sty=h&amp;cp=30.5768~47.7592&amp;sp=point.30.5768_47.7592","Maplink3")</f>
        <v>Maplink3</v>
      </c>
    </row>
    <row r="1266" customFormat="false" ht="15" hidden="false" customHeight="true" outlineLevel="0" collapsed="false">
      <c r="A1266" s="15" t="n">
        <v>884</v>
      </c>
      <c r="B1266" s="16" t="s">
        <v>18</v>
      </c>
      <c r="C1266" s="16" t="s">
        <v>18</v>
      </c>
      <c r="D1266" s="16" t="s">
        <v>2510</v>
      </c>
      <c r="E1266" s="17" t="s">
        <v>2511</v>
      </c>
      <c r="F1266" s="16" t="n">
        <v>30.500278</v>
      </c>
      <c r="G1266" s="16" t="n">
        <v>47.823889</v>
      </c>
      <c r="H1266" s="18" t="n">
        <v>3</v>
      </c>
      <c r="I1266" s="18" t="n">
        <v>18</v>
      </c>
      <c r="J1266" s="19" t="n">
        <v>2</v>
      </c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 t="n">
        <v>1</v>
      </c>
      <c r="W1266" s="19"/>
      <c r="X1266" s="19"/>
      <c r="Y1266" s="19"/>
      <c r="Z1266" s="19"/>
      <c r="AA1266" s="19"/>
      <c r="AB1266" s="19"/>
      <c r="AC1266" s="19" t="n">
        <v>3</v>
      </c>
      <c r="AD1266" s="19"/>
      <c r="AE1266" s="19"/>
      <c r="AF1266" s="19"/>
      <c r="AG1266" s="19"/>
      <c r="AH1266" s="19"/>
      <c r="AI1266" s="19"/>
      <c r="AJ1266" s="19"/>
      <c r="AK1266" s="19"/>
      <c r="AL1266" s="19"/>
      <c r="AM1266" s="19"/>
      <c r="AN1266" s="19"/>
      <c r="AO1266" s="19" t="n">
        <v>2</v>
      </c>
      <c r="AP1266" s="19" t="n">
        <v>1</v>
      </c>
      <c r="AQ1266" s="19"/>
      <c r="AR1266" s="19"/>
      <c r="AS1266" s="20" t="str">
        <f aca="false">HYPERLINK("http://www.openstreetmap.org/?mlat=30.5003&amp;mlon=47.8239&amp;zoom=12#map=12/30.5003/47.8239","Maplink1")</f>
        <v>Maplink1</v>
      </c>
      <c r="AT1266" s="20" t="str">
        <f aca="false">HYPERLINK("https://www.google.iq/maps/search/+30.5003,47.8239/@30.5003,47.8239,14z?hl=en","Maplink2")</f>
        <v>Maplink2</v>
      </c>
      <c r="AU1266" s="20" t="str">
        <f aca="false">HYPERLINK("http://www.bing.com/maps/?lvl=14&amp;sty=h&amp;cp=30.5003~47.8239&amp;sp=point.30.5003_47.8239","Maplink3")</f>
        <v>Maplink3</v>
      </c>
    </row>
    <row r="1267" customFormat="false" ht="15" hidden="false" customHeight="true" outlineLevel="0" collapsed="false">
      <c r="A1267" s="15" t="n">
        <v>1275</v>
      </c>
      <c r="B1267" s="16" t="s">
        <v>18</v>
      </c>
      <c r="C1267" s="16" t="s">
        <v>18</v>
      </c>
      <c r="D1267" s="16" t="s">
        <v>2512</v>
      </c>
      <c r="E1267" s="17" t="s">
        <v>2513</v>
      </c>
      <c r="F1267" s="16" t="n">
        <v>30.54156161</v>
      </c>
      <c r="G1267" s="16" t="n">
        <v>47.79653968</v>
      </c>
      <c r="H1267" s="18" t="n">
        <v>8</v>
      </c>
      <c r="I1267" s="18" t="n">
        <v>48</v>
      </c>
      <c r="J1267" s="19" t="n">
        <v>1</v>
      </c>
      <c r="K1267" s="19"/>
      <c r="L1267" s="19"/>
      <c r="M1267" s="19"/>
      <c r="N1267" s="19"/>
      <c r="O1267" s="19" t="n">
        <v>1</v>
      </c>
      <c r="P1267" s="19"/>
      <c r="Q1267" s="19"/>
      <c r="R1267" s="19"/>
      <c r="S1267" s="19"/>
      <c r="T1267" s="19"/>
      <c r="U1267" s="19"/>
      <c r="V1267" s="19" t="n">
        <v>4</v>
      </c>
      <c r="W1267" s="19"/>
      <c r="X1267" s="19" t="n">
        <v>2</v>
      </c>
      <c r="Y1267" s="19"/>
      <c r="Z1267" s="19"/>
      <c r="AA1267" s="19"/>
      <c r="AB1267" s="19"/>
      <c r="AC1267" s="19" t="n">
        <v>2</v>
      </c>
      <c r="AD1267" s="19"/>
      <c r="AE1267" s="19"/>
      <c r="AF1267" s="19"/>
      <c r="AG1267" s="19"/>
      <c r="AH1267" s="19" t="n">
        <v>6</v>
      </c>
      <c r="AI1267" s="19"/>
      <c r="AJ1267" s="19"/>
      <c r="AK1267" s="19"/>
      <c r="AL1267" s="19" t="n">
        <v>1</v>
      </c>
      <c r="AM1267" s="19" t="n">
        <v>2</v>
      </c>
      <c r="AN1267" s="19" t="n">
        <v>3</v>
      </c>
      <c r="AO1267" s="19" t="n">
        <v>2</v>
      </c>
      <c r="AP1267" s="19"/>
      <c r="AQ1267" s="19"/>
      <c r="AR1267" s="19"/>
      <c r="AS1267" s="20" t="str">
        <f aca="false">HYPERLINK("http://www.openstreetmap.org/?mlat=30.5416&amp;mlon=47.7965&amp;zoom=12#map=12/30.5416/47.7965","Maplink1")</f>
        <v>Maplink1</v>
      </c>
      <c r="AT1267" s="20" t="str">
        <f aca="false">HYPERLINK("https://www.google.iq/maps/search/+30.5416,47.7965/@30.5416,47.7965,14z?hl=en","Maplink2")</f>
        <v>Maplink2</v>
      </c>
      <c r="AU1267" s="20" t="str">
        <f aca="false">HYPERLINK("http://www.bing.com/maps/?lvl=14&amp;sty=h&amp;cp=30.5416~47.7965&amp;sp=point.30.5416_47.7965","Maplink3")</f>
        <v>Maplink3</v>
      </c>
    </row>
    <row r="1268" customFormat="false" ht="15" hidden="false" customHeight="true" outlineLevel="0" collapsed="false">
      <c r="A1268" s="15" t="n">
        <v>986</v>
      </c>
      <c r="B1268" s="16" t="s">
        <v>18</v>
      </c>
      <c r="C1268" s="16" t="s">
        <v>18</v>
      </c>
      <c r="D1268" s="16" t="s">
        <v>2514</v>
      </c>
      <c r="E1268" s="17" t="s">
        <v>2515</v>
      </c>
      <c r="F1268" s="16" t="n">
        <v>30.54530744</v>
      </c>
      <c r="G1268" s="16" t="n">
        <v>47.80511831</v>
      </c>
      <c r="H1268" s="18" t="n">
        <v>8</v>
      </c>
      <c r="I1268" s="18" t="n">
        <v>48</v>
      </c>
      <c r="J1268" s="19" t="n">
        <v>1</v>
      </c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 t="n">
        <v>3</v>
      </c>
      <c r="W1268" s="19"/>
      <c r="X1268" s="19" t="n">
        <v>4</v>
      </c>
      <c r="Y1268" s="19"/>
      <c r="Z1268" s="19"/>
      <c r="AA1268" s="19"/>
      <c r="AB1268" s="19"/>
      <c r="AC1268" s="19" t="n">
        <v>4</v>
      </c>
      <c r="AD1268" s="19"/>
      <c r="AE1268" s="19"/>
      <c r="AF1268" s="19"/>
      <c r="AG1268" s="19"/>
      <c r="AH1268" s="19" t="n">
        <v>4</v>
      </c>
      <c r="AI1268" s="19"/>
      <c r="AJ1268" s="19"/>
      <c r="AK1268" s="19"/>
      <c r="AL1268" s="19" t="n">
        <v>3</v>
      </c>
      <c r="AM1268" s="19"/>
      <c r="AN1268" s="19"/>
      <c r="AO1268" s="19" t="n">
        <v>4</v>
      </c>
      <c r="AP1268" s="19" t="n">
        <v>1</v>
      </c>
      <c r="AQ1268" s="19"/>
      <c r="AR1268" s="19"/>
      <c r="AS1268" s="20" t="str">
        <f aca="false">HYPERLINK("http://www.openstreetmap.org/?mlat=30.5453&amp;mlon=47.8051&amp;zoom=12#map=12/30.5453/47.8051","Maplink1")</f>
        <v>Maplink1</v>
      </c>
      <c r="AT1268" s="20" t="str">
        <f aca="false">HYPERLINK("https://www.google.iq/maps/search/+30.5453,47.8051/@30.5453,47.8051,14z?hl=en","Maplink2")</f>
        <v>Maplink2</v>
      </c>
      <c r="AU1268" s="20" t="str">
        <f aca="false">HYPERLINK("http://www.bing.com/maps/?lvl=14&amp;sty=h&amp;cp=30.5453~47.8051&amp;sp=point.30.5453_47.8051","Maplink3")</f>
        <v>Maplink3</v>
      </c>
    </row>
    <row r="1269" customFormat="false" ht="15" hidden="false" customHeight="true" outlineLevel="0" collapsed="false">
      <c r="A1269" s="15" t="n">
        <v>862</v>
      </c>
      <c r="B1269" s="16" t="s">
        <v>18</v>
      </c>
      <c r="C1269" s="16" t="s">
        <v>18</v>
      </c>
      <c r="D1269" s="16" t="s">
        <v>2516</v>
      </c>
      <c r="E1269" s="17" t="s">
        <v>2517</v>
      </c>
      <c r="F1269" s="16" t="n">
        <v>30.49481821</v>
      </c>
      <c r="G1269" s="16" t="n">
        <v>47.82242396</v>
      </c>
      <c r="H1269" s="18" t="n">
        <v>5</v>
      </c>
      <c r="I1269" s="18" t="n">
        <v>30</v>
      </c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 t="n">
        <v>5</v>
      </c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 t="n">
        <v>5</v>
      </c>
      <c r="AI1269" s="19"/>
      <c r="AJ1269" s="19"/>
      <c r="AK1269" s="19"/>
      <c r="AL1269" s="19"/>
      <c r="AM1269" s="19"/>
      <c r="AN1269" s="19" t="n">
        <v>3</v>
      </c>
      <c r="AO1269" s="19" t="n">
        <v>2</v>
      </c>
      <c r="AP1269" s="19"/>
      <c r="AQ1269" s="19"/>
      <c r="AR1269" s="19"/>
      <c r="AS1269" s="20" t="str">
        <f aca="false">HYPERLINK("http://www.openstreetmap.org/?mlat=30.4948&amp;mlon=47.8224&amp;zoom=12#map=12/30.4948/47.8224","Maplink1")</f>
        <v>Maplink1</v>
      </c>
      <c r="AT1269" s="20" t="str">
        <f aca="false">HYPERLINK("https://www.google.iq/maps/search/+30.4948,47.8224/@30.4948,47.8224,14z?hl=en","Maplink2")</f>
        <v>Maplink2</v>
      </c>
      <c r="AU1269" s="20" t="str">
        <f aca="false">HYPERLINK("http://www.bing.com/maps/?lvl=14&amp;sty=h&amp;cp=30.4948~47.8224&amp;sp=point.30.4948_47.8224","Maplink3")</f>
        <v>Maplink3</v>
      </c>
    </row>
    <row r="1270" customFormat="false" ht="15" hidden="false" customHeight="true" outlineLevel="0" collapsed="false">
      <c r="A1270" s="15" t="n">
        <v>847</v>
      </c>
      <c r="B1270" s="16" t="s">
        <v>18</v>
      </c>
      <c r="C1270" s="16" t="s">
        <v>18</v>
      </c>
      <c r="D1270" s="16" t="s">
        <v>2518</v>
      </c>
      <c r="E1270" s="17" t="s">
        <v>2519</v>
      </c>
      <c r="F1270" s="16" t="n">
        <v>30.49086434</v>
      </c>
      <c r="G1270" s="16" t="n">
        <v>47.81606331</v>
      </c>
      <c r="H1270" s="18" t="n">
        <v>13</v>
      </c>
      <c r="I1270" s="18" t="n">
        <v>78</v>
      </c>
      <c r="J1270" s="19" t="n">
        <v>3</v>
      </c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 t="n">
        <v>5</v>
      </c>
      <c r="W1270" s="19"/>
      <c r="X1270" s="19" t="n">
        <v>5</v>
      </c>
      <c r="Y1270" s="19"/>
      <c r="Z1270" s="19"/>
      <c r="AA1270" s="19"/>
      <c r="AB1270" s="19"/>
      <c r="AC1270" s="19" t="n">
        <v>5</v>
      </c>
      <c r="AD1270" s="19"/>
      <c r="AE1270" s="19"/>
      <c r="AF1270" s="19"/>
      <c r="AG1270" s="19"/>
      <c r="AH1270" s="19" t="n">
        <v>8</v>
      </c>
      <c r="AI1270" s="19"/>
      <c r="AJ1270" s="19"/>
      <c r="AK1270" s="19"/>
      <c r="AL1270" s="19"/>
      <c r="AM1270" s="19" t="n">
        <v>8</v>
      </c>
      <c r="AN1270" s="19" t="n">
        <v>2</v>
      </c>
      <c r="AO1270" s="19" t="n">
        <v>2</v>
      </c>
      <c r="AP1270" s="19" t="n">
        <v>1</v>
      </c>
      <c r="AQ1270" s="19"/>
      <c r="AR1270" s="19"/>
      <c r="AS1270" s="20" t="str">
        <f aca="false">HYPERLINK("http://www.openstreetmap.org/?mlat=30.4909&amp;mlon=47.8161&amp;zoom=12#map=12/30.4909/47.8161","Maplink1")</f>
        <v>Maplink1</v>
      </c>
      <c r="AT1270" s="20" t="str">
        <f aca="false">HYPERLINK("https://www.google.iq/maps/search/+30.4909,47.8161/@30.4909,47.8161,14z?hl=en","Maplink2")</f>
        <v>Maplink2</v>
      </c>
      <c r="AU1270" s="20" t="str">
        <f aca="false">HYPERLINK("http://www.bing.com/maps/?lvl=14&amp;sty=h&amp;cp=30.4909~47.8161&amp;sp=point.30.4909_47.8161","Maplink3")</f>
        <v>Maplink3</v>
      </c>
    </row>
    <row r="1271" customFormat="false" ht="15" hidden="false" customHeight="true" outlineLevel="0" collapsed="false">
      <c r="A1271" s="15" t="n">
        <v>1306</v>
      </c>
      <c r="B1271" s="16" t="s">
        <v>18</v>
      </c>
      <c r="C1271" s="16" t="s">
        <v>18</v>
      </c>
      <c r="D1271" s="16" t="s">
        <v>2520</v>
      </c>
      <c r="E1271" s="17" t="s">
        <v>2521</v>
      </c>
      <c r="F1271" s="16" t="n">
        <v>30.48576986</v>
      </c>
      <c r="G1271" s="16" t="n">
        <v>47.81215198</v>
      </c>
      <c r="H1271" s="18" t="n">
        <v>14</v>
      </c>
      <c r="I1271" s="18" t="n">
        <v>84</v>
      </c>
      <c r="J1271" s="19" t="n">
        <v>2</v>
      </c>
      <c r="K1271" s="19"/>
      <c r="L1271" s="19"/>
      <c r="M1271" s="19"/>
      <c r="N1271" s="19"/>
      <c r="O1271" s="19" t="n">
        <v>1</v>
      </c>
      <c r="P1271" s="19"/>
      <c r="Q1271" s="19"/>
      <c r="R1271" s="19"/>
      <c r="S1271" s="19"/>
      <c r="T1271" s="19"/>
      <c r="U1271" s="19"/>
      <c r="V1271" s="19" t="n">
        <v>8</v>
      </c>
      <c r="W1271" s="19"/>
      <c r="X1271" s="19" t="n">
        <v>3</v>
      </c>
      <c r="Y1271" s="19"/>
      <c r="Z1271" s="19"/>
      <c r="AA1271" s="19"/>
      <c r="AB1271" s="19"/>
      <c r="AC1271" s="19" t="n">
        <v>2</v>
      </c>
      <c r="AD1271" s="19"/>
      <c r="AE1271" s="19"/>
      <c r="AF1271" s="19"/>
      <c r="AG1271" s="19"/>
      <c r="AH1271" s="19" t="n">
        <v>12</v>
      </c>
      <c r="AI1271" s="19"/>
      <c r="AJ1271" s="19"/>
      <c r="AK1271" s="19"/>
      <c r="AL1271" s="19" t="n">
        <v>2</v>
      </c>
      <c r="AM1271" s="19" t="n">
        <v>2</v>
      </c>
      <c r="AN1271" s="19" t="n">
        <v>1</v>
      </c>
      <c r="AO1271" s="19" t="n">
        <v>2</v>
      </c>
      <c r="AP1271" s="19" t="n">
        <v>5</v>
      </c>
      <c r="AQ1271" s="19"/>
      <c r="AR1271" s="19" t="n">
        <v>2</v>
      </c>
      <c r="AS1271" s="20" t="str">
        <f aca="false">HYPERLINK("http://www.openstreetmap.org/?mlat=30.4858&amp;mlon=47.8122&amp;zoom=12#map=12/30.4858/47.8122","Maplink1")</f>
        <v>Maplink1</v>
      </c>
      <c r="AT1271" s="20" t="str">
        <f aca="false">HYPERLINK("https://www.google.iq/maps/search/+30.4858,47.8122/@30.4858,47.8122,14z?hl=en","Maplink2")</f>
        <v>Maplink2</v>
      </c>
      <c r="AU1271" s="20" t="str">
        <f aca="false">HYPERLINK("http://www.bing.com/maps/?lvl=14&amp;sty=h&amp;cp=30.4858~47.8122&amp;sp=point.30.4858_47.8122","Maplink3")</f>
        <v>Maplink3</v>
      </c>
    </row>
    <row r="1272" customFormat="false" ht="15" hidden="false" customHeight="true" outlineLevel="0" collapsed="false">
      <c r="A1272" s="15" t="n">
        <v>849</v>
      </c>
      <c r="B1272" s="16" t="s">
        <v>18</v>
      </c>
      <c r="C1272" s="16" t="s">
        <v>18</v>
      </c>
      <c r="D1272" s="16" t="s">
        <v>2522</v>
      </c>
      <c r="E1272" s="17" t="s">
        <v>2523</v>
      </c>
      <c r="F1272" s="16" t="n">
        <v>30.48171658</v>
      </c>
      <c r="G1272" s="16" t="n">
        <v>47.82921662</v>
      </c>
      <c r="H1272" s="18" t="n">
        <v>17</v>
      </c>
      <c r="I1272" s="18" t="n">
        <v>102</v>
      </c>
      <c r="J1272" s="19" t="n">
        <v>2</v>
      </c>
      <c r="K1272" s="19" t="n">
        <v>1</v>
      </c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 t="n">
        <v>9</v>
      </c>
      <c r="W1272" s="19"/>
      <c r="X1272" s="19" t="n">
        <v>5</v>
      </c>
      <c r="Y1272" s="19"/>
      <c r="Z1272" s="19"/>
      <c r="AA1272" s="19"/>
      <c r="AB1272" s="19"/>
      <c r="AC1272" s="19" t="n">
        <v>5</v>
      </c>
      <c r="AD1272" s="19"/>
      <c r="AE1272" s="19"/>
      <c r="AF1272" s="19"/>
      <c r="AG1272" s="19"/>
      <c r="AH1272" s="19" t="n">
        <v>12</v>
      </c>
      <c r="AI1272" s="19"/>
      <c r="AJ1272" s="19"/>
      <c r="AK1272" s="19"/>
      <c r="AL1272" s="19" t="n">
        <v>4</v>
      </c>
      <c r="AM1272" s="19" t="n">
        <v>3</v>
      </c>
      <c r="AN1272" s="19" t="n">
        <v>4</v>
      </c>
      <c r="AO1272" s="19" t="n">
        <v>4</v>
      </c>
      <c r="AP1272" s="19" t="n">
        <v>2</v>
      </c>
      <c r="AQ1272" s="19"/>
      <c r="AR1272" s="19"/>
      <c r="AS1272" s="20" t="str">
        <f aca="false">HYPERLINK("http://www.openstreetmap.org/?mlat=30.4817&amp;mlon=47.8292&amp;zoom=12#map=12/30.4817/47.8292","Maplink1")</f>
        <v>Maplink1</v>
      </c>
      <c r="AT1272" s="20" t="str">
        <f aca="false">HYPERLINK("https://www.google.iq/maps/search/+30.4817,47.8292/@30.4817,47.8292,14z?hl=en","Maplink2")</f>
        <v>Maplink2</v>
      </c>
      <c r="AU1272" s="20" t="str">
        <f aca="false">HYPERLINK("http://www.bing.com/maps/?lvl=14&amp;sty=h&amp;cp=30.4817~47.8292&amp;sp=point.30.4817_47.8292","Maplink3")</f>
        <v>Maplink3</v>
      </c>
    </row>
    <row r="1273" customFormat="false" ht="15" hidden="false" customHeight="true" outlineLevel="0" collapsed="false">
      <c r="A1273" s="15" t="n">
        <v>941</v>
      </c>
      <c r="B1273" s="16" t="s">
        <v>18</v>
      </c>
      <c r="C1273" s="16" t="s">
        <v>18</v>
      </c>
      <c r="D1273" s="16" t="s">
        <v>2524</v>
      </c>
      <c r="E1273" s="17" t="s">
        <v>2525</v>
      </c>
      <c r="F1273" s="16" t="n">
        <v>30.52897576</v>
      </c>
      <c r="G1273" s="16" t="n">
        <v>47.82596444</v>
      </c>
      <c r="H1273" s="18" t="n">
        <v>4</v>
      </c>
      <c r="I1273" s="18" t="n">
        <v>24</v>
      </c>
      <c r="J1273" s="19"/>
      <c r="K1273" s="19"/>
      <c r="L1273" s="19"/>
      <c r="M1273" s="19"/>
      <c r="N1273" s="19"/>
      <c r="O1273" s="19" t="n">
        <v>2</v>
      </c>
      <c r="P1273" s="19"/>
      <c r="Q1273" s="19"/>
      <c r="R1273" s="19"/>
      <c r="S1273" s="19"/>
      <c r="T1273" s="19"/>
      <c r="U1273" s="19"/>
      <c r="V1273" s="19" t="n">
        <v>1</v>
      </c>
      <c r="W1273" s="19"/>
      <c r="X1273" s="19" t="n">
        <v>1</v>
      </c>
      <c r="Y1273" s="19"/>
      <c r="Z1273" s="19"/>
      <c r="AA1273" s="19"/>
      <c r="AB1273" s="19"/>
      <c r="AC1273" s="19" t="n">
        <v>2</v>
      </c>
      <c r="AD1273" s="19"/>
      <c r="AE1273" s="19"/>
      <c r="AF1273" s="19"/>
      <c r="AG1273" s="19"/>
      <c r="AH1273" s="19" t="n">
        <v>2</v>
      </c>
      <c r="AI1273" s="19"/>
      <c r="AJ1273" s="19"/>
      <c r="AK1273" s="19"/>
      <c r="AL1273" s="19"/>
      <c r="AM1273" s="19" t="n">
        <v>2</v>
      </c>
      <c r="AN1273" s="19" t="n">
        <v>2</v>
      </c>
      <c r="AO1273" s="19"/>
      <c r="AP1273" s="19"/>
      <c r="AQ1273" s="19"/>
      <c r="AR1273" s="19"/>
      <c r="AS1273" s="20" t="str">
        <f aca="false">HYPERLINK("http://www.openstreetmap.org/?mlat=30.529&amp;mlon=47.826&amp;zoom=12#map=12/30.529/47.826","Maplink1")</f>
        <v>Maplink1</v>
      </c>
      <c r="AT1273" s="20" t="str">
        <f aca="false">HYPERLINK("https://www.google.iq/maps/search/+30.529,47.826/@30.529,47.826,14z?hl=en","Maplink2")</f>
        <v>Maplink2</v>
      </c>
      <c r="AU1273" s="20" t="str">
        <f aca="false">HYPERLINK("http://www.bing.com/maps/?lvl=14&amp;sty=h&amp;cp=30.529~47.826&amp;sp=point.30.529_47.826","Maplink3")</f>
        <v>Maplink3</v>
      </c>
    </row>
    <row r="1274" customFormat="false" ht="15" hidden="false" customHeight="true" outlineLevel="0" collapsed="false">
      <c r="A1274" s="15" t="n">
        <v>24674</v>
      </c>
      <c r="B1274" s="16" t="s">
        <v>18</v>
      </c>
      <c r="C1274" s="16" t="s">
        <v>18</v>
      </c>
      <c r="D1274" s="16" t="s">
        <v>2526</v>
      </c>
      <c r="E1274" s="17" t="s">
        <v>2527</v>
      </c>
      <c r="F1274" s="16" t="n">
        <v>30.5284</v>
      </c>
      <c r="G1274" s="16" t="n">
        <v>47.8314</v>
      </c>
      <c r="H1274" s="18" t="n">
        <v>2</v>
      </c>
      <c r="I1274" s="18" t="n">
        <v>12</v>
      </c>
      <c r="J1274" s="19"/>
      <c r="K1274" s="19"/>
      <c r="L1274" s="19"/>
      <c r="M1274" s="19"/>
      <c r="N1274" s="19"/>
      <c r="O1274" s="19"/>
      <c r="P1274" s="19"/>
      <c r="Q1274" s="19"/>
      <c r="R1274" s="19" t="n">
        <v>2</v>
      </c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 t="n">
        <v>2</v>
      </c>
      <c r="AF1274" s="19"/>
      <c r="AG1274" s="19"/>
      <c r="AH1274" s="19"/>
      <c r="AI1274" s="19"/>
      <c r="AJ1274" s="19"/>
      <c r="AK1274" s="19"/>
      <c r="AL1274" s="19"/>
      <c r="AM1274" s="19"/>
      <c r="AN1274" s="19"/>
      <c r="AO1274" s="19" t="n">
        <v>2</v>
      </c>
      <c r="AP1274" s="19"/>
      <c r="AQ1274" s="19"/>
      <c r="AR1274" s="19"/>
      <c r="AS1274" s="20" t="str">
        <f aca="false">HYPERLINK("http://www.openstreetmap.org/?mlat=30.5284&amp;mlon=47.8314&amp;zoom=12#map=12/30.5284/47.8314","Maplink1")</f>
        <v>Maplink1</v>
      </c>
      <c r="AT1274" s="20" t="str">
        <f aca="false">HYPERLINK("https://www.google.iq/maps/search/+30.5284,47.8314/@30.5284,47.8314,14z?hl=en","Maplink2")</f>
        <v>Maplink2</v>
      </c>
      <c r="AU1274" s="20" t="str">
        <f aca="false">HYPERLINK("http://www.bing.com/maps/?lvl=14&amp;sty=h&amp;cp=30.5284~47.8314&amp;sp=point.30.5284_47.8314","Maplink3")</f>
        <v>Maplink3</v>
      </c>
    </row>
    <row r="1275" customFormat="false" ht="15" hidden="false" customHeight="true" outlineLevel="0" collapsed="false">
      <c r="A1275" s="15" t="n">
        <v>1313</v>
      </c>
      <c r="B1275" s="16" t="s">
        <v>18</v>
      </c>
      <c r="C1275" s="16" t="s">
        <v>18</v>
      </c>
      <c r="D1275" s="16" t="s">
        <v>2528</v>
      </c>
      <c r="E1275" s="17" t="s">
        <v>2529</v>
      </c>
      <c r="F1275" s="16" t="n">
        <v>30.50610675</v>
      </c>
      <c r="G1275" s="16" t="n">
        <v>47.81531355</v>
      </c>
      <c r="H1275" s="18" t="n">
        <v>3</v>
      </c>
      <c r="I1275" s="18" t="n">
        <v>18</v>
      </c>
      <c r="J1275" s="19" t="n">
        <v>1</v>
      </c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 t="n">
        <v>1</v>
      </c>
      <c r="W1275" s="19"/>
      <c r="X1275" s="19" t="n">
        <v>1</v>
      </c>
      <c r="Y1275" s="19"/>
      <c r="Z1275" s="19"/>
      <c r="AA1275" s="19"/>
      <c r="AB1275" s="19"/>
      <c r="AC1275" s="19"/>
      <c r="AD1275" s="19"/>
      <c r="AE1275" s="19" t="n">
        <v>1</v>
      </c>
      <c r="AF1275" s="19"/>
      <c r="AG1275" s="19"/>
      <c r="AH1275" s="19" t="n">
        <v>2</v>
      </c>
      <c r="AI1275" s="19"/>
      <c r="AJ1275" s="19"/>
      <c r="AK1275" s="19"/>
      <c r="AL1275" s="19"/>
      <c r="AM1275" s="19" t="n">
        <v>1</v>
      </c>
      <c r="AN1275" s="19"/>
      <c r="AO1275" s="19" t="n">
        <v>2</v>
      </c>
      <c r="AP1275" s="19"/>
      <c r="AQ1275" s="19"/>
      <c r="AR1275" s="19"/>
      <c r="AS1275" s="20" t="str">
        <f aca="false">HYPERLINK("http://www.openstreetmap.org/?mlat=30.5061&amp;mlon=47.8153&amp;zoom=12#map=12/30.5061/47.8153","Maplink1")</f>
        <v>Maplink1</v>
      </c>
      <c r="AT1275" s="20" t="str">
        <f aca="false">HYPERLINK("https://www.google.iq/maps/search/+30.5061,47.8153/@30.5061,47.8153,14z?hl=en","Maplink2")</f>
        <v>Maplink2</v>
      </c>
      <c r="AU1275" s="20" t="str">
        <f aca="false">HYPERLINK("http://www.bing.com/maps/?lvl=14&amp;sty=h&amp;cp=30.5061~47.8153&amp;sp=point.30.5061_47.8153","Maplink3")</f>
        <v>Maplink3</v>
      </c>
    </row>
    <row r="1276" customFormat="false" ht="15" hidden="false" customHeight="true" outlineLevel="0" collapsed="false">
      <c r="A1276" s="15" t="n">
        <v>28457</v>
      </c>
      <c r="B1276" s="16" t="s">
        <v>18</v>
      </c>
      <c r="C1276" s="16" t="s">
        <v>18</v>
      </c>
      <c r="D1276" s="16" t="s">
        <v>2530</v>
      </c>
      <c r="E1276" s="17" t="s">
        <v>2531</v>
      </c>
      <c r="F1276" s="16" t="n">
        <v>30.5028826</v>
      </c>
      <c r="G1276" s="16" t="n">
        <v>47.81505195</v>
      </c>
      <c r="H1276" s="18" t="n">
        <v>1</v>
      </c>
      <c r="I1276" s="18" t="n">
        <v>6</v>
      </c>
      <c r="J1276" s="19"/>
      <c r="K1276" s="19"/>
      <c r="L1276" s="19"/>
      <c r="M1276" s="19"/>
      <c r="N1276" s="19"/>
      <c r="O1276" s="19"/>
      <c r="P1276" s="19"/>
      <c r="Q1276" s="19"/>
      <c r="R1276" s="19" t="n">
        <v>1</v>
      </c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 t="n">
        <v>1</v>
      </c>
      <c r="AI1276" s="19"/>
      <c r="AJ1276" s="19"/>
      <c r="AK1276" s="19"/>
      <c r="AL1276" s="19"/>
      <c r="AM1276" s="19"/>
      <c r="AN1276" s="19"/>
      <c r="AO1276" s="19"/>
      <c r="AP1276" s="19" t="n">
        <v>1</v>
      </c>
      <c r="AQ1276" s="19"/>
      <c r="AR1276" s="19"/>
      <c r="AS1276" s="20" t="str">
        <f aca="false">HYPERLINK("http://www.openstreetmap.org/?mlat=30.5029&amp;mlon=47.8151&amp;zoom=12#map=12/30.5029/47.8151","Maplink1")</f>
        <v>Maplink1</v>
      </c>
      <c r="AT1276" s="20" t="str">
        <f aca="false">HYPERLINK("https://www.google.iq/maps/search/+30.5029,47.8151/@30.5029,47.8151,14z?hl=en","Maplink2")</f>
        <v>Maplink2</v>
      </c>
      <c r="AU1276" s="20" t="str">
        <f aca="false">HYPERLINK("http://www.bing.com/maps/?lvl=14&amp;sty=h&amp;cp=30.5029~47.8151&amp;sp=point.30.5029_47.8151","Maplink3")</f>
        <v>Maplink3</v>
      </c>
    </row>
    <row r="1277" customFormat="false" ht="15" hidden="false" customHeight="true" outlineLevel="0" collapsed="false">
      <c r="A1277" s="15" t="n">
        <v>896</v>
      </c>
      <c r="B1277" s="16" t="s">
        <v>18</v>
      </c>
      <c r="C1277" s="16" t="s">
        <v>18</v>
      </c>
      <c r="D1277" s="16" t="s">
        <v>2532</v>
      </c>
      <c r="E1277" s="17" t="s">
        <v>2533</v>
      </c>
      <c r="F1277" s="16" t="n">
        <v>30.50311801</v>
      </c>
      <c r="G1277" s="16" t="n">
        <v>47.81964356</v>
      </c>
      <c r="H1277" s="18" t="n">
        <v>2</v>
      </c>
      <c r="I1277" s="18" t="n">
        <v>12</v>
      </c>
      <c r="J1277" s="19" t="n">
        <v>1</v>
      </c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 t="n">
        <v>1</v>
      </c>
      <c r="W1277" s="19"/>
      <c r="X1277" s="19"/>
      <c r="Y1277" s="19"/>
      <c r="Z1277" s="19"/>
      <c r="AA1277" s="19"/>
      <c r="AB1277" s="19"/>
      <c r="AC1277" s="19" t="n">
        <v>1</v>
      </c>
      <c r="AD1277" s="19"/>
      <c r="AE1277" s="19"/>
      <c r="AF1277" s="19"/>
      <c r="AG1277" s="19"/>
      <c r="AH1277" s="19" t="n">
        <v>1</v>
      </c>
      <c r="AI1277" s="19"/>
      <c r="AJ1277" s="19"/>
      <c r="AK1277" s="19"/>
      <c r="AL1277" s="19"/>
      <c r="AM1277" s="19"/>
      <c r="AN1277" s="19" t="n">
        <v>1</v>
      </c>
      <c r="AO1277" s="19" t="n">
        <v>1</v>
      </c>
      <c r="AP1277" s="19"/>
      <c r="AQ1277" s="19"/>
      <c r="AR1277" s="19"/>
      <c r="AS1277" s="20" t="str">
        <f aca="false">HYPERLINK("http://www.openstreetmap.org/?mlat=30.5031&amp;mlon=47.8196&amp;zoom=12#map=12/30.5031/47.8196","Maplink1")</f>
        <v>Maplink1</v>
      </c>
      <c r="AT1277" s="20" t="str">
        <f aca="false">HYPERLINK("https://www.google.iq/maps/search/+30.5031,47.8196/@30.5031,47.8196,14z?hl=en","Maplink2")</f>
        <v>Maplink2</v>
      </c>
      <c r="AU1277" s="20" t="str">
        <f aca="false">HYPERLINK("http://www.bing.com/maps/?lvl=14&amp;sty=h&amp;cp=30.5031~47.8196&amp;sp=point.30.5031_47.8196","Maplink3")</f>
        <v>Maplink3</v>
      </c>
    </row>
    <row r="1278" customFormat="false" ht="15" hidden="false" customHeight="true" outlineLevel="0" collapsed="false">
      <c r="A1278" s="15" t="n">
        <v>24128</v>
      </c>
      <c r="B1278" s="16" t="s">
        <v>18</v>
      </c>
      <c r="C1278" s="16" t="s">
        <v>18</v>
      </c>
      <c r="D1278" s="16" t="s">
        <v>2534</v>
      </c>
      <c r="E1278" s="17" t="s">
        <v>2535</v>
      </c>
      <c r="F1278" s="16" t="n">
        <v>30.544032</v>
      </c>
      <c r="G1278" s="16" t="n">
        <v>47.779682</v>
      </c>
      <c r="H1278" s="18" t="n">
        <v>1</v>
      </c>
      <c r="I1278" s="18" t="n">
        <v>6</v>
      </c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 t="n">
        <v>1</v>
      </c>
      <c r="W1278" s="19"/>
      <c r="X1278" s="19"/>
      <c r="Y1278" s="19"/>
      <c r="Z1278" s="19"/>
      <c r="AA1278" s="19"/>
      <c r="AB1278" s="19"/>
      <c r="AC1278" s="19" t="n">
        <v>1</v>
      </c>
      <c r="AD1278" s="19"/>
      <c r="AE1278" s="19"/>
      <c r="AF1278" s="19"/>
      <c r="AG1278" s="19"/>
      <c r="AH1278" s="19"/>
      <c r="AI1278" s="19"/>
      <c r="AJ1278" s="19"/>
      <c r="AK1278" s="19"/>
      <c r="AL1278" s="19"/>
      <c r="AM1278" s="19"/>
      <c r="AN1278" s="19"/>
      <c r="AO1278" s="19" t="n">
        <v>1</v>
      </c>
      <c r="AP1278" s="19"/>
      <c r="AQ1278" s="19"/>
      <c r="AR1278" s="19"/>
      <c r="AS1278" s="20" t="str">
        <f aca="false">HYPERLINK("http://www.openstreetmap.org/?mlat=30.544&amp;mlon=47.7797&amp;zoom=12#map=12/30.544/47.7797","Maplink1")</f>
        <v>Maplink1</v>
      </c>
      <c r="AT1278" s="20" t="str">
        <f aca="false">HYPERLINK("https://www.google.iq/maps/search/+30.544,47.7797/@30.544,47.7797,14z?hl=en","Maplink2")</f>
        <v>Maplink2</v>
      </c>
      <c r="AU1278" s="20" t="str">
        <f aca="false">HYPERLINK("http://www.bing.com/maps/?lvl=14&amp;sty=h&amp;cp=30.544~47.7797&amp;sp=point.30.544_47.7797","Maplink3")</f>
        <v>Maplink3</v>
      </c>
    </row>
    <row r="1279" customFormat="false" ht="15" hidden="false" customHeight="true" outlineLevel="0" collapsed="false">
      <c r="A1279" s="15" t="n">
        <v>926</v>
      </c>
      <c r="B1279" s="16" t="s">
        <v>18</v>
      </c>
      <c r="C1279" s="16" t="s">
        <v>18</v>
      </c>
      <c r="D1279" s="16" t="s">
        <v>2536</v>
      </c>
      <c r="E1279" s="17" t="s">
        <v>2537</v>
      </c>
      <c r="F1279" s="16" t="n">
        <v>30.51916944</v>
      </c>
      <c r="G1279" s="16" t="n">
        <v>47.80117789</v>
      </c>
      <c r="H1279" s="18" t="n">
        <v>2</v>
      </c>
      <c r="I1279" s="18" t="n">
        <v>12</v>
      </c>
      <c r="J1279" s="19"/>
      <c r="K1279" s="19"/>
      <c r="L1279" s="19"/>
      <c r="M1279" s="19"/>
      <c r="N1279" s="19"/>
      <c r="O1279" s="19"/>
      <c r="P1279" s="19"/>
      <c r="Q1279" s="19"/>
      <c r="R1279" s="19" t="n">
        <v>2</v>
      </c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 t="n">
        <v>2</v>
      </c>
      <c r="AD1279" s="19"/>
      <c r="AE1279" s="19"/>
      <c r="AF1279" s="19"/>
      <c r="AG1279" s="19"/>
      <c r="AH1279" s="19"/>
      <c r="AI1279" s="19"/>
      <c r="AJ1279" s="19"/>
      <c r="AK1279" s="19"/>
      <c r="AL1279" s="19"/>
      <c r="AM1279" s="19" t="n">
        <v>2</v>
      </c>
      <c r="AN1279" s="19"/>
      <c r="AO1279" s="19"/>
      <c r="AP1279" s="19"/>
      <c r="AQ1279" s="19"/>
      <c r="AR1279" s="19"/>
      <c r="AS1279" s="20" t="str">
        <f aca="false">HYPERLINK("http://www.openstreetmap.org/?mlat=30.5192&amp;mlon=47.8012&amp;zoom=12#map=12/30.5192/47.8012","Maplink1")</f>
        <v>Maplink1</v>
      </c>
      <c r="AT1279" s="20" t="str">
        <f aca="false">HYPERLINK("https://www.google.iq/maps/search/+30.5192,47.8012/@30.5192,47.8012,14z?hl=en","Maplink2")</f>
        <v>Maplink2</v>
      </c>
      <c r="AU1279" s="20" t="str">
        <f aca="false">HYPERLINK("http://www.bing.com/maps/?lvl=14&amp;sty=h&amp;cp=30.5192~47.8012&amp;sp=point.30.5192_47.8012","Maplink3")</f>
        <v>Maplink3</v>
      </c>
    </row>
    <row r="1280" customFormat="false" ht="15" hidden="false" customHeight="true" outlineLevel="0" collapsed="false">
      <c r="A1280" s="15" t="n">
        <v>918</v>
      </c>
      <c r="B1280" s="16" t="s">
        <v>18</v>
      </c>
      <c r="C1280" s="16" t="s">
        <v>18</v>
      </c>
      <c r="D1280" s="16" t="s">
        <v>2538</v>
      </c>
      <c r="E1280" s="17" t="s">
        <v>2539</v>
      </c>
      <c r="F1280" s="16" t="n">
        <v>30.51182488</v>
      </c>
      <c r="G1280" s="16" t="n">
        <v>47.82763923</v>
      </c>
      <c r="H1280" s="18" t="n">
        <v>1</v>
      </c>
      <c r="I1280" s="18" t="n">
        <v>6</v>
      </c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 t="n">
        <v>1</v>
      </c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 t="n">
        <v>1</v>
      </c>
      <c r="AI1280" s="19"/>
      <c r="AJ1280" s="19"/>
      <c r="AK1280" s="19"/>
      <c r="AL1280" s="19"/>
      <c r="AM1280" s="19"/>
      <c r="AN1280" s="19" t="n">
        <v>1</v>
      </c>
      <c r="AO1280" s="19"/>
      <c r="AP1280" s="19"/>
      <c r="AQ1280" s="19"/>
      <c r="AR1280" s="19"/>
      <c r="AS1280" s="20" t="str">
        <f aca="false">HYPERLINK("http://www.openstreetmap.org/?mlat=30.5118&amp;mlon=47.8276&amp;zoom=12#map=12/30.5118/47.8276","Maplink1")</f>
        <v>Maplink1</v>
      </c>
      <c r="AT1280" s="20" t="str">
        <f aca="false">HYPERLINK("https://www.google.iq/maps/search/+30.5118,47.8276/@30.5118,47.8276,14z?hl=en","Maplink2")</f>
        <v>Maplink2</v>
      </c>
      <c r="AU1280" s="20" t="str">
        <f aca="false">HYPERLINK("http://www.bing.com/maps/?lvl=14&amp;sty=h&amp;cp=30.5118~47.8276&amp;sp=point.30.5118_47.8276","Maplink3")</f>
        <v>Maplink3</v>
      </c>
    </row>
    <row r="1281" customFormat="false" ht="15" hidden="false" customHeight="true" outlineLevel="0" collapsed="false">
      <c r="A1281" s="15" t="n">
        <v>857</v>
      </c>
      <c r="B1281" s="16" t="s">
        <v>18</v>
      </c>
      <c r="C1281" s="16" t="s">
        <v>18</v>
      </c>
      <c r="D1281" s="16" t="s">
        <v>2540</v>
      </c>
      <c r="E1281" s="17" t="s">
        <v>2541</v>
      </c>
      <c r="F1281" s="16" t="n">
        <v>30.49601351</v>
      </c>
      <c r="G1281" s="16" t="n">
        <v>47.81643522</v>
      </c>
      <c r="H1281" s="18" t="n">
        <v>6</v>
      </c>
      <c r="I1281" s="18" t="n">
        <v>36</v>
      </c>
      <c r="J1281" s="19" t="n">
        <v>5</v>
      </c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 t="n">
        <v>1</v>
      </c>
      <c r="Y1281" s="19"/>
      <c r="Z1281" s="19"/>
      <c r="AA1281" s="19"/>
      <c r="AB1281" s="19"/>
      <c r="AC1281" s="19" t="n">
        <v>6</v>
      </c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 t="n">
        <v>3</v>
      </c>
      <c r="AO1281" s="19" t="n">
        <v>3</v>
      </c>
      <c r="AP1281" s="19"/>
      <c r="AQ1281" s="19"/>
      <c r="AR1281" s="19"/>
      <c r="AS1281" s="20" t="str">
        <f aca="false">HYPERLINK("http://www.openstreetmap.org/?mlat=30.496&amp;mlon=47.8164&amp;zoom=12#map=12/30.496/47.8164","Maplink1")</f>
        <v>Maplink1</v>
      </c>
      <c r="AT1281" s="20" t="str">
        <f aca="false">HYPERLINK("https://www.google.iq/maps/search/+30.496,47.8164/@30.496,47.8164,14z?hl=en","Maplink2")</f>
        <v>Maplink2</v>
      </c>
      <c r="AU1281" s="20" t="str">
        <f aca="false">HYPERLINK("http://www.bing.com/maps/?lvl=14&amp;sty=h&amp;cp=30.496~47.8164&amp;sp=point.30.496_47.8164","Maplink3")</f>
        <v>Maplink3</v>
      </c>
    </row>
    <row r="1282" customFormat="false" ht="15" hidden="false" customHeight="true" outlineLevel="0" collapsed="false">
      <c r="A1282" s="15" t="n">
        <v>880</v>
      </c>
      <c r="B1282" s="16" t="s">
        <v>18</v>
      </c>
      <c r="C1282" s="16" t="s">
        <v>18</v>
      </c>
      <c r="D1282" s="16" t="s">
        <v>2542</v>
      </c>
      <c r="E1282" s="17" t="s">
        <v>2543</v>
      </c>
      <c r="F1282" s="16" t="n">
        <v>30.50097972</v>
      </c>
      <c r="G1282" s="16" t="n">
        <v>47.82039499</v>
      </c>
      <c r="H1282" s="18" t="n">
        <v>2</v>
      </c>
      <c r="I1282" s="18" t="n">
        <v>12</v>
      </c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 t="n">
        <v>1</v>
      </c>
      <c r="W1282" s="19"/>
      <c r="X1282" s="19" t="n">
        <v>1</v>
      </c>
      <c r="Y1282" s="19"/>
      <c r="Z1282" s="19"/>
      <c r="AA1282" s="19"/>
      <c r="AB1282" s="19"/>
      <c r="AC1282" s="19" t="n">
        <v>1</v>
      </c>
      <c r="AD1282" s="19"/>
      <c r="AE1282" s="19"/>
      <c r="AF1282" s="19"/>
      <c r="AG1282" s="19"/>
      <c r="AH1282" s="19" t="n">
        <v>1</v>
      </c>
      <c r="AI1282" s="19"/>
      <c r="AJ1282" s="19"/>
      <c r="AK1282" s="19"/>
      <c r="AL1282" s="19"/>
      <c r="AM1282" s="19"/>
      <c r="AN1282" s="19" t="n">
        <v>1</v>
      </c>
      <c r="AO1282" s="19" t="n">
        <v>1</v>
      </c>
      <c r="AP1282" s="19"/>
      <c r="AQ1282" s="19"/>
      <c r="AR1282" s="19"/>
      <c r="AS1282" s="20" t="str">
        <f aca="false">HYPERLINK("http://www.openstreetmap.org/?mlat=30.501&amp;mlon=47.8204&amp;zoom=12#map=12/30.501/47.8204","Maplink1")</f>
        <v>Maplink1</v>
      </c>
      <c r="AT1282" s="20" t="str">
        <f aca="false">HYPERLINK("https://www.google.iq/maps/search/+30.501,47.8204/@30.501,47.8204,14z?hl=en","Maplink2")</f>
        <v>Maplink2</v>
      </c>
      <c r="AU1282" s="20" t="str">
        <f aca="false">HYPERLINK("http://www.bing.com/maps/?lvl=14&amp;sty=h&amp;cp=30.501~47.8204&amp;sp=point.30.501_47.8204","Maplink3")</f>
        <v>Maplink3</v>
      </c>
    </row>
    <row r="1283" customFormat="false" ht="15" hidden="false" customHeight="true" outlineLevel="0" collapsed="false">
      <c r="A1283" s="15" t="n">
        <v>903</v>
      </c>
      <c r="B1283" s="16" t="s">
        <v>18</v>
      </c>
      <c r="C1283" s="16" t="s">
        <v>18</v>
      </c>
      <c r="D1283" s="16" t="s">
        <v>2544</v>
      </c>
      <c r="E1283" s="17" t="s">
        <v>2545</v>
      </c>
      <c r="F1283" s="16" t="n">
        <v>30.50753925</v>
      </c>
      <c r="G1283" s="16" t="n">
        <v>47.8221039</v>
      </c>
      <c r="H1283" s="18" t="n">
        <v>4</v>
      </c>
      <c r="I1283" s="18" t="n">
        <v>24</v>
      </c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 t="n">
        <v>1</v>
      </c>
      <c r="W1283" s="19"/>
      <c r="X1283" s="19" t="n">
        <v>3</v>
      </c>
      <c r="Y1283" s="19"/>
      <c r="Z1283" s="19"/>
      <c r="AA1283" s="19"/>
      <c r="AB1283" s="19"/>
      <c r="AC1283" s="19" t="n">
        <v>1</v>
      </c>
      <c r="AD1283" s="19"/>
      <c r="AE1283" s="19"/>
      <c r="AF1283" s="19"/>
      <c r="AG1283" s="19"/>
      <c r="AH1283" s="19" t="n">
        <v>3</v>
      </c>
      <c r="AI1283" s="19"/>
      <c r="AJ1283" s="19"/>
      <c r="AK1283" s="19"/>
      <c r="AL1283" s="19" t="n">
        <v>1</v>
      </c>
      <c r="AM1283" s="19" t="n">
        <v>1</v>
      </c>
      <c r="AN1283" s="19"/>
      <c r="AO1283" s="19" t="n">
        <v>2</v>
      </c>
      <c r="AP1283" s="19"/>
      <c r="AQ1283" s="19"/>
      <c r="AR1283" s="19"/>
      <c r="AS1283" s="20" t="str">
        <f aca="false">HYPERLINK("http://www.openstreetmap.org/?mlat=30.5075&amp;mlon=47.8221&amp;zoom=12#map=12/30.5075/47.8221","Maplink1")</f>
        <v>Maplink1</v>
      </c>
      <c r="AT1283" s="20" t="str">
        <f aca="false">HYPERLINK("https://www.google.iq/maps/search/+30.5075,47.8221/@30.5075,47.8221,14z?hl=en","Maplink2")</f>
        <v>Maplink2</v>
      </c>
      <c r="AU1283" s="20" t="str">
        <f aca="false">HYPERLINK("http://www.bing.com/maps/?lvl=14&amp;sty=h&amp;cp=30.5075~47.8221&amp;sp=point.30.5075_47.8221","Maplink3")</f>
        <v>Maplink3</v>
      </c>
    </row>
    <row r="1284" customFormat="false" ht="15" hidden="false" customHeight="true" outlineLevel="0" collapsed="false">
      <c r="A1284" s="15" t="n">
        <v>24624</v>
      </c>
      <c r="B1284" s="16" t="s">
        <v>18</v>
      </c>
      <c r="C1284" s="16" t="s">
        <v>18</v>
      </c>
      <c r="D1284" s="16" t="s">
        <v>2546</v>
      </c>
      <c r="E1284" s="17" t="s">
        <v>2547</v>
      </c>
      <c r="F1284" s="16" t="n">
        <v>30.49408332</v>
      </c>
      <c r="G1284" s="16" t="n">
        <v>47.8132972</v>
      </c>
      <c r="H1284" s="18" t="n">
        <v>7</v>
      </c>
      <c r="I1284" s="18" t="n">
        <v>42</v>
      </c>
      <c r="J1284" s="19" t="n">
        <v>2</v>
      </c>
      <c r="K1284" s="19"/>
      <c r="L1284" s="19"/>
      <c r="M1284" s="19"/>
      <c r="N1284" s="19"/>
      <c r="O1284" s="19" t="n">
        <v>2</v>
      </c>
      <c r="P1284" s="19"/>
      <c r="Q1284" s="19"/>
      <c r="R1284" s="19" t="n">
        <v>1</v>
      </c>
      <c r="S1284" s="19"/>
      <c r="T1284" s="19"/>
      <c r="U1284" s="19"/>
      <c r="V1284" s="19" t="n">
        <v>2</v>
      </c>
      <c r="W1284" s="19"/>
      <c r="X1284" s="19"/>
      <c r="Y1284" s="19"/>
      <c r="Z1284" s="19"/>
      <c r="AA1284" s="19"/>
      <c r="AB1284" s="19"/>
      <c r="AC1284" s="19" t="n">
        <v>3</v>
      </c>
      <c r="AD1284" s="19"/>
      <c r="AE1284" s="19"/>
      <c r="AF1284" s="19"/>
      <c r="AG1284" s="19"/>
      <c r="AH1284" s="19" t="n">
        <v>4</v>
      </c>
      <c r="AI1284" s="19"/>
      <c r="AJ1284" s="19"/>
      <c r="AK1284" s="19"/>
      <c r="AL1284" s="19" t="n">
        <v>2</v>
      </c>
      <c r="AM1284" s="19" t="n">
        <v>2</v>
      </c>
      <c r="AN1284" s="19" t="n">
        <v>2</v>
      </c>
      <c r="AO1284" s="19" t="n">
        <v>1</v>
      </c>
      <c r="AP1284" s="19"/>
      <c r="AQ1284" s="19"/>
      <c r="AR1284" s="19"/>
      <c r="AS1284" s="20" t="str">
        <f aca="false">HYPERLINK("http://www.openstreetmap.org/?mlat=30.4941&amp;mlon=47.8133&amp;zoom=12#map=12/30.4941/47.8133","Maplink1")</f>
        <v>Maplink1</v>
      </c>
      <c r="AT1284" s="20" t="str">
        <f aca="false">HYPERLINK("https://www.google.iq/maps/search/+30.4941,47.8133/@30.4941,47.8133,14z?hl=en","Maplink2")</f>
        <v>Maplink2</v>
      </c>
      <c r="AU1284" s="20" t="str">
        <f aca="false">HYPERLINK("http://www.bing.com/maps/?lvl=14&amp;sty=h&amp;cp=30.4941~47.8133&amp;sp=point.30.4941_47.8133","Maplink3")</f>
        <v>Maplink3</v>
      </c>
    </row>
    <row r="1285" customFormat="false" ht="15" hidden="false" customHeight="true" outlineLevel="0" collapsed="false">
      <c r="A1285" s="15" t="n">
        <v>907</v>
      </c>
      <c r="B1285" s="16" t="s">
        <v>18</v>
      </c>
      <c r="C1285" s="16" t="s">
        <v>18</v>
      </c>
      <c r="D1285" s="16" t="s">
        <v>2548</v>
      </c>
      <c r="E1285" s="17" t="s">
        <v>2549</v>
      </c>
      <c r="F1285" s="16" t="n">
        <v>30.5144003</v>
      </c>
      <c r="G1285" s="16" t="n">
        <v>47.83896829</v>
      </c>
      <c r="H1285" s="18" t="n">
        <v>24</v>
      </c>
      <c r="I1285" s="18" t="n">
        <v>144</v>
      </c>
      <c r="J1285" s="19" t="n">
        <v>5</v>
      </c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 t="n">
        <v>17</v>
      </c>
      <c r="W1285" s="19"/>
      <c r="X1285" s="19" t="n">
        <v>2</v>
      </c>
      <c r="Y1285" s="19"/>
      <c r="Z1285" s="19"/>
      <c r="AA1285" s="19"/>
      <c r="AB1285" s="19"/>
      <c r="AC1285" s="19" t="n">
        <v>13</v>
      </c>
      <c r="AD1285" s="19"/>
      <c r="AE1285" s="19"/>
      <c r="AF1285" s="19"/>
      <c r="AG1285" s="19"/>
      <c r="AH1285" s="19" t="n">
        <v>11</v>
      </c>
      <c r="AI1285" s="19"/>
      <c r="AJ1285" s="19"/>
      <c r="AK1285" s="19"/>
      <c r="AL1285" s="19" t="n">
        <v>1</v>
      </c>
      <c r="AM1285" s="19" t="n">
        <v>4</v>
      </c>
      <c r="AN1285" s="19" t="n">
        <v>16</v>
      </c>
      <c r="AO1285" s="19" t="n">
        <v>3</v>
      </c>
      <c r="AP1285" s="19"/>
      <c r="AQ1285" s="19"/>
      <c r="AR1285" s="19"/>
      <c r="AS1285" s="20" t="str">
        <f aca="false">HYPERLINK("http://www.openstreetmap.org/?mlat=30.5144&amp;mlon=47.839&amp;zoom=12#map=12/30.5144/47.839","Maplink1")</f>
        <v>Maplink1</v>
      </c>
      <c r="AT1285" s="20" t="str">
        <f aca="false">HYPERLINK("https://www.google.iq/maps/search/+30.5144,47.839/@30.5144,47.839,14z?hl=en","Maplink2")</f>
        <v>Maplink2</v>
      </c>
      <c r="AU1285" s="20" t="str">
        <f aca="false">HYPERLINK("http://www.bing.com/maps/?lvl=14&amp;sty=h&amp;cp=30.5144~47.839&amp;sp=point.30.5144_47.839","Maplink3")</f>
        <v>Maplink3</v>
      </c>
    </row>
    <row r="1286" customFormat="false" ht="15" hidden="false" customHeight="true" outlineLevel="0" collapsed="false">
      <c r="A1286" s="15" t="n">
        <v>24182</v>
      </c>
      <c r="B1286" s="16" t="s">
        <v>18</v>
      </c>
      <c r="C1286" s="16" t="s">
        <v>18</v>
      </c>
      <c r="D1286" s="16" t="s">
        <v>2550</v>
      </c>
      <c r="E1286" s="17" t="s">
        <v>2551</v>
      </c>
      <c r="F1286" s="16" t="n">
        <v>30.50945221</v>
      </c>
      <c r="G1286" s="16" t="n">
        <v>47.80900604</v>
      </c>
      <c r="H1286" s="18" t="n">
        <v>37</v>
      </c>
      <c r="I1286" s="18" t="n">
        <v>222</v>
      </c>
      <c r="J1286" s="19"/>
      <c r="K1286" s="19"/>
      <c r="L1286" s="19"/>
      <c r="M1286" s="19"/>
      <c r="N1286" s="19"/>
      <c r="O1286" s="19" t="n">
        <v>3</v>
      </c>
      <c r="P1286" s="19"/>
      <c r="Q1286" s="19"/>
      <c r="R1286" s="19"/>
      <c r="S1286" s="19"/>
      <c r="T1286" s="19"/>
      <c r="U1286" s="19"/>
      <c r="V1286" s="19" t="n">
        <v>32</v>
      </c>
      <c r="W1286" s="19"/>
      <c r="X1286" s="19" t="n">
        <v>2</v>
      </c>
      <c r="Y1286" s="19"/>
      <c r="Z1286" s="19"/>
      <c r="AA1286" s="19"/>
      <c r="AB1286" s="19"/>
      <c r="AC1286" s="19"/>
      <c r="AD1286" s="19"/>
      <c r="AE1286" s="19" t="n">
        <v>37</v>
      </c>
      <c r="AF1286" s="19"/>
      <c r="AG1286" s="19"/>
      <c r="AH1286" s="19"/>
      <c r="AI1286" s="19"/>
      <c r="AJ1286" s="19"/>
      <c r="AK1286" s="19"/>
      <c r="AL1286" s="19"/>
      <c r="AM1286" s="19" t="n">
        <v>37</v>
      </c>
      <c r="AN1286" s="19"/>
      <c r="AO1286" s="19"/>
      <c r="AP1286" s="19"/>
      <c r="AQ1286" s="19"/>
      <c r="AR1286" s="19"/>
      <c r="AS1286" s="20" t="str">
        <f aca="false">HYPERLINK("http://www.openstreetmap.org/?mlat=30.5095&amp;mlon=47.809&amp;zoom=12#map=12/30.5095/47.809","Maplink1")</f>
        <v>Maplink1</v>
      </c>
      <c r="AT1286" s="20" t="str">
        <f aca="false">HYPERLINK("https://www.google.iq/maps/search/+30.5095,47.809/@30.5095,47.809,14z?hl=en","Maplink2")</f>
        <v>Maplink2</v>
      </c>
      <c r="AU1286" s="20" t="str">
        <f aca="false">HYPERLINK("http://www.bing.com/maps/?lvl=14&amp;sty=h&amp;cp=30.5095~47.809&amp;sp=point.30.5095_47.809","Maplink3")</f>
        <v>Maplink3</v>
      </c>
    </row>
    <row r="1287" customFormat="false" ht="15" hidden="false" customHeight="true" outlineLevel="0" collapsed="false">
      <c r="A1287" s="15" t="n">
        <v>24798</v>
      </c>
      <c r="B1287" s="16" t="s">
        <v>18</v>
      </c>
      <c r="C1287" s="16" t="s">
        <v>18</v>
      </c>
      <c r="D1287" s="16" t="s">
        <v>2552</v>
      </c>
      <c r="E1287" s="17" t="s">
        <v>2553</v>
      </c>
      <c r="F1287" s="16" t="n">
        <v>30.54842538</v>
      </c>
      <c r="G1287" s="16" t="n">
        <v>47.75875566</v>
      </c>
      <c r="H1287" s="18" t="n">
        <v>30</v>
      </c>
      <c r="I1287" s="18" t="n">
        <v>180</v>
      </c>
      <c r="J1287" s="19" t="n">
        <v>11</v>
      </c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 t="n">
        <v>10</v>
      </c>
      <c r="W1287" s="19"/>
      <c r="X1287" s="19" t="n">
        <v>9</v>
      </c>
      <c r="Y1287" s="19"/>
      <c r="Z1287" s="19"/>
      <c r="AA1287" s="19"/>
      <c r="AB1287" s="19"/>
      <c r="AC1287" s="19"/>
      <c r="AD1287" s="19"/>
      <c r="AE1287" s="19" t="n">
        <v>30</v>
      </c>
      <c r="AF1287" s="19"/>
      <c r="AG1287" s="19"/>
      <c r="AH1287" s="19"/>
      <c r="AI1287" s="19"/>
      <c r="AJ1287" s="19"/>
      <c r="AK1287" s="19"/>
      <c r="AL1287" s="19"/>
      <c r="AM1287" s="19" t="n">
        <v>2</v>
      </c>
      <c r="AN1287" s="19" t="n">
        <v>2</v>
      </c>
      <c r="AO1287" s="19" t="n">
        <v>9</v>
      </c>
      <c r="AP1287" s="19" t="n">
        <v>7</v>
      </c>
      <c r="AQ1287" s="19" t="n">
        <v>9</v>
      </c>
      <c r="AR1287" s="19" t="n">
        <v>1</v>
      </c>
      <c r="AS1287" s="20" t="str">
        <f aca="false">HYPERLINK("http://www.openstreetmap.org/?mlat=30.5484&amp;mlon=47.7588&amp;zoom=12#map=12/30.5484/47.7588","Maplink1")</f>
        <v>Maplink1</v>
      </c>
      <c r="AT1287" s="20" t="str">
        <f aca="false">HYPERLINK("https://www.google.iq/maps/search/+30.5484,47.7588/@30.5484,47.7588,14z?hl=en","Maplink2")</f>
        <v>Maplink2</v>
      </c>
      <c r="AU1287" s="20" t="str">
        <f aca="false">HYPERLINK("http://www.bing.com/maps/?lvl=14&amp;sty=h&amp;cp=30.5484~47.7588&amp;sp=point.30.5484_47.7588","Maplink3")</f>
        <v>Maplink3</v>
      </c>
    </row>
    <row r="1288" customFormat="false" ht="15" hidden="false" customHeight="true" outlineLevel="0" collapsed="false">
      <c r="A1288" s="15" t="n">
        <v>1295</v>
      </c>
      <c r="B1288" s="16" t="s">
        <v>18</v>
      </c>
      <c r="C1288" s="16" t="s">
        <v>18</v>
      </c>
      <c r="D1288" s="16" t="s">
        <v>2371</v>
      </c>
      <c r="E1288" s="17" t="s">
        <v>2372</v>
      </c>
      <c r="F1288" s="16" t="n">
        <v>30.53366016</v>
      </c>
      <c r="G1288" s="16" t="n">
        <v>47.78792552</v>
      </c>
      <c r="H1288" s="18" t="n">
        <v>14</v>
      </c>
      <c r="I1288" s="18" t="n">
        <v>84</v>
      </c>
      <c r="J1288" s="19" t="n">
        <v>4</v>
      </c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 t="n">
        <v>4</v>
      </c>
      <c r="W1288" s="19"/>
      <c r="X1288" s="19" t="n">
        <v>6</v>
      </c>
      <c r="Y1288" s="19"/>
      <c r="Z1288" s="19"/>
      <c r="AA1288" s="19"/>
      <c r="AB1288" s="19"/>
      <c r="AC1288" s="19" t="n">
        <v>2</v>
      </c>
      <c r="AD1288" s="19"/>
      <c r="AE1288" s="19"/>
      <c r="AF1288" s="19"/>
      <c r="AG1288" s="19"/>
      <c r="AH1288" s="19" t="n">
        <v>12</v>
      </c>
      <c r="AI1288" s="19"/>
      <c r="AJ1288" s="19"/>
      <c r="AK1288" s="19"/>
      <c r="AL1288" s="19" t="n">
        <v>1</v>
      </c>
      <c r="AM1288" s="19" t="n">
        <v>6</v>
      </c>
      <c r="AN1288" s="19" t="n">
        <v>2</v>
      </c>
      <c r="AO1288" s="19" t="n">
        <v>3</v>
      </c>
      <c r="AP1288" s="19" t="n">
        <v>2</v>
      </c>
      <c r="AQ1288" s="19"/>
      <c r="AR1288" s="19"/>
      <c r="AS1288" s="20" t="str">
        <f aca="false">HYPERLINK("http://www.openstreetmap.org/?mlat=30.5337&amp;mlon=47.7879&amp;zoom=12#map=12/30.5337/47.7879","Maplink1")</f>
        <v>Maplink1</v>
      </c>
      <c r="AT1288" s="20" t="str">
        <f aca="false">HYPERLINK("https://www.google.iq/maps/search/+30.5337,47.7879/@30.5337,47.7879,14z?hl=en","Maplink2")</f>
        <v>Maplink2</v>
      </c>
      <c r="AU1288" s="20" t="str">
        <f aca="false">HYPERLINK("http://www.bing.com/maps/?lvl=14&amp;sty=h&amp;cp=30.5337~47.7879&amp;sp=point.30.5337_47.7879","Maplink3")</f>
        <v>Maplink3</v>
      </c>
    </row>
    <row r="1289" customFormat="false" ht="15" hidden="false" customHeight="true" outlineLevel="0" collapsed="false">
      <c r="A1289" s="15" t="n">
        <v>983</v>
      </c>
      <c r="B1289" s="16" t="s">
        <v>18</v>
      </c>
      <c r="C1289" s="16" t="s">
        <v>18</v>
      </c>
      <c r="D1289" s="16" t="s">
        <v>2554</v>
      </c>
      <c r="E1289" s="17" t="s">
        <v>2555</v>
      </c>
      <c r="F1289" s="16" t="n">
        <v>30.54774494</v>
      </c>
      <c r="G1289" s="16" t="n">
        <v>47.79144432</v>
      </c>
      <c r="H1289" s="18" t="n">
        <v>8</v>
      </c>
      <c r="I1289" s="18" t="n">
        <v>48</v>
      </c>
      <c r="J1289" s="19"/>
      <c r="K1289" s="19"/>
      <c r="L1289" s="19"/>
      <c r="M1289" s="19"/>
      <c r="N1289" s="19"/>
      <c r="O1289" s="19"/>
      <c r="P1289" s="19"/>
      <c r="Q1289" s="19"/>
      <c r="R1289" s="19" t="n">
        <v>3</v>
      </c>
      <c r="S1289" s="19"/>
      <c r="T1289" s="19"/>
      <c r="U1289" s="19"/>
      <c r="V1289" s="19" t="n">
        <v>2</v>
      </c>
      <c r="W1289" s="19"/>
      <c r="X1289" s="19" t="n">
        <v>3</v>
      </c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 t="n">
        <v>8</v>
      </c>
      <c r="AI1289" s="19"/>
      <c r="AJ1289" s="19"/>
      <c r="AK1289" s="19"/>
      <c r="AL1289" s="19" t="n">
        <v>2</v>
      </c>
      <c r="AM1289" s="19"/>
      <c r="AN1289" s="19" t="n">
        <v>3</v>
      </c>
      <c r="AO1289" s="19" t="n">
        <v>3</v>
      </c>
      <c r="AP1289" s="19"/>
      <c r="AQ1289" s="19"/>
      <c r="AR1289" s="19"/>
      <c r="AS1289" s="20" t="str">
        <f aca="false">HYPERLINK("http://www.openstreetmap.org/?mlat=30.5477&amp;mlon=47.7914&amp;zoom=12#map=12/30.5477/47.7914","Maplink1")</f>
        <v>Maplink1</v>
      </c>
      <c r="AT1289" s="20" t="str">
        <f aca="false">HYPERLINK("https://www.google.iq/maps/search/+30.5477,47.7914/@30.5477,47.7914,14z?hl=en","Maplink2")</f>
        <v>Maplink2</v>
      </c>
      <c r="AU1289" s="20" t="str">
        <f aca="false">HYPERLINK("http://www.bing.com/maps/?lvl=14&amp;sty=h&amp;cp=30.5477~47.7914&amp;sp=point.30.5477_47.7914","Maplink3")</f>
        <v>Maplink3</v>
      </c>
    </row>
    <row r="1290" customFormat="false" ht="15" hidden="false" customHeight="true" outlineLevel="0" collapsed="false">
      <c r="A1290" s="15" t="n">
        <v>29656</v>
      </c>
      <c r="B1290" s="16" t="s">
        <v>18</v>
      </c>
      <c r="C1290" s="16" t="s">
        <v>18</v>
      </c>
      <c r="D1290" s="16" t="s">
        <v>2556</v>
      </c>
      <c r="E1290" s="17" t="s">
        <v>2557</v>
      </c>
      <c r="F1290" s="16" t="n">
        <v>30.558964</v>
      </c>
      <c r="G1290" s="16" t="n">
        <v>47.775855</v>
      </c>
      <c r="H1290" s="18" t="n">
        <v>1</v>
      </c>
      <c r="I1290" s="18" t="n">
        <v>6</v>
      </c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 t="n">
        <v>1</v>
      </c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 t="n">
        <v>1</v>
      </c>
      <c r="AI1290" s="19"/>
      <c r="AJ1290" s="19"/>
      <c r="AK1290" s="19"/>
      <c r="AL1290" s="19"/>
      <c r="AM1290" s="19"/>
      <c r="AN1290" s="19" t="n">
        <v>1</v>
      </c>
      <c r="AO1290" s="19"/>
      <c r="AP1290" s="19"/>
      <c r="AQ1290" s="19"/>
      <c r="AR1290" s="19"/>
      <c r="AS1290" s="20" t="str">
        <f aca="false">HYPERLINK("http://www.openstreetmap.org/?mlat=30.559&amp;mlon=47.7759&amp;zoom=12#map=12/30.559/47.7759","Maplink1")</f>
        <v>Maplink1</v>
      </c>
      <c r="AT1290" s="20" t="str">
        <f aca="false">HYPERLINK("https://www.google.iq/maps/search/+30.559,47.7759/@30.559,47.7759,14z?hl=en","Maplink2")</f>
        <v>Maplink2</v>
      </c>
      <c r="AU1290" s="20" t="str">
        <f aca="false">HYPERLINK("http://www.bing.com/maps/?lvl=14&amp;sty=h&amp;cp=30.559~47.7759&amp;sp=point.30.559_47.7759","Maplink3")</f>
        <v>Maplink3</v>
      </c>
    </row>
    <row r="1291" customFormat="false" ht="15" hidden="false" customHeight="true" outlineLevel="0" collapsed="false">
      <c r="A1291" s="15" t="n">
        <v>1284</v>
      </c>
      <c r="B1291" s="16" t="s">
        <v>18</v>
      </c>
      <c r="C1291" s="16" t="s">
        <v>18</v>
      </c>
      <c r="D1291" s="16" t="s">
        <v>2558</v>
      </c>
      <c r="E1291" s="17" t="s">
        <v>2559</v>
      </c>
      <c r="F1291" s="16" t="n">
        <v>30.49232363</v>
      </c>
      <c r="G1291" s="16" t="n">
        <v>47.81188427</v>
      </c>
      <c r="H1291" s="18" t="n">
        <v>2</v>
      </c>
      <c r="I1291" s="18" t="n">
        <v>12</v>
      </c>
      <c r="J1291" s="19" t="n">
        <v>2</v>
      </c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 t="n">
        <v>1</v>
      </c>
      <c r="AD1291" s="19"/>
      <c r="AE1291" s="19"/>
      <c r="AF1291" s="19"/>
      <c r="AG1291" s="19"/>
      <c r="AH1291" s="19" t="n">
        <v>1</v>
      </c>
      <c r="AI1291" s="19"/>
      <c r="AJ1291" s="19"/>
      <c r="AK1291" s="19"/>
      <c r="AL1291" s="19"/>
      <c r="AM1291" s="19"/>
      <c r="AN1291" s="19" t="n">
        <v>1</v>
      </c>
      <c r="AO1291" s="19" t="n">
        <v>1</v>
      </c>
      <c r="AP1291" s="19"/>
      <c r="AQ1291" s="19"/>
      <c r="AR1291" s="19"/>
      <c r="AS1291" s="20" t="str">
        <f aca="false">HYPERLINK("http://www.openstreetmap.org/?mlat=30.4923&amp;mlon=47.8119&amp;zoom=12#map=12/30.4923/47.8119","Maplink1")</f>
        <v>Maplink1</v>
      </c>
      <c r="AT1291" s="20" t="str">
        <f aca="false">HYPERLINK("https://www.google.iq/maps/search/+30.4923,47.8119/@30.4923,47.8119,14z?hl=en","Maplink2")</f>
        <v>Maplink2</v>
      </c>
      <c r="AU1291" s="20" t="str">
        <f aca="false">HYPERLINK("http://www.bing.com/maps/?lvl=14&amp;sty=h&amp;cp=30.4923~47.8119&amp;sp=point.30.4923_47.8119","Maplink3")</f>
        <v>Maplink3</v>
      </c>
    </row>
    <row r="1292" customFormat="false" ht="15" hidden="false" customHeight="true" outlineLevel="0" collapsed="false">
      <c r="A1292" s="15" t="n">
        <v>914</v>
      </c>
      <c r="B1292" s="16" t="s">
        <v>18</v>
      </c>
      <c r="C1292" s="16" t="s">
        <v>18</v>
      </c>
      <c r="D1292" s="16" t="s">
        <v>2560</v>
      </c>
      <c r="E1292" s="17" t="s">
        <v>2561</v>
      </c>
      <c r="F1292" s="16" t="n">
        <v>30.492606</v>
      </c>
      <c r="G1292" s="16" t="n">
        <v>47.769546</v>
      </c>
      <c r="H1292" s="18" t="n">
        <v>3</v>
      </c>
      <c r="I1292" s="18" t="n">
        <v>18</v>
      </c>
      <c r="J1292" s="19"/>
      <c r="K1292" s="19"/>
      <c r="L1292" s="19"/>
      <c r="M1292" s="19"/>
      <c r="N1292" s="19"/>
      <c r="O1292" s="19"/>
      <c r="P1292" s="19"/>
      <c r="Q1292" s="19"/>
      <c r="R1292" s="19" t="n">
        <v>2</v>
      </c>
      <c r="S1292" s="19"/>
      <c r="T1292" s="19"/>
      <c r="U1292" s="19"/>
      <c r="V1292" s="19"/>
      <c r="W1292" s="19"/>
      <c r="X1292" s="19" t="n">
        <v>1</v>
      </c>
      <c r="Y1292" s="19"/>
      <c r="Z1292" s="19"/>
      <c r="AA1292" s="19"/>
      <c r="AB1292" s="19"/>
      <c r="AC1292" s="19" t="n">
        <v>2</v>
      </c>
      <c r="AD1292" s="19"/>
      <c r="AE1292" s="19"/>
      <c r="AF1292" s="19"/>
      <c r="AG1292" s="19"/>
      <c r="AH1292" s="19" t="n">
        <v>1</v>
      </c>
      <c r="AI1292" s="19"/>
      <c r="AJ1292" s="19"/>
      <c r="AK1292" s="19"/>
      <c r="AL1292" s="19"/>
      <c r="AM1292" s="19"/>
      <c r="AN1292" s="19" t="n">
        <v>2</v>
      </c>
      <c r="AO1292" s="19"/>
      <c r="AP1292" s="19"/>
      <c r="AQ1292" s="19" t="n">
        <v>1</v>
      </c>
      <c r="AR1292" s="19"/>
      <c r="AS1292" s="20" t="str">
        <f aca="false">HYPERLINK("http://www.openstreetmap.org/?mlat=30.4926&amp;mlon=47.7695&amp;zoom=12#map=12/30.4926/47.7695","Maplink1")</f>
        <v>Maplink1</v>
      </c>
      <c r="AT1292" s="20" t="str">
        <f aca="false">HYPERLINK("https://www.google.iq/maps/search/+30.4926,47.7695/@30.4926,47.7695,14z?hl=en","Maplink2")</f>
        <v>Maplink2</v>
      </c>
      <c r="AU1292" s="20" t="str">
        <f aca="false">HYPERLINK("http://www.bing.com/maps/?lvl=14&amp;sty=h&amp;cp=30.4926~47.7695&amp;sp=point.30.4926_47.7695","Maplink3")</f>
        <v>Maplink3</v>
      </c>
    </row>
    <row r="1293" customFormat="false" ht="15" hidden="false" customHeight="true" outlineLevel="0" collapsed="false">
      <c r="A1293" s="15" t="n">
        <v>966</v>
      </c>
      <c r="B1293" s="16" t="s">
        <v>18</v>
      </c>
      <c r="C1293" s="16" t="s">
        <v>18</v>
      </c>
      <c r="D1293" s="16" t="s">
        <v>2562</v>
      </c>
      <c r="E1293" s="17" t="s">
        <v>2563</v>
      </c>
      <c r="F1293" s="16" t="n">
        <v>30.53888527</v>
      </c>
      <c r="G1293" s="16" t="n">
        <v>47.81130985</v>
      </c>
      <c r="H1293" s="18" t="n">
        <v>6</v>
      </c>
      <c r="I1293" s="18" t="n">
        <v>36</v>
      </c>
      <c r="J1293" s="19" t="n">
        <v>1</v>
      </c>
      <c r="K1293" s="19"/>
      <c r="L1293" s="19"/>
      <c r="M1293" s="19"/>
      <c r="N1293" s="19"/>
      <c r="O1293" s="19" t="n">
        <v>1</v>
      </c>
      <c r="P1293" s="19"/>
      <c r="Q1293" s="19"/>
      <c r="R1293" s="19" t="n">
        <v>1</v>
      </c>
      <c r="S1293" s="19"/>
      <c r="T1293" s="19"/>
      <c r="U1293" s="19"/>
      <c r="V1293" s="19" t="n">
        <v>3</v>
      </c>
      <c r="W1293" s="19"/>
      <c r="X1293" s="19"/>
      <c r="Y1293" s="19"/>
      <c r="Z1293" s="19"/>
      <c r="AA1293" s="19"/>
      <c r="AB1293" s="19"/>
      <c r="AC1293" s="19" t="n">
        <v>6</v>
      </c>
      <c r="AD1293" s="19"/>
      <c r="AE1293" s="19"/>
      <c r="AF1293" s="19"/>
      <c r="AG1293" s="19"/>
      <c r="AH1293" s="19"/>
      <c r="AI1293" s="19"/>
      <c r="AJ1293" s="19"/>
      <c r="AK1293" s="19"/>
      <c r="AL1293" s="19"/>
      <c r="AM1293" s="19" t="n">
        <v>1</v>
      </c>
      <c r="AN1293" s="19" t="n">
        <v>2</v>
      </c>
      <c r="AO1293" s="19" t="n">
        <v>3</v>
      </c>
      <c r="AP1293" s="19"/>
      <c r="AQ1293" s="19"/>
      <c r="AR1293" s="19"/>
      <c r="AS1293" s="20" t="str">
        <f aca="false">HYPERLINK("http://www.openstreetmap.org/?mlat=30.5389&amp;mlon=47.8113&amp;zoom=12#map=12/30.5389/47.8113","Maplink1")</f>
        <v>Maplink1</v>
      </c>
      <c r="AT1293" s="20" t="str">
        <f aca="false">HYPERLINK("https://www.google.iq/maps/search/+30.5389,47.8113/@30.5389,47.8113,14z?hl=en","Maplink2")</f>
        <v>Maplink2</v>
      </c>
      <c r="AU1293" s="20" t="str">
        <f aca="false">HYPERLINK("http://www.bing.com/maps/?lvl=14&amp;sty=h&amp;cp=30.5389~47.8113&amp;sp=point.30.5389_47.8113","Maplink3")</f>
        <v>Maplink3</v>
      </c>
    </row>
    <row r="1294" customFormat="false" ht="15" hidden="false" customHeight="true" outlineLevel="0" collapsed="false">
      <c r="A1294" s="15" t="n">
        <v>934</v>
      </c>
      <c r="B1294" s="16" t="s">
        <v>18</v>
      </c>
      <c r="C1294" s="16" t="s">
        <v>18</v>
      </c>
      <c r="D1294" s="16" t="s">
        <v>2564</v>
      </c>
      <c r="E1294" s="17" t="s">
        <v>2565</v>
      </c>
      <c r="F1294" s="16" t="n">
        <v>30.52553514</v>
      </c>
      <c r="G1294" s="16" t="n">
        <v>47.7784948</v>
      </c>
      <c r="H1294" s="18" t="n">
        <v>8</v>
      </c>
      <c r="I1294" s="18" t="n">
        <v>48</v>
      </c>
      <c r="J1294" s="19" t="n">
        <v>3</v>
      </c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 t="n">
        <v>4</v>
      </c>
      <c r="W1294" s="19"/>
      <c r="X1294" s="19" t="n">
        <v>1</v>
      </c>
      <c r="Y1294" s="19"/>
      <c r="Z1294" s="19"/>
      <c r="AA1294" s="19"/>
      <c r="AB1294" s="19"/>
      <c r="AC1294" s="19" t="n">
        <v>1</v>
      </c>
      <c r="AD1294" s="19"/>
      <c r="AE1294" s="19"/>
      <c r="AF1294" s="19"/>
      <c r="AG1294" s="19"/>
      <c r="AH1294" s="19" t="n">
        <v>7</v>
      </c>
      <c r="AI1294" s="19"/>
      <c r="AJ1294" s="19"/>
      <c r="AK1294" s="19"/>
      <c r="AL1294" s="19"/>
      <c r="AM1294" s="19" t="n">
        <v>8</v>
      </c>
      <c r="AN1294" s="19"/>
      <c r="AO1294" s="19"/>
      <c r="AP1294" s="19"/>
      <c r="AQ1294" s="19"/>
      <c r="AR1294" s="19"/>
      <c r="AS1294" s="20" t="str">
        <f aca="false">HYPERLINK("http://www.openstreetmap.org/?mlat=30.5255&amp;mlon=47.7785&amp;zoom=12#map=12/30.5255/47.7785","Maplink1")</f>
        <v>Maplink1</v>
      </c>
      <c r="AT1294" s="20" t="str">
        <f aca="false">HYPERLINK("https://www.google.iq/maps/search/+30.5255,47.7785/@30.5255,47.7785,14z?hl=en","Maplink2")</f>
        <v>Maplink2</v>
      </c>
      <c r="AU1294" s="20" t="str">
        <f aca="false">HYPERLINK("http://www.bing.com/maps/?lvl=14&amp;sty=h&amp;cp=30.5255~47.7785&amp;sp=point.30.5255_47.7785","Maplink3")</f>
        <v>Maplink3</v>
      </c>
    </row>
    <row r="1295" customFormat="false" ht="15" hidden="false" customHeight="true" outlineLevel="0" collapsed="false">
      <c r="A1295" s="15" t="n">
        <v>28473</v>
      </c>
      <c r="B1295" s="16" t="s">
        <v>18</v>
      </c>
      <c r="C1295" s="16" t="s">
        <v>18</v>
      </c>
      <c r="D1295" s="16" t="s">
        <v>2566</v>
      </c>
      <c r="E1295" s="17" t="s">
        <v>2567</v>
      </c>
      <c r="F1295" s="16" t="n">
        <v>30.48281742</v>
      </c>
      <c r="G1295" s="16" t="n">
        <v>47.82284453</v>
      </c>
      <c r="H1295" s="18" t="n">
        <v>1</v>
      </c>
      <c r="I1295" s="18" t="n">
        <v>6</v>
      </c>
      <c r="J1295" s="19" t="n">
        <v>1</v>
      </c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 t="n">
        <v>1</v>
      </c>
      <c r="AI1295" s="19"/>
      <c r="AJ1295" s="19"/>
      <c r="AK1295" s="19"/>
      <c r="AL1295" s="19"/>
      <c r="AM1295" s="19"/>
      <c r="AN1295" s="19"/>
      <c r="AO1295" s="19" t="n">
        <v>1</v>
      </c>
      <c r="AP1295" s="19"/>
      <c r="AQ1295" s="19"/>
      <c r="AR1295" s="19"/>
      <c r="AS1295" s="20" t="str">
        <f aca="false">HYPERLINK("http://www.openstreetmap.org/?mlat=30.4828&amp;mlon=47.8228&amp;zoom=12#map=12/30.4828/47.8228","Maplink1")</f>
        <v>Maplink1</v>
      </c>
      <c r="AT1295" s="20" t="str">
        <f aca="false">HYPERLINK("https://www.google.iq/maps/search/+30.4828,47.8228/@30.4828,47.8228,14z?hl=en","Maplink2")</f>
        <v>Maplink2</v>
      </c>
      <c r="AU1295" s="20" t="str">
        <f aca="false">HYPERLINK("http://www.bing.com/maps/?lvl=14&amp;sty=h&amp;cp=30.4828~47.8228&amp;sp=point.30.4828_47.8228","Maplink3")</f>
        <v>Maplink3</v>
      </c>
    </row>
    <row r="1296" customFormat="false" ht="15" hidden="false" customHeight="true" outlineLevel="0" collapsed="false">
      <c r="A1296" s="15" t="n">
        <v>987</v>
      </c>
      <c r="B1296" s="16" t="s">
        <v>18</v>
      </c>
      <c r="C1296" s="16" t="s">
        <v>18</v>
      </c>
      <c r="D1296" s="16" t="s">
        <v>2568</v>
      </c>
      <c r="E1296" s="17" t="s">
        <v>2569</v>
      </c>
      <c r="F1296" s="16" t="n">
        <v>30.54356773</v>
      </c>
      <c r="G1296" s="16" t="n">
        <v>47.77648372</v>
      </c>
      <c r="H1296" s="18" t="n">
        <v>1</v>
      </c>
      <c r="I1296" s="18" t="n">
        <v>6</v>
      </c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 t="n">
        <v>1</v>
      </c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 t="n">
        <v>1</v>
      </c>
      <c r="AI1296" s="19"/>
      <c r="AJ1296" s="19"/>
      <c r="AK1296" s="19"/>
      <c r="AL1296" s="19"/>
      <c r="AM1296" s="19" t="n">
        <v>1</v>
      </c>
      <c r="AN1296" s="19"/>
      <c r="AO1296" s="19"/>
      <c r="AP1296" s="19"/>
      <c r="AQ1296" s="19"/>
      <c r="AR1296" s="19"/>
      <c r="AS1296" s="20" t="str">
        <f aca="false">HYPERLINK("http://www.openstreetmap.org/?mlat=30.5436&amp;mlon=47.7765&amp;zoom=12#map=12/30.5436/47.7765","Maplink1")</f>
        <v>Maplink1</v>
      </c>
      <c r="AT1296" s="20" t="str">
        <f aca="false">HYPERLINK("https://www.google.iq/maps/search/+30.5436,47.7765/@30.5436,47.7765,14z?hl=en","Maplink2")</f>
        <v>Maplink2</v>
      </c>
      <c r="AU1296" s="20" t="str">
        <f aca="false">HYPERLINK("http://www.bing.com/maps/?lvl=14&amp;sty=h&amp;cp=30.5436~47.7765&amp;sp=point.30.5436_47.7765","Maplink3")</f>
        <v>Maplink3</v>
      </c>
    </row>
    <row r="1297" customFormat="false" ht="15" hidden="false" customHeight="true" outlineLevel="0" collapsed="false">
      <c r="A1297" s="15" t="n">
        <v>952</v>
      </c>
      <c r="B1297" s="16" t="s">
        <v>18</v>
      </c>
      <c r="C1297" s="16" t="s">
        <v>18</v>
      </c>
      <c r="D1297" s="16" t="s">
        <v>2570</v>
      </c>
      <c r="E1297" s="17" t="s">
        <v>2571</v>
      </c>
      <c r="F1297" s="16" t="n">
        <v>30.535</v>
      </c>
      <c r="G1297" s="16" t="n">
        <v>47.799444</v>
      </c>
      <c r="H1297" s="18" t="n">
        <v>1</v>
      </c>
      <c r="I1297" s="18" t="n">
        <v>6</v>
      </c>
      <c r="J1297" s="19"/>
      <c r="K1297" s="19" t="n">
        <v>1</v>
      </c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 t="n">
        <v>1</v>
      </c>
      <c r="AF1297" s="19"/>
      <c r="AG1297" s="19"/>
      <c r="AH1297" s="19"/>
      <c r="AI1297" s="19"/>
      <c r="AJ1297" s="19"/>
      <c r="AK1297" s="19"/>
      <c r="AL1297" s="19"/>
      <c r="AM1297" s="19" t="n">
        <v>1</v>
      </c>
      <c r="AN1297" s="19"/>
      <c r="AO1297" s="19"/>
      <c r="AP1297" s="19"/>
      <c r="AQ1297" s="19"/>
      <c r="AR1297" s="19"/>
      <c r="AS1297" s="20" t="str">
        <f aca="false">HYPERLINK("http://www.openstreetmap.org/?mlat=30.535&amp;mlon=47.7994&amp;zoom=12#map=12/30.535/47.7994","Maplink1")</f>
        <v>Maplink1</v>
      </c>
      <c r="AT1297" s="20" t="str">
        <f aca="false">HYPERLINK("https://www.google.iq/maps/search/+30.535,47.7994/@30.535,47.7994,14z?hl=en","Maplink2")</f>
        <v>Maplink2</v>
      </c>
      <c r="AU1297" s="20" t="str">
        <f aca="false">HYPERLINK("http://www.bing.com/maps/?lvl=14&amp;sty=h&amp;cp=30.535~47.7994&amp;sp=point.30.535_47.7994","Maplink3")</f>
        <v>Maplink3</v>
      </c>
    </row>
    <row r="1298" customFormat="false" ht="15" hidden="false" customHeight="true" outlineLevel="0" collapsed="false">
      <c r="A1298" s="15" t="n">
        <v>954</v>
      </c>
      <c r="B1298" s="16" t="s">
        <v>18</v>
      </c>
      <c r="C1298" s="16" t="s">
        <v>18</v>
      </c>
      <c r="D1298" s="16" t="s">
        <v>2572</v>
      </c>
      <c r="E1298" s="17" t="s">
        <v>2573</v>
      </c>
      <c r="F1298" s="16" t="n">
        <v>30.53921329</v>
      </c>
      <c r="G1298" s="16" t="n">
        <v>47.78294046</v>
      </c>
      <c r="H1298" s="18" t="n">
        <v>2</v>
      </c>
      <c r="I1298" s="18" t="n">
        <v>12</v>
      </c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 t="n">
        <v>1</v>
      </c>
      <c r="W1298" s="19"/>
      <c r="X1298" s="19" t="n">
        <v>1</v>
      </c>
      <c r="Y1298" s="19"/>
      <c r="Z1298" s="19"/>
      <c r="AA1298" s="19"/>
      <c r="AB1298" s="19"/>
      <c r="AC1298" s="19" t="n">
        <v>2</v>
      </c>
      <c r="AD1298" s="19"/>
      <c r="AE1298" s="19"/>
      <c r="AF1298" s="19"/>
      <c r="AG1298" s="19"/>
      <c r="AH1298" s="19"/>
      <c r="AI1298" s="19"/>
      <c r="AJ1298" s="19"/>
      <c r="AK1298" s="19"/>
      <c r="AL1298" s="19"/>
      <c r="AM1298" s="19" t="n">
        <v>1</v>
      </c>
      <c r="AN1298" s="19"/>
      <c r="AO1298" s="19"/>
      <c r="AP1298" s="19" t="n">
        <v>1</v>
      </c>
      <c r="AQ1298" s="19"/>
      <c r="AR1298" s="19"/>
      <c r="AS1298" s="20" t="str">
        <f aca="false">HYPERLINK("http://www.openstreetmap.org/?mlat=30.5392&amp;mlon=47.7829&amp;zoom=12#map=12/30.5392/47.7829","Maplink1")</f>
        <v>Maplink1</v>
      </c>
      <c r="AT1298" s="20" t="str">
        <f aca="false">HYPERLINK("https://www.google.iq/maps/search/+30.5392,47.7829/@30.5392,47.7829,14z?hl=en","Maplink2")</f>
        <v>Maplink2</v>
      </c>
      <c r="AU1298" s="20" t="str">
        <f aca="false">HYPERLINK("http://www.bing.com/maps/?lvl=14&amp;sty=h&amp;cp=30.5392~47.7829&amp;sp=point.30.5392_47.7829","Maplink3")</f>
        <v>Maplink3</v>
      </c>
    </row>
    <row r="1299" customFormat="false" ht="15" hidden="false" customHeight="true" outlineLevel="0" collapsed="false">
      <c r="A1299" s="15" t="n">
        <v>24124</v>
      </c>
      <c r="B1299" s="16" t="s">
        <v>18</v>
      </c>
      <c r="C1299" s="16" t="s">
        <v>18</v>
      </c>
      <c r="D1299" s="16" t="s">
        <v>2574</v>
      </c>
      <c r="E1299" s="17" t="s">
        <v>2575</v>
      </c>
      <c r="F1299" s="16" t="n">
        <v>30.502804</v>
      </c>
      <c r="G1299" s="16" t="n">
        <v>47.776781</v>
      </c>
      <c r="H1299" s="18" t="n">
        <v>3</v>
      </c>
      <c r="I1299" s="18" t="n">
        <v>18</v>
      </c>
      <c r="J1299" s="19" t="n">
        <v>1</v>
      </c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 t="n">
        <v>2</v>
      </c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 t="n">
        <v>1</v>
      </c>
      <c r="AH1299" s="19" t="n">
        <v>2</v>
      </c>
      <c r="AI1299" s="19"/>
      <c r="AJ1299" s="19"/>
      <c r="AK1299" s="19"/>
      <c r="AL1299" s="19" t="n">
        <v>1</v>
      </c>
      <c r="AM1299" s="19"/>
      <c r="AN1299" s="19" t="n">
        <v>1</v>
      </c>
      <c r="AO1299" s="19" t="n">
        <v>1</v>
      </c>
      <c r="AP1299" s="19"/>
      <c r="AQ1299" s="19"/>
      <c r="AR1299" s="19"/>
      <c r="AS1299" s="20" t="str">
        <f aca="false">HYPERLINK("http://www.openstreetmap.org/?mlat=30.5028&amp;mlon=47.7768&amp;zoom=12#map=12/30.5028/47.7768","Maplink1")</f>
        <v>Maplink1</v>
      </c>
      <c r="AT1299" s="20" t="str">
        <f aca="false">HYPERLINK("https://www.google.iq/maps/search/+30.5028,47.7768/@30.5028,47.7768,14z?hl=en","Maplink2")</f>
        <v>Maplink2</v>
      </c>
      <c r="AU1299" s="20" t="str">
        <f aca="false">HYPERLINK("http://www.bing.com/maps/?lvl=14&amp;sty=h&amp;cp=30.5028~47.7768&amp;sp=point.30.5028_47.7768","Maplink3")</f>
        <v>Maplink3</v>
      </c>
    </row>
    <row r="1300" customFormat="false" ht="15" hidden="false" customHeight="true" outlineLevel="0" collapsed="false">
      <c r="A1300" s="15" t="n">
        <v>869</v>
      </c>
      <c r="B1300" s="16" t="s">
        <v>18</v>
      </c>
      <c r="C1300" s="16" t="s">
        <v>18</v>
      </c>
      <c r="D1300" s="16" t="s">
        <v>2576</v>
      </c>
      <c r="E1300" s="17" t="s">
        <v>2577</v>
      </c>
      <c r="F1300" s="16" t="n">
        <v>30.49226864</v>
      </c>
      <c r="G1300" s="16" t="n">
        <v>47.77616235</v>
      </c>
      <c r="H1300" s="18" t="n">
        <v>7</v>
      </c>
      <c r="I1300" s="18" t="n">
        <v>42</v>
      </c>
      <c r="J1300" s="19" t="n">
        <v>4</v>
      </c>
      <c r="K1300" s="19"/>
      <c r="L1300" s="19"/>
      <c r="M1300" s="19"/>
      <c r="N1300" s="19"/>
      <c r="O1300" s="19"/>
      <c r="P1300" s="19"/>
      <c r="Q1300" s="19"/>
      <c r="R1300" s="19" t="n">
        <v>2</v>
      </c>
      <c r="S1300" s="19"/>
      <c r="T1300" s="19"/>
      <c r="U1300" s="19"/>
      <c r="V1300" s="19" t="n">
        <v>1</v>
      </c>
      <c r="W1300" s="19"/>
      <c r="X1300" s="19"/>
      <c r="Y1300" s="19"/>
      <c r="Z1300" s="19"/>
      <c r="AA1300" s="19"/>
      <c r="AB1300" s="19"/>
      <c r="AC1300" s="19" t="n">
        <v>2</v>
      </c>
      <c r="AD1300" s="19"/>
      <c r="AE1300" s="19"/>
      <c r="AF1300" s="19"/>
      <c r="AG1300" s="19"/>
      <c r="AH1300" s="19" t="n">
        <v>5</v>
      </c>
      <c r="AI1300" s="19"/>
      <c r="AJ1300" s="19"/>
      <c r="AK1300" s="19"/>
      <c r="AL1300" s="19"/>
      <c r="AM1300" s="19" t="n">
        <v>5</v>
      </c>
      <c r="AN1300" s="19"/>
      <c r="AO1300" s="19" t="n">
        <v>1</v>
      </c>
      <c r="AP1300" s="19" t="n">
        <v>1</v>
      </c>
      <c r="AQ1300" s="19"/>
      <c r="AR1300" s="19"/>
      <c r="AS1300" s="20" t="str">
        <f aca="false">HYPERLINK("http://www.openstreetmap.org/?mlat=30.4923&amp;mlon=47.7762&amp;zoom=12#map=12/30.4923/47.7762","Maplink1")</f>
        <v>Maplink1</v>
      </c>
      <c r="AT1300" s="20" t="str">
        <f aca="false">HYPERLINK("https://www.google.iq/maps/search/+30.4923,47.7762/@30.4923,47.7762,14z?hl=en","Maplink2")</f>
        <v>Maplink2</v>
      </c>
      <c r="AU1300" s="20" t="str">
        <f aca="false">HYPERLINK("http://www.bing.com/maps/?lvl=14&amp;sty=h&amp;cp=30.4923~47.7762&amp;sp=point.30.4923_47.7762","Maplink3")</f>
        <v>Maplink3</v>
      </c>
    </row>
    <row r="1301" customFormat="false" ht="15" hidden="false" customHeight="true" outlineLevel="0" collapsed="false">
      <c r="A1301" s="15" t="n">
        <v>854</v>
      </c>
      <c r="B1301" s="16" t="s">
        <v>18</v>
      </c>
      <c r="C1301" s="16" t="s">
        <v>18</v>
      </c>
      <c r="D1301" s="16" t="s">
        <v>2578</v>
      </c>
      <c r="E1301" s="17" t="s">
        <v>2579</v>
      </c>
      <c r="F1301" s="16" t="n">
        <v>30.49148219</v>
      </c>
      <c r="G1301" s="16" t="n">
        <v>47.8002432</v>
      </c>
      <c r="H1301" s="18" t="n">
        <v>6</v>
      </c>
      <c r="I1301" s="18" t="n">
        <v>36</v>
      </c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 t="n">
        <v>5</v>
      </c>
      <c r="W1301" s="19"/>
      <c r="X1301" s="19" t="n">
        <v>1</v>
      </c>
      <c r="Y1301" s="19"/>
      <c r="Z1301" s="19"/>
      <c r="AA1301" s="19"/>
      <c r="AB1301" s="19"/>
      <c r="AC1301" s="19" t="n">
        <v>2</v>
      </c>
      <c r="AD1301" s="19"/>
      <c r="AE1301" s="19"/>
      <c r="AF1301" s="19"/>
      <c r="AG1301" s="19"/>
      <c r="AH1301" s="19" t="n">
        <v>4</v>
      </c>
      <c r="AI1301" s="19"/>
      <c r="AJ1301" s="19"/>
      <c r="AK1301" s="19"/>
      <c r="AL1301" s="19"/>
      <c r="AM1301" s="19" t="n">
        <v>4</v>
      </c>
      <c r="AN1301" s="19"/>
      <c r="AO1301" s="19" t="n">
        <v>2</v>
      </c>
      <c r="AP1301" s="19"/>
      <c r="AQ1301" s="19"/>
      <c r="AR1301" s="19"/>
      <c r="AS1301" s="20" t="str">
        <f aca="false">HYPERLINK("http://www.openstreetmap.org/?mlat=30.4915&amp;mlon=47.8002&amp;zoom=12#map=12/30.4915/47.8002","Maplink1")</f>
        <v>Maplink1</v>
      </c>
      <c r="AT1301" s="20" t="str">
        <f aca="false">HYPERLINK("https://www.google.iq/maps/search/+30.4915,47.8002/@30.4915,47.8002,14z?hl=en","Maplink2")</f>
        <v>Maplink2</v>
      </c>
      <c r="AU1301" s="20" t="str">
        <f aca="false">HYPERLINK("http://www.bing.com/maps/?lvl=14&amp;sty=h&amp;cp=30.4915~47.8002&amp;sp=point.30.4915_47.8002","Maplink3")</f>
        <v>Maplink3</v>
      </c>
    </row>
    <row r="1302" customFormat="false" ht="15" hidden="false" customHeight="true" outlineLevel="0" collapsed="false">
      <c r="A1302" s="15" t="n">
        <v>933</v>
      </c>
      <c r="B1302" s="16" t="s">
        <v>18</v>
      </c>
      <c r="C1302" s="16" t="s">
        <v>18</v>
      </c>
      <c r="D1302" s="16" t="s">
        <v>2580</v>
      </c>
      <c r="E1302" s="17" t="s">
        <v>2581</v>
      </c>
      <c r="F1302" s="16" t="n">
        <v>30.52373246</v>
      </c>
      <c r="G1302" s="16" t="n">
        <v>47.8113231</v>
      </c>
      <c r="H1302" s="18" t="n">
        <v>2</v>
      </c>
      <c r="I1302" s="18" t="n">
        <v>12</v>
      </c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 t="n">
        <v>1</v>
      </c>
      <c r="W1302" s="19"/>
      <c r="X1302" s="19" t="n">
        <v>1</v>
      </c>
      <c r="Y1302" s="19"/>
      <c r="Z1302" s="19"/>
      <c r="AA1302" s="19"/>
      <c r="AB1302" s="19"/>
      <c r="AC1302" s="19" t="n">
        <v>1</v>
      </c>
      <c r="AD1302" s="19"/>
      <c r="AE1302" s="19"/>
      <c r="AF1302" s="19"/>
      <c r="AG1302" s="19"/>
      <c r="AH1302" s="19" t="n">
        <v>1</v>
      </c>
      <c r="AI1302" s="19"/>
      <c r="AJ1302" s="19"/>
      <c r="AK1302" s="19"/>
      <c r="AL1302" s="19"/>
      <c r="AM1302" s="19" t="n">
        <v>2</v>
      </c>
      <c r="AN1302" s="19"/>
      <c r="AO1302" s="19"/>
      <c r="AP1302" s="19"/>
      <c r="AQ1302" s="19"/>
      <c r="AR1302" s="19"/>
      <c r="AS1302" s="20" t="str">
        <f aca="false">HYPERLINK("http://www.openstreetmap.org/?mlat=30.5237&amp;mlon=47.8113&amp;zoom=12#map=12/30.5237/47.8113","Maplink1")</f>
        <v>Maplink1</v>
      </c>
      <c r="AT1302" s="20" t="str">
        <f aca="false">HYPERLINK("https://www.google.iq/maps/search/+30.5237,47.8113/@30.5237,47.8113,14z?hl=en","Maplink2")</f>
        <v>Maplink2</v>
      </c>
      <c r="AU1302" s="20" t="str">
        <f aca="false">HYPERLINK("http://www.bing.com/maps/?lvl=14&amp;sty=h&amp;cp=30.5237~47.8113&amp;sp=point.30.5237_47.8113","Maplink3")</f>
        <v>Maplink3</v>
      </c>
    </row>
    <row r="1303" customFormat="false" ht="15" hidden="false" customHeight="true" outlineLevel="0" collapsed="false">
      <c r="A1303" s="15" t="n">
        <v>852</v>
      </c>
      <c r="B1303" s="16" t="s">
        <v>18</v>
      </c>
      <c r="C1303" s="16" t="s">
        <v>18</v>
      </c>
      <c r="D1303" s="16" t="s">
        <v>2582</v>
      </c>
      <c r="E1303" s="17" t="s">
        <v>2583</v>
      </c>
      <c r="F1303" s="16" t="n">
        <v>30.5014617</v>
      </c>
      <c r="G1303" s="16" t="n">
        <v>47.7857546</v>
      </c>
      <c r="H1303" s="18" t="n">
        <v>1</v>
      </c>
      <c r="I1303" s="18" t="n">
        <v>6</v>
      </c>
      <c r="J1303" s="19" t="n">
        <v>1</v>
      </c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 t="n">
        <v>1</v>
      </c>
      <c r="AD1303" s="19"/>
      <c r="AE1303" s="19"/>
      <c r="AF1303" s="19"/>
      <c r="AG1303" s="19"/>
      <c r="AH1303" s="19"/>
      <c r="AI1303" s="19"/>
      <c r="AJ1303" s="19"/>
      <c r="AK1303" s="19"/>
      <c r="AL1303" s="19" t="n">
        <v>1</v>
      </c>
      <c r="AM1303" s="19"/>
      <c r="AN1303" s="19"/>
      <c r="AO1303" s="19"/>
      <c r="AP1303" s="19"/>
      <c r="AQ1303" s="19"/>
      <c r="AR1303" s="19"/>
      <c r="AS1303" s="20" t="str">
        <f aca="false">HYPERLINK("http://www.openstreetmap.org/?mlat=30.5015&amp;mlon=47.7858&amp;zoom=12#map=12/30.5015/47.7858","Maplink1")</f>
        <v>Maplink1</v>
      </c>
      <c r="AT1303" s="20" t="str">
        <f aca="false">HYPERLINK("https://www.google.iq/maps/search/+30.5015,47.7858/@30.5015,47.7858,14z?hl=en","Maplink2")</f>
        <v>Maplink2</v>
      </c>
      <c r="AU1303" s="20" t="str">
        <f aca="false">HYPERLINK("http://www.bing.com/maps/?lvl=14&amp;sty=h&amp;cp=30.5015~47.7858&amp;sp=point.30.5015_47.7858","Maplink3")</f>
        <v>Maplink3</v>
      </c>
    </row>
    <row r="1304" customFormat="false" ht="15" hidden="false" customHeight="true" outlineLevel="0" collapsed="false">
      <c r="A1304" s="15" t="n">
        <v>602</v>
      </c>
      <c r="B1304" s="16" t="s">
        <v>18</v>
      </c>
      <c r="C1304" s="16" t="s">
        <v>18</v>
      </c>
      <c r="D1304" s="16" t="s">
        <v>2584</v>
      </c>
      <c r="E1304" s="17" t="s">
        <v>2585</v>
      </c>
      <c r="F1304" s="16" t="n">
        <v>30.46376933</v>
      </c>
      <c r="G1304" s="16" t="n">
        <v>47.7902572</v>
      </c>
      <c r="H1304" s="18" t="n">
        <v>48</v>
      </c>
      <c r="I1304" s="18" t="n">
        <v>288</v>
      </c>
      <c r="J1304" s="19" t="n">
        <v>4</v>
      </c>
      <c r="K1304" s="19" t="n">
        <v>1</v>
      </c>
      <c r="L1304" s="19" t="n">
        <v>1</v>
      </c>
      <c r="M1304" s="19"/>
      <c r="N1304" s="19"/>
      <c r="O1304" s="19" t="n">
        <v>1</v>
      </c>
      <c r="P1304" s="19"/>
      <c r="Q1304" s="19"/>
      <c r="R1304" s="19"/>
      <c r="S1304" s="19"/>
      <c r="T1304" s="19"/>
      <c r="U1304" s="19"/>
      <c r="V1304" s="19" t="n">
        <v>37</v>
      </c>
      <c r="W1304" s="19"/>
      <c r="X1304" s="19" t="n">
        <v>4</v>
      </c>
      <c r="Y1304" s="19"/>
      <c r="Z1304" s="19"/>
      <c r="AA1304" s="19"/>
      <c r="AB1304" s="19"/>
      <c r="AC1304" s="19" t="n">
        <v>1</v>
      </c>
      <c r="AD1304" s="19"/>
      <c r="AE1304" s="19" t="n">
        <v>5</v>
      </c>
      <c r="AF1304" s="19"/>
      <c r="AG1304" s="19"/>
      <c r="AH1304" s="19" t="n">
        <v>42</v>
      </c>
      <c r="AI1304" s="19"/>
      <c r="AJ1304" s="19"/>
      <c r="AK1304" s="19"/>
      <c r="AL1304" s="19" t="n">
        <v>3</v>
      </c>
      <c r="AM1304" s="19" t="n">
        <v>34</v>
      </c>
      <c r="AN1304" s="19" t="n">
        <v>2</v>
      </c>
      <c r="AO1304" s="19" t="n">
        <v>6</v>
      </c>
      <c r="AP1304" s="19"/>
      <c r="AQ1304" s="19" t="n">
        <v>2</v>
      </c>
      <c r="AR1304" s="19" t="n">
        <v>1</v>
      </c>
      <c r="AS1304" s="20" t="str">
        <f aca="false">HYPERLINK("http://www.openstreetmap.org/?mlat=30.4638&amp;mlon=47.7903&amp;zoom=12#map=12/30.4638/47.7903","Maplink1")</f>
        <v>Maplink1</v>
      </c>
      <c r="AT1304" s="20" t="str">
        <f aca="false">HYPERLINK("https://www.google.iq/maps/search/+30.4638,47.7903/@30.4638,47.7903,14z?hl=en","Maplink2")</f>
        <v>Maplink2</v>
      </c>
      <c r="AU1304" s="20" t="str">
        <f aca="false">HYPERLINK("http://www.bing.com/maps/?lvl=14&amp;sty=h&amp;cp=30.4638~47.7903&amp;sp=point.30.4638_47.7903","Maplink3")</f>
        <v>Maplink3</v>
      </c>
    </row>
    <row r="1305" customFormat="false" ht="15" hidden="false" customHeight="true" outlineLevel="0" collapsed="false">
      <c r="A1305" s="15" t="n">
        <v>874</v>
      </c>
      <c r="B1305" s="16" t="s">
        <v>18</v>
      </c>
      <c r="C1305" s="16" t="s">
        <v>18</v>
      </c>
      <c r="D1305" s="16" t="s">
        <v>2586</v>
      </c>
      <c r="E1305" s="17" t="s">
        <v>2587</v>
      </c>
      <c r="F1305" s="16" t="n">
        <v>30.49671931</v>
      </c>
      <c r="G1305" s="16" t="n">
        <v>47.80803546</v>
      </c>
      <c r="H1305" s="18" t="n">
        <v>1</v>
      </c>
      <c r="I1305" s="18" t="n">
        <v>6</v>
      </c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 t="n">
        <v>1</v>
      </c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 t="n">
        <v>1</v>
      </c>
      <c r="AI1305" s="19"/>
      <c r="AJ1305" s="19"/>
      <c r="AK1305" s="19"/>
      <c r="AL1305" s="19"/>
      <c r="AM1305" s="19" t="n">
        <v>1</v>
      </c>
      <c r="AN1305" s="19"/>
      <c r="AO1305" s="19"/>
      <c r="AP1305" s="19"/>
      <c r="AQ1305" s="19"/>
      <c r="AR1305" s="19"/>
      <c r="AS1305" s="20" t="str">
        <f aca="false">HYPERLINK("http://www.openstreetmap.org/?mlat=30.4967&amp;mlon=47.808&amp;zoom=12#map=12/30.4967/47.808","Maplink1")</f>
        <v>Maplink1</v>
      </c>
      <c r="AT1305" s="20" t="str">
        <f aca="false">HYPERLINK("https://www.google.iq/maps/search/+30.4967,47.808/@30.4967,47.808,14z?hl=en","Maplink2")</f>
        <v>Maplink2</v>
      </c>
      <c r="AU1305" s="20" t="str">
        <f aca="false">HYPERLINK("http://www.bing.com/maps/?lvl=14&amp;sty=h&amp;cp=30.4967~47.808&amp;sp=point.30.4967_47.808","Maplink3")</f>
        <v>Maplink3</v>
      </c>
    </row>
    <row r="1306" customFormat="false" ht="15" hidden="false" customHeight="true" outlineLevel="0" collapsed="false">
      <c r="A1306" s="15" t="n">
        <v>886</v>
      </c>
      <c r="B1306" s="16" t="s">
        <v>18</v>
      </c>
      <c r="C1306" s="16" t="s">
        <v>18</v>
      </c>
      <c r="D1306" s="16" t="s">
        <v>2588</v>
      </c>
      <c r="E1306" s="17" t="s">
        <v>2589</v>
      </c>
      <c r="F1306" s="16" t="n">
        <v>30.503333</v>
      </c>
      <c r="G1306" s="16" t="n">
        <v>47.841111</v>
      </c>
      <c r="H1306" s="18" t="n">
        <v>2</v>
      </c>
      <c r="I1306" s="18" t="n">
        <v>12</v>
      </c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 t="n">
        <v>2</v>
      </c>
      <c r="W1306" s="19"/>
      <c r="X1306" s="19"/>
      <c r="Y1306" s="19"/>
      <c r="Z1306" s="19"/>
      <c r="AA1306" s="19"/>
      <c r="AB1306" s="19"/>
      <c r="AC1306" s="19" t="n">
        <v>2</v>
      </c>
      <c r="AD1306" s="19"/>
      <c r="AE1306" s="19"/>
      <c r="AF1306" s="19"/>
      <c r="AG1306" s="19"/>
      <c r="AH1306" s="19"/>
      <c r="AI1306" s="19"/>
      <c r="AJ1306" s="19"/>
      <c r="AK1306" s="19"/>
      <c r="AL1306" s="19"/>
      <c r="AM1306" s="19"/>
      <c r="AN1306" s="19"/>
      <c r="AO1306" s="19" t="n">
        <v>2</v>
      </c>
      <c r="AP1306" s="19"/>
      <c r="AQ1306" s="19"/>
      <c r="AR1306" s="19"/>
      <c r="AS1306" s="20" t="str">
        <f aca="false">HYPERLINK("http://www.openstreetmap.org/?mlat=30.5033&amp;mlon=47.8411&amp;zoom=12#map=12/30.5033/47.8411","Maplink1")</f>
        <v>Maplink1</v>
      </c>
      <c r="AT1306" s="20" t="str">
        <f aca="false">HYPERLINK("https://www.google.iq/maps/search/+30.5033,47.8411/@30.5033,47.8411,14z?hl=en","Maplink2")</f>
        <v>Maplink2</v>
      </c>
      <c r="AU1306" s="20" t="str">
        <f aca="false">HYPERLINK("http://www.bing.com/maps/?lvl=14&amp;sty=h&amp;cp=30.5033~47.8411&amp;sp=point.30.5033_47.8411","Maplink3")</f>
        <v>Maplink3</v>
      </c>
    </row>
    <row r="1307" customFormat="false" ht="15" hidden="false" customHeight="true" outlineLevel="0" collapsed="false">
      <c r="A1307" s="15" t="n">
        <v>937</v>
      </c>
      <c r="B1307" s="16" t="s">
        <v>18</v>
      </c>
      <c r="C1307" s="16" t="s">
        <v>18</v>
      </c>
      <c r="D1307" s="16" t="s">
        <v>2590</v>
      </c>
      <c r="E1307" s="17" t="s">
        <v>2591</v>
      </c>
      <c r="F1307" s="16" t="n">
        <v>30.5243843</v>
      </c>
      <c r="G1307" s="16" t="n">
        <v>47.8059834</v>
      </c>
      <c r="H1307" s="18" t="n">
        <v>1</v>
      </c>
      <c r="I1307" s="18" t="n">
        <v>6</v>
      </c>
      <c r="J1307" s="19"/>
      <c r="K1307" s="19"/>
      <c r="L1307" s="19"/>
      <c r="M1307" s="19"/>
      <c r="N1307" s="19"/>
      <c r="O1307" s="19"/>
      <c r="P1307" s="19"/>
      <c r="Q1307" s="19"/>
      <c r="R1307" s="19" t="n">
        <v>1</v>
      </c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 t="n">
        <v>1</v>
      </c>
      <c r="AI1307" s="19"/>
      <c r="AJ1307" s="19"/>
      <c r="AK1307" s="19"/>
      <c r="AL1307" s="19"/>
      <c r="AM1307" s="19" t="n">
        <v>1</v>
      </c>
      <c r="AN1307" s="19"/>
      <c r="AO1307" s="19"/>
      <c r="AP1307" s="19"/>
      <c r="AQ1307" s="19"/>
      <c r="AR1307" s="19"/>
      <c r="AS1307" s="20" t="str">
        <f aca="false">HYPERLINK("http://www.openstreetmap.org/?mlat=30.5244&amp;mlon=47.806&amp;zoom=12#map=12/30.5244/47.806","Maplink1")</f>
        <v>Maplink1</v>
      </c>
      <c r="AT1307" s="20" t="str">
        <f aca="false">HYPERLINK("https://www.google.iq/maps/search/+30.5244,47.806/@30.5244,47.806,14z?hl=en","Maplink2")</f>
        <v>Maplink2</v>
      </c>
      <c r="AU1307" s="20" t="str">
        <f aca="false">HYPERLINK("http://www.bing.com/maps/?lvl=14&amp;sty=h&amp;cp=30.5244~47.806&amp;sp=point.30.5244_47.806","Maplink3")</f>
        <v>Maplink3</v>
      </c>
    </row>
    <row r="1308" customFormat="false" ht="15" hidden="false" customHeight="true" outlineLevel="0" collapsed="false">
      <c r="A1308" s="15" t="n">
        <v>21099</v>
      </c>
      <c r="B1308" s="16" t="s">
        <v>18</v>
      </c>
      <c r="C1308" s="16" t="s">
        <v>18</v>
      </c>
      <c r="D1308" s="16" t="s">
        <v>2592</v>
      </c>
      <c r="E1308" s="17" t="s">
        <v>2593</v>
      </c>
      <c r="F1308" s="16" t="n">
        <v>30.48002115</v>
      </c>
      <c r="G1308" s="16" t="n">
        <v>47.78466881</v>
      </c>
      <c r="H1308" s="18" t="n">
        <v>6</v>
      </c>
      <c r="I1308" s="18" t="n">
        <v>36</v>
      </c>
      <c r="J1308" s="19" t="n">
        <v>1</v>
      </c>
      <c r="K1308" s="19"/>
      <c r="L1308" s="19"/>
      <c r="M1308" s="19"/>
      <c r="N1308" s="19"/>
      <c r="O1308" s="19"/>
      <c r="P1308" s="19"/>
      <c r="Q1308" s="19"/>
      <c r="R1308" s="19" t="n">
        <v>4</v>
      </c>
      <c r="S1308" s="19"/>
      <c r="T1308" s="19"/>
      <c r="U1308" s="19"/>
      <c r="V1308" s="19"/>
      <c r="W1308" s="19"/>
      <c r="X1308" s="19" t="n">
        <v>1</v>
      </c>
      <c r="Y1308" s="19"/>
      <c r="Z1308" s="19"/>
      <c r="AA1308" s="19"/>
      <c r="AB1308" s="19"/>
      <c r="AC1308" s="19" t="n">
        <v>4</v>
      </c>
      <c r="AD1308" s="19"/>
      <c r="AE1308" s="19"/>
      <c r="AF1308" s="19"/>
      <c r="AG1308" s="19"/>
      <c r="AH1308" s="19" t="n">
        <v>2</v>
      </c>
      <c r="AI1308" s="19"/>
      <c r="AJ1308" s="19"/>
      <c r="AK1308" s="19"/>
      <c r="AL1308" s="19"/>
      <c r="AM1308" s="19" t="n">
        <v>2</v>
      </c>
      <c r="AN1308" s="19" t="n">
        <v>2</v>
      </c>
      <c r="AO1308" s="19" t="n">
        <v>1</v>
      </c>
      <c r="AP1308" s="19"/>
      <c r="AQ1308" s="19"/>
      <c r="AR1308" s="19" t="n">
        <v>1</v>
      </c>
      <c r="AS1308" s="20" t="str">
        <f aca="false">HYPERLINK("http://www.openstreetmap.org/?mlat=30.48&amp;mlon=47.7847&amp;zoom=12#map=12/30.48/47.7847","Maplink1")</f>
        <v>Maplink1</v>
      </c>
      <c r="AT1308" s="20" t="str">
        <f aca="false">HYPERLINK("https://www.google.iq/maps/search/+30.48,47.7847/@30.48,47.7847,14z?hl=en","Maplink2")</f>
        <v>Maplink2</v>
      </c>
      <c r="AU1308" s="20" t="str">
        <f aca="false">HYPERLINK("http://www.bing.com/maps/?lvl=14&amp;sty=h&amp;cp=30.48~47.7847&amp;sp=point.30.48_47.7847","Maplink3")</f>
        <v>Maplink3</v>
      </c>
    </row>
    <row r="1309" customFormat="false" ht="15" hidden="false" customHeight="true" outlineLevel="0" collapsed="false">
      <c r="A1309" s="15" t="n">
        <v>23897</v>
      </c>
      <c r="B1309" s="16" t="s">
        <v>18</v>
      </c>
      <c r="C1309" s="16" t="s">
        <v>18</v>
      </c>
      <c r="D1309" s="16" t="s">
        <v>2594</v>
      </c>
      <c r="E1309" s="17" t="s">
        <v>2595</v>
      </c>
      <c r="F1309" s="16" t="n">
        <v>30.47957857</v>
      </c>
      <c r="G1309" s="16" t="n">
        <v>47.83030107</v>
      </c>
      <c r="H1309" s="18" t="n">
        <v>6</v>
      </c>
      <c r="I1309" s="18" t="n">
        <v>36</v>
      </c>
      <c r="J1309" s="19" t="n">
        <v>6</v>
      </c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 t="n">
        <v>5</v>
      </c>
      <c r="AF1309" s="19"/>
      <c r="AG1309" s="19"/>
      <c r="AH1309" s="19" t="n">
        <v>1</v>
      </c>
      <c r="AI1309" s="19"/>
      <c r="AJ1309" s="19"/>
      <c r="AK1309" s="19"/>
      <c r="AL1309" s="19" t="n">
        <v>1</v>
      </c>
      <c r="AM1309" s="19" t="n">
        <v>5</v>
      </c>
      <c r="AN1309" s="19"/>
      <c r="AO1309" s="19"/>
      <c r="AP1309" s="19"/>
      <c r="AQ1309" s="19"/>
      <c r="AR1309" s="19"/>
      <c r="AS1309" s="20" t="str">
        <f aca="false">HYPERLINK("http://www.openstreetmap.org/?mlat=30.4796&amp;mlon=47.8303&amp;zoom=12#map=12/30.4796/47.8303","Maplink1")</f>
        <v>Maplink1</v>
      </c>
      <c r="AT1309" s="20" t="str">
        <f aca="false">HYPERLINK("https://www.google.iq/maps/search/+30.4796,47.8303/@30.4796,47.8303,14z?hl=en","Maplink2")</f>
        <v>Maplink2</v>
      </c>
      <c r="AU1309" s="20" t="str">
        <f aca="false">HYPERLINK("http://www.bing.com/maps/?lvl=14&amp;sty=h&amp;cp=30.4796~47.8303&amp;sp=point.30.4796_47.8303","Maplink3")</f>
        <v>Maplink3</v>
      </c>
    </row>
    <row r="1310" customFormat="false" ht="15" hidden="false" customHeight="true" outlineLevel="0" collapsed="false">
      <c r="A1310" s="15" t="n">
        <v>24126</v>
      </c>
      <c r="B1310" s="16" t="s">
        <v>18</v>
      </c>
      <c r="C1310" s="16" t="s">
        <v>18</v>
      </c>
      <c r="D1310" s="16" t="s">
        <v>2596</v>
      </c>
      <c r="E1310" s="17" t="s">
        <v>2597</v>
      </c>
      <c r="F1310" s="16" t="n">
        <v>30.47485356</v>
      </c>
      <c r="G1310" s="16" t="n">
        <v>47.80497531</v>
      </c>
      <c r="H1310" s="18" t="n">
        <v>22</v>
      </c>
      <c r="I1310" s="18" t="n">
        <v>132</v>
      </c>
      <c r="J1310" s="19" t="n">
        <v>3</v>
      </c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 t="n">
        <v>14</v>
      </c>
      <c r="W1310" s="19"/>
      <c r="X1310" s="19" t="n">
        <v>5</v>
      </c>
      <c r="Y1310" s="19"/>
      <c r="Z1310" s="19"/>
      <c r="AA1310" s="19"/>
      <c r="AB1310" s="19"/>
      <c r="AC1310" s="19" t="n">
        <v>1</v>
      </c>
      <c r="AD1310" s="19"/>
      <c r="AE1310" s="19"/>
      <c r="AF1310" s="19"/>
      <c r="AG1310" s="19"/>
      <c r="AH1310" s="19" t="n">
        <v>21</v>
      </c>
      <c r="AI1310" s="19"/>
      <c r="AJ1310" s="19"/>
      <c r="AK1310" s="19"/>
      <c r="AL1310" s="19"/>
      <c r="AM1310" s="19" t="n">
        <v>3</v>
      </c>
      <c r="AN1310" s="19" t="n">
        <v>5</v>
      </c>
      <c r="AO1310" s="19" t="n">
        <v>5</v>
      </c>
      <c r="AP1310" s="19" t="n">
        <v>8</v>
      </c>
      <c r="AQ1310" s="19"/>
      <c r="AR1310" s="19" t="n">
        <v>1</v>
      </c>
      <c r="AS1310" s="20" t="str">
        <f aca="false">HYPERLINK("http://www.openstreetmap.org/?mlat=30.4749&amp;mlon=47.805&amp;zoom=12#map=12/30.4749/47.805","Maplink1")</f>
        <v>Maplink1</v>
      </c>
      <c r="AT1310" s="20" t="str">
        <f aca="false">HYPERLINK("https://www.google.iq/maps/search/+30.4749,47.805/@30.4749,47.805,14z?hl=en","Maplink2")</f>
        <v>Maplink2</v>
      </c>
      <c r="AU1310" s="20" t="str">
        <f aca="false">HYPERLINK("http://www.bing.com/maps/?lvl=14&amp;sty=h&amp;cp=30.4749~47.805&amp;sp=point.30.4749_47.805","Maplink3")</f>
        <v>Maplink3</v>
      </c>
    </row>
    <row r="1311" customFormat="false" ht="15" hidden="false" customHeight="true" outlineLevel="0" collapsed="false">
      <c r="A1311" s="15" t="n">
        <v>21096</v>
      </c>
      <c r="B1311" s="16" t="s">
        <v>18</v>
      </c>
      <c r="C1311" s="16" t="s">
        <v>18</v>
      </c>
      <c r="D1311" s="16" t="s">
        <v>2598</v>
      </c>
      <c r="E1311" s="17" t="s">
        <v>2599</v>
      </c>
      <c r="F1311" s="16" t="n">
        <v>30.47253768</v>
      </c>
      <c r="G1311" s="16" t="n">
        <v>47.81432466</v>
      </c>
      <c r="H1311" s="18" t="n">
        <v>5</v>
      </c>
      <c r="I1311" s="18" t="n">
        <v>30</v>
      </c>
      <c r="J1311" s="19" t="n">
        <v>2</v>
      </c>
      <c r="K1311" s="19"/>
      <c r="L1311" s="19"/>
      <c r="M1311" s="19"/>
      <c r="N1311" s="19"/>
      <c r="O1311" s="19"/>
      <c r="P1311" s="19"/>
      <c r="Q1311" s="19"/>
      <c r="R1311" s="19" t="n">
        <v>2</v>
      </c>
      <c r="S1311" s="19"/>
      <c r="T1311" s="19"/>
      <c r="U1311" s="19"/>
      <c r="V1311" s="19" t="n">
        <v>1</v>
      </c>
      <c r="W1311" s="19"/>
      <c r="X1311" s="19"/>
      <c r="Y1311" s="19"/>
      <c r="Z1311" s="19"/>
      <c r="AA1311" s="19"/>
      <c r="AB1311" s="19"/>
      <c r="AC1311" s="19" t="n">
        <v>1</v>
      </c>
      <c r="AD1311" s="19"/>
      <c r="AE1311" s="19" t="n">
        <v>2</v>
      </c>
      <c r="AF1311" s="19"/>
      <c r="AG1311" s="19"/>
      <c r="AH1311" s="19" t="n">
        <v>2</v>
      </c>
      <c r="AI1311" s="19"/>
      <c r="AJ1311" s="19"/>
      <c r="AK1311" s="19"/>
      <c r="AL1311" s="19" t="n">
        <v>2</v>
      </c>
      <c r="AM1311" s="19"/>
      <c r="AN1311" s="19" t="n">
        <v>2</v>
      </c>
      <c r="AO1311" s="19"/>
      <c r="AP1311" s="19"/>
      <c r="AQ1311" s="19"/>
      <c r="AR1311" s="19" t="n">
        <v>1</v>
      </c>
      <c r="AS1311" s="20" t="str">
        <f aca="false">HYPERLINK("http://www.openstreetmap.org/?mlat=30.4725&amp;mlon=47.8143&amp;zoom=12#map=12/30.4725/47.8143","Maplink1")</f>
        <v>Maplink1</v>
      </c>
      <c r="AT1311" s="20" t="str">
        <f aca="false">HYPERLINK("https://www.google.iq/maps/search/+30.4725,47.8143/@30.4725,47.8143,14z?hl=en","Maplink2")</f>
        <v>Maplink2</v>
      </c>
      <c r="AU1311" s="20" t="str">
        <f aca="false">HYPERLINK("http://www.bing.com/maps/?lvl=14&amp;sty=h&amp;cp=30.4725~47.8143&amp;sp=point.30.4725_47.8143","Maplink3")</f>
        <v>Maplink3</v>
      </c>
    </row>
    <row r="1312" customFormat="false" ht="15" hidden="false" customHeight="true" outlineLevel="0" collapsed="false">
      <c r="A1312" s="15" t="n">
        <v>22095</v>
      </c>
      <c r="B1312" s="16" t="s">
        <v>18</v>
      </c>
      <c r="C1312" s="16" t="s">
        <v>18</v>
      </c>
      <c r="D1312" s="16" t="s">
        <v>2600</v>
      </c>
      <c r="E1312" s="17" t="s">
        <v>2601</v>
      </c>
      <c r="F1312" s="16" t="n">
        <v>30.477789</v>
      </c>
      <c r="G1312" s="16" t="n">
        <v>47.817384</v>
      </c>
      <c r="H1312" s="18" t="n">
        <v>2</v>
      </c>
      <c r="I1312" s="18" t="n">
        <v>12</v>
      </c>
      <c r="J1312" s="19"/>
      <c r="K1312" s="19"/>
      <c r="L1312" s="19" t="n">
        <v>1</v>
      </c>
      <c r="M1312" s="19"/>
      <c r="N1312" s="19"/>
      <c r="O1312" s="19" t="n">
        <v>1</v>
      </c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 t="n">
        <v>1</v>
      </c>
      <c r="AD1312" s="19"/>
      <c r="AE1312" s="19" t="n">
        <v>1</v>
      </c>
      <c r="AF1312" s="19"/>
      <c r="AG1312" s="19"/>
      <c r="AH1312" s="19"/>
      <c r="AI1312" s="19"/>
      <c r="AJ1312" s="19"/>
      <c r="AK1312" s="19"/>
      <c r="AL1312" s="19" t="n">
        <v>1</v>
      </c>
      <c r="AM1312" s="19"/>
      <c r="AN1312" s="19" t="n">
        <v>1</v>
      </c>
      <c r="AO1312" s="19"/>
      <c r="AP1312" s="19"/>
      <c r="AQ1312" s="19"/>
      <c r="AR1312" s="19"/>
      <c r="AS1312" s="20" t="str">
        <f aca="false">HYPERLINK("http://www.openstreetmap.org/?mlat=30.4778&amp;mlon=47.8174&amp;zoom=12#map=12/30.4778/47.8174","Maplink1")</f>
        <v>Maplink1</v>
      </c>
      <c r="AT1312" s="20" t="str">
        <f aca="false">HYPERLINK("https://www.google.iq/maps/search/+30.4778,47.8174/@30.4778,47.8174,14z?hl=en","Maplink2")</f>
        <v>Maplink2</v>
      </c>
      <c r="AU1312" s="20" t="str">
        <f aca="false">HYPERLINK("http://www.bing.com/maps/?lvl=14&amp;sty=h&amp;cp=30.4778~47.8174&amp;sp=point.30.4778_47.8174","Maplink3")</f>
        <v>Maplink3</v>
      </c>
    </row>
    <row r="1313" customFormat="false" ht="15" hidden="false" customHeight="true" outlineLevel="0" collapsed="false">
      <c r="A1313" s="15" t="n">
        <v>860</v>
      </c>
      <c r="B1313" s="16" t="s">
        <v>18</v>
      </c>
      <c r="C1313" s="16" t="s">
        <v>18</v>
      </c>
      <c r="D1313" s="16" t="s">
        <v>2602</v>
      </c>
      <c r="E1313" s="17" t="s">
        <v>2603</v>
      </c>
      <c r="F1313" s="16" t="n">
        <v>30.49687441</v>
      </c>
      <c r="G1313" s="16" t="n">
        <v>47.80647567</v>
      </c>
      <c r="H1313" s="18" t="n">
        <v>32</v>
      </c>
      <c r="I1313" s="18" t="n">
        <v>192</v>
      </c>
      <c r="J1313" s="19"/>
      <c r="K1313" s="19"/>
      <c r="L1313" s="19" t="n">
        <v>1</v>
      </c>
      <c r="M1313" s="19"/>
      <c r="N1313" s="19"/>
      <c r="O1313" s="19"/>
      <c r="P1313" s="19"/>
      <c r="Q1313" s="19"/>
      <c r="R1313" s="19"/>
      <c r="S1313" s="19"/>
      <c r="T1313" s="19"/>
      <c r="U1313" s="19"/>
      <c r="V1313" s="19" t="n">
        <v>29</v>
      </c>
      <c r="W1313" s="19"/>
      <c r="X1313" s="19" t="n">
        <v>2</v>
      </c>
      <c r="Y1313" s="19"/>
      <c r="Z1313" s="19"/>
      <c r="AA1313" s="19"/>
      <c r="AB1313" s="19"/>
      <c r="AC1313" s="19" t="n">
        <v>2</v>
      </c>
      <c r="AD1313" s="19"/>
      <c r="AE1313" s="19" t="n">
        <v>17</v>
      </c>
      <c r="AF1313" s="19"/>
      <c r="AG1313" s="19"/>
      <c r="AH1313" s="19" t="n">
        <v>13</v>
      </c>
      <c r="AI1313" s="19"/>
      <c r="AJ1313" s="19"/>
      <c r="AK1313" s="19"/>
      <c r="AL1313" s="19"/>
      <c r="AM1313" s="19" t="n">
        <v>14</v>
      </c>
      <c r="AN1313" s="19" t="n">
        <v>11</v>
      </c>
      <c r="AO1313" s="19" t="n">
        <v>7</v>
      </c>
      <c r="AP1313" s="19"/>
      <c r="AQ1313" s="19"/>
      <c r="AR1313" s="19"/>
      <c r="AS1313" s="20" t="str">
        <f aca="false">HYPERLINK("http://www.openstreetmap.org/?mlat=30.4969&amp;mlon=47.8065&amp;zoom=12#map=12/30.4969/47.8065","Maplink1")</f>
        <v>Maplink1</v>
      </c>
      <c r="AT1313" s="20" t="str">
        <f aca="false">HYPERLINK("https://www.google.iq/maps/search/+30.4969,47.8065/@30.4969,47.8065,14z?hl=en","Maplink2")</f>
        <v>Maplink2</v>
      </c>
      <c r="AU1313" s="20" t="str">
        <f aca="false">HYPERLINK("http://www.bing.com/maps/?lvl=14&amp;sty=h&amp;cp=30.4969~47.8065&amp;sp=point.30.4969_47.8065","Maplink3")</f>
        <v>Maplink3</v>
      </c>
    </row>
    <row r="1314" customFormat="false" ht="15" hidden="false" customHeight="true" outlineLevel="0" collapsed="false">
      <c r="A1314" s="15" t="n">
        <v>24479</v>
      </c>
      <c r="B1314" s="16" t="s">
        <v>18</v>
      </c>
      <c r="C1314" s="16" t="s">
        <v>18</v>
      </c>
      <c r="D1314" s="16" t="s">
        <v>84</v>
      </c>
      <c r="E1314" s="17" t="s">
        <v>2604</v>
      </c>
      <c r="F1314" s="16" t="n">
        <v>30.44728905</v>
      </c>
      <c r="G1314" s="16" t="n">
        <v>47.80526348</v>
      </c>
      <c r="H1314" s="18" t="n">
        <v>13</v>
      </c>
      <c r="I1314" s="18" t="n">
        <v>78</v>
      </c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 t="n">
        <v>6</v>
      </c>
      <c r="W1314" s="19"/>
      <c r="X1314" s="19" t="n">
        <v>7</v>
      </c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 t="n">
        <v>13</v>
      </c>
      <c r="AI1314" s="19"/>
      <c r="AJ1314" s="19"/>
      <c r="AK1314" s="19"/>
      <c r="AL1314" s="19" t="n">
        <v>4</v>
      </c>
      <c r="AM1314" s="19" t="n">
        <v>1</v>
      </c>
      <c r="AN1314" s="19"/>
      <c r="AO1314" s="19" t="n">
        <v>7</v>
      </c>
      <c r="AP1314" s="19"/>
      <c r="AQ1314" s="19" t="n">
        <v>1</v>
      </c>
      <c r="AR1314" s="19"/>
      <c r="AS1314" s="20" t="str">
        <f aca="false">HYPERLINK("http://www.openstreetmap.org/?mlat=30.4473&amp;mlon=47.8053&amp;zoom=12#map=12/30.4473/47.8053","Maplink1")</f>
        <v>Maplink1</v>
      </c>
      <c r="AT1314" s="20" t="str">
        <f aca="false">HYPERLINK("https://www.google.iq/maps/search/+30.4473,47.8053/@30.4473,47.8053,14z?hl=en","Maplink2")</f>
        <v>Maplink2</v>
      </c>
      <c r="AU1314" s="20" t="str">
        <f aca="false">HYPERLINK("http://www.bing.com/maps/?lvl=14&amp;sty=h&amp;cp=30.4473~47.8053&amp;sp=point.30.4473_47.8053","Maplink3")</f>
        <v>Maplink3</v>
      </c>
    </row>
    <row r="1315" customFormat="false" ht="15" hidden="false" customHeight="true" outlineLevel="0" collapsed="false">
      <c r="A1315" s="15" t="n">
        <v>24482</v>
      </c>
      <c r="B1315" s="16" t="s">
        <v>18</v>
      </c>
      <c r="C1315" s="16" t="s">
        <v>18</v>
      </c>
      <c r="D1315" s="16" t="s">
        <v>2605</v>
      </c>
      <c r="E1315" s="17" t="s">
        <v>2606</v>
      </c>
      <c r="F1315" s="16" t="n">
        <v>30.50589267</v>
      </c>
      <c r="G1315" s="16" t="n">
        <v>47.77446997</v>
      </c>
      <c r="H1315" s="18" t="n">
        <v>1</v>
      </c>
      <c r="I1315" s="18" t="n">
        <v>6</v>
      </c>
      <c r="J1315" s="19"/>
      <c r="K1315" s="19"/>
      <c r="L1315" s="19"/>
      <c r="M1315" s="19"/>
      <c r="N1315" s="19"/>
      <c r="O1315" s="19"/>
      <c r="P1315" s="19"/>
      <c r="Q1315" s="19"/>
      <c r="R1315" s="19" t="n">
        <v>1</v>
      </c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 t="n">
        <v>1</v>
      </c>
      <c r="AI1315" s="19"/>
      <c r="AJ1315" s="19"/>
      <c r="AK1315" s="19"/>
      <c r="AL1315" s="19"/>
      <c r="AM1315" s="19"/>
      <c r="AN1315" s="19"/>
      <c r="AO1315" s="19" t="n">
        <v>1</v>
      </c>
      <c r="AP1315" s="19"/>
      <c r="AQ1315" s="19"/>
      <c r="AR1315" s="19"/>
      <c r="AS1315" s="20" t="str">
        <f aca="false">HYPERLINK("http://www.openstreetmap.org/?mlat=30.5059&amp;mlon=47.7745&amp;zoom=12#map=12/30.5059/47.7745","Maplink1")</f>
        <v>Maplink1</v>
      </c>
      <c r="AT1315" s="20" t="str">
        <f aca="false">HYPERLINK("https://www.google.iq/maps/search/+30.5059,47.7745/@30.5059,47.7745,14z?hl=en","Maplink2")</f>
        <v>Maplink2</v>
      </c>
      <c r="AU1315" s="20" t="str">
        <f aca="false">HYPERLINK("http://www.bing.com/maps/?lvl=14&amp;sty=h&amp;cp=30.5059~47.7745&amp;sp=point.30.5059_47.7745","Maplink3")</f>
        <v>Maplink3</v>
      </c>
    </row>
    <row r="1316" customFormat="false" ht="15" hidden="false" customHeight="true" outlineLevel="0" collapsed="false">
      <c r="A1316" s="15" t="n">
        <v>24595</v>
      </c>
      <c r="B1316" s="16" t="s">
        <v>18</v>
      </c>
      <c r="C1316" s="16" t="s">
        <v>18</v>
      </c>
      <c r="D1316" s="16" t="s">
        <v>2607</v>
      </c>
      <c r="E1316" s="17" t="s">
        <v>2109</v>
      </c>
      <c r="F1316" s="16" t="n">
        <v>30.47530246</v>
      </c>
      <c r="G1316" s="16" t="n">
        <v>47.82798599</v>
      </c>
      <c r="H1316" s="18" t="n">
        <v>2</v>
      </c>
      <c r="I1316" s="18" t="n">
        <v>12</v>
      </c>
      <c r="J1316" s="19" t="n">
        <v>1</v>
      </c>
      <c r="K1316" s="19"/>
      <c r="L1316" s="19"/>
      <c r="M1316" s="19"/>
      <c r="N1316" s="19"/>
      <c r="O1316" s="19" t="n">
        <v>1</v>
      </c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 t="n">
        <v>1</v>
      </c>
      <c r="AF1316" s="19"/>
      <c r="AG1316" s="19"/>
      <c r="AH1316" s="19" t="n">
        <v>1</v>
      </c>
      <c r="AI1316" s="19"/>
      <c r="AJ1316" s="19"/>
      <c r="AK1316" s="19"/>
      <c r="AL1316" s="19"/>
      <c r="AM1316" s="19" t="n">
        <v>1</v>
      </c>
      <c r="AN1316" s="19"/>
      <c r="AO1316" s="19"/>
      <c r="AP1316" s="19" t="n">
        <v>1</v>
      </c>
      <c r="AQ1316" s="19"/>
      <c r="AR1316" s="19"/>
      <c r="AS1316" s="20" t="str">
        <f aca="false">HYPERLINK("http://www.openstreetmap.org/?mlat=30.4753&amp;mlon=47.828&amp;zoom=12#map=12/30.4753/47.828","Maplink1")</f>
        <v>Maplink1</v>
      </c>
      <c r="AT1316" s="20" t="str">
        <f aca="false">HYPERLINK("https://www.google.iq/maps/search/+30.4753,47.828/@30.4753,47.828,14z?hl=en","Maplink2")</f>
        <v>Maplink2</v>
      </c>
      <c r="AU1316" s="20" t="str">
        <f aca="false">HYPERLINK("http://www.bing.com/maps/?lvl=14&amp;sty=h&amp;cp=30.4753~47.828&amp;sp=point.30.4753_47.828","Maplink3")</f>
        <v>Maplink3</v>
      </c>
    </row>
    <row r="1317" customFormat="false" ht="15" hidden="false" customHeight="true" outlineLevel="0" collapsed="false">
      <c r="A1317" s="15" t="n">
        <v>1272</v>
      </c>
      <c r="B1317" s="16" t="s">
        <v>18</v>
      </c>
      <c r="C1317" s="16" t="s">
        <v>18</v>
      </c>
      <c r="D1317" s="16" t="s">
        <v>2608</v>
      </c>
      <c r="E1317" s="17" t="s">
        <v>2609</v>
      </c>
      <c r="F1317" s="16" t="n">
        <v>30.5139445</v>
      </c>
      <c r="G1317" s="16" t="n">
        <v>47.7737953</v>
      </c>
      <c r="H1317" s="18" t="n">
        <v>13</v>
      </c>
      <c r="I1317" s="18" t="n">
        <v>78</v>
      </c>
      <c r="J1317" s="19" t="n">
        <v>3</v>
      </c>
      <c r="K1317" s="19"/>
      <c r="L1317" s="19"/>
      <c r="M1317" s="19"/>
      <c r="N1317" s="19"/>
      <c r="O1317" s="19"/>
      <c r="P1317" s="19"/>
      <c r="Q1317" s="19"/>
      <c r="R1317" s="19" t="n">
        <v>5</v>
      </c>
      <c r="S1317" s="19"/>
      <c r="T1317" s="19"/>
      <c r="U1317" s="19"/>
      <c r="V1317" s="19" t="n">
        <v>5</v>
      </c>
      <c r="W1317" s="19"/>
      <c r="X1317" s="19"/>
      <c r="Y1317" s="19"/>
      <c r="Z1317" s="19"/>
      <c r="AA1317" s="19"/>
      <c r="AB1317" s="19"/>
      <c r="AC1317" s="19"/>
      <c r="AD1317" s="19"/>
      <c r="AE1317" s="19" t="n">
        <v>4</v>
      </c>
      <c r="AF1317" s="19"/>
      <c r="AG1317" s="19"/>
      <c r="AH1317" s="19" t="n">
        <v>9</v>
      </c>
      <c r="AI1317" s="19"/>
      <c r="AJ1317" s="19"/>
      <c r="AK1317" s="19"/>
      <c r="AL1317" s="19" t="n">
        <v>2</v>
      </c>
      <c r="AM1317" s="19" t="n">
        <v>2</v>
      </c>
      <c r="AN1317" s="19" t="n">
        <v>7</v>
      </c>
      <c r="AO1317" s="19" t="n">
        <v>1</v>
      </c>
      <c r="AP1317" s="19" t="n">
        <v>1</v>
      </c>
      <c r="AQ1317" s="19"/>
      <c r="AR1317" s="19"/>
      <c r="AS1317" s="20" t="str">
        <f aca="false">HYPERLINK("http://www.openstreetmap.org/?mlat=30.5139&amp;mlon=47.7738&amp;zoom=12#map=12/30.5139/47.7738","Maplink1")</f>
        <v>Maplink1</v>
      </c>
      <c r="AT1317" s="20" t="str">
        <f aca="false">HYPERLINK("https://www.google.iq/maps/search/+30.5139,47.7738/@30.5139,47.7738,14z?hl=en","Maplink2")</f>
        <v>Maplink2</v>
      </c>
      <c r="AU1317" s="20" t="str">
        <f aca="false">HYPERLINK("http://www.bing.com/maps/?lvl=14&amp;sty=h&amp;cp=30.5139~47.7738&amp;sp=point.30.5139_47.7738","Maplink3")</f>
        <v>Maplink3</v>
      </c>
    </row>
    <row r="1318" customFormat="false" ht="15" hidden="false" customHeight="true" outlineLevel="0" collapsed="false">
      <c r="A1318" s="15" t="n">
        <v>21311</v>
      </c>
      <c r="B1318" s="16" t="s">
        <v>18</v>
      </c>
      <c r="C1318" s="16" t="s">
        <v>18</v>
      </c>
      <c r="D1318" s="16" t="s">
        <v>2610</v>
      </c>
      <c r="E1318" s="17" t="s">
        <v>2611</v>
      </c>
      <c r="F1318" s="16" t="n">
        <v>30.50082531</v>
      </c>
      <c r="G1318" s="16" t="n">
        <v>47.79366662</v>
      </c>
      <c r="H1318" s="18" t="n">
        <v>3</v>
      </c>
      <c r="I1318" s="18" t="n">
        <v>18</v>
      </c>
      <c r="J1318" s="19" t="n">
        <v>1</v>
      </c>
      <c r="K1318" s="19"/>
      <c r="L1318" s="19"/>
      <c r="M1318" s="19"/>
      <c r="N1318" s="19"/>
      <c r="O1318" s="19"/>
      <c r="P1318" s="19"/>
      <c r="Q1318" s="19"/>
      <c r="R1318" s="19" t="n">
        <v>1</v>
      </c>
      <c r="S1318" s="19"/>
      <c r="T1318" s="19"/>
      <c r="U1318" s="19"/>
      <c r="V1318" s="19"/>
      <c r="W1318" s="19"/>
      <c r="X1318" s="19" t="n">
        <v>1</v>
      </c>
      <c r="Y1318" s="19"/>
      <c r="Z1318" s="19"/>
      <c r="AA1318" s="19"/>
      <c r="AB1318" s="19"/>
      <c r="AC1318" s="19" t="n">
        <v>3</v>
      </c>
      <c r="AD1318" s="19"/>
      <c r="AE1318" s="19"/>
      <c r="AF1318" s="19"/>
      <c r="AG1318" s="19"/>
      <c r="AH1318" s="19"/>
      <c r="AI1318" s="19"/>
      <c r="AJ1318" s="19"/>
      <c r="AK1318" s="19"/>
      <c r="AL1318" s="19"/>
      <c r="AM1318" s="19" t="n">
        <v>2</v>
      </c>
      <c r="AN1318" s="19"/>
      <c r="AO1318" s="19" t="n">
        <v>1</v>
      </c>
      <c r="AP1318" s="19"/>
      <c r="AQ1318" s="19"/>
      <c r="AR1318" s="19"/>
      <c r="AS1318" s="20" t="str">
        <f aca="false">HYPERLINK("http://www.openstreetmap.org/?mlat=30.5008&amp;mlon=47.7937&amp;zoom=12#map=12/30.5008/47.7937","Maplink1")</f>
        <v>Maplink1</v>
      </c>
      <c r="AT1318" s="20" t="str">
        <f aca="false">HYPERLINK("https://www.google.iq/maps/search/+30.5008,47.7937/@30.5008,47.7937,14z?hl=en","Maplink2")</f>
        <v>Maplink2</v>
      </c>
      <c r="AU1318" s="20" t="str">
        <f aca="false">HYPERLINK("http://www.bing.com/maps/?lvl=14&amp;sty=h&amp;cp=30.5008~47.7937&amp;sp=point.30.5008_47.7937","Maplink3")</f>
        <v>Maplink3</v>
      </c>
    </row>
    <row r="1319" customFormat="false" ht="15" hidden="false" customHeight="true" outlineLevel="0" collapsed="false">
      <c r="A1319" s="15" t="n">
        <v>1271</v>
      </c>
      <c r="B1319" s="16" t="s">
        <v>18</v>
      </c>
      <c r="C1319" s="16" t="s">
        <v>18</v>
      </c>
      <c r="D1319" s="16" t="s">
        <v>2612</v>
      </c>
      <c r="E1319" s="17" t="s">
        <v>2613</v>
      </c>
      <c r="F1319" s="16" t="n">
        <v>30.4857953</v>
      </c>
      <c r="G1319" s="16" t="n">
        <v>47.78016747</v>
      </c>
      <c r="H1319" s="18" t="n">
        <v>6</v>
      </c>
      <c r="I1319" s="18" t="n">
        <v>36</v>
      </c>
      <c r="J1319" s="19"/>
      <c r="K1319" s="19"/>
      <c r="L1319" s="19"/>
      <c r="M1319" s="19"/>
      <c r="N1319" s="19"/>
      <c r="O1319" s="19"/>
      <c r="P1319" s="19"/>
      <c r="Q1319" s="19"/>
      <c r="R1319" s="19" t="n">
        <v>6</v>
      </c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 t="n">
        <v>5</v>
      </c>
      <c r="AD1319" s="19"/>
      <c r="AE1319" s="19"/>
      <c r="AF1319" s="19"/>
      <c r="AG1319" s="19"/>
      <c r="AH1319" s="19" t="n">
        <v>1</v>
      </c>
      <c r="AI1319" s="19"/>
      <c r="AJ1319" s="19"/>
      <c r="AK1319" s="19"/>
      <c r="AL1319" s="19"/>
      <c r="AM1319" s="19"/>
      <c r="AN1319" s="19" t="n">
        <v>6</v>
      </c>
      <c r="AO1319" s="19"/>
      <c r="AP1319" s="19"/>
      <c r="AQ1319" s="19"/>
      <c r="AR1319" s="19"/>
      <c r="AS1319" s="20" t="str">
        <f aca="false">HYPERLINK("http://www.openstreetmap.org/?mlat=30.4858&amp;mlon=47.7802&amp;zoom=12#map=12/30.4858/47.7802","Maplink1")</f>
        <v>Maplink1</v>
      </c>
      <c r="AT1319" s="20" t="str">
        <f aca="false">HYPERLINK("https://www.google.iq/maps/search/+30.4858,47.7802/@30.4858,47.7802,14z?hl=en","Maplink2")</f>
        <v>Maplink2</v>
      </c>
      <c r="AU1319" s="20" t="str">
        <f aca="false">HYPERLINK("http://www.bing.com/maps/?lvl=14&amp;sty=h&amp;cp=30.4858~47.7802&amp;sp=point.30.4858_47.7802","Maplink3")</f>
        <v>Maplink3</v>
      </c>
    </row>
    <row r="1320" customFormat="false" ht="15" hidden="false" customHeight="true" outlineLevel="0" collapsed="false">
      <c r="A1320" s="15" t="n">
        <v>863</v>
      </c>
      <c r="B1320" s="16" t="s">
        <v>18</v>
      </c>
      <c r="C1320" s="16" t="s">
        <v>18</v>
      </c>
      <c r="D1320" s="16" t="s">
        <v>2614</v>
      </c>
      <c r="E1320" s="17" t="s">
        <v>2615</v>
      </c>
      <c r="F1320" s="16" t="n">
        <v>30.508889</v>
      </c>
      <c r="G1320" s="16" t="n">
        <v>47.769722</v>
      </c>
      <c r="H1320" s="18" t="n">
        <v>4</v>
      </c>
      <c r="I1320" s="18" t="n">
        <v>24</v>
      </c>
      <c r="J1320" s="19"/>
      <c r="K1320" s="19"/>
      <c r="L1320" s="19"/>
      <c r="M1320" s="19"/>
      <c r="N1320" s="19"/>
      <c r="O1320" s="19"/>
      <c r="P1320" s="19"/>
      <c r="Q1320" s="19"/>
      <c r="R1320" s="19" t="n">
        <v>2</v>
      </c>
      <c r="S1320" s="19"/>
      <c r="T1320" s="19"/>
      <c r="U1320" s="19"/>
      <c r="V1320" s="19" t="n">
        <v>2</v>
      </c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 t="n">
        <v>4</v>
      </c>
      <c r="AI1320" s="19"/>
      <c r="AJ1320" s="19"/>
      <c r="AK1320" s="19"/>
      <c r="AL1320" s="19" t="n">
        <v>2</v>
      </c>
      <c r="AM1320" s="19"/>
      <c r="AN1320" s="19"/>
      <c r="AO1320" s="19" t="n">
        <v>1</v>
      </c>
      <c r="AP1320" s="19"/>
      <c r="AQ1320" s="19" t="n">
        <v>1</v>
      </c>
      <c r="AR1320" s="19"/>
      <c r="AS1320" s="20" t="str">
        <f aca="false">HYPERLINK("http://www.openstreetmap.org/?mlat=30.5089&amp;mlon=47.7697&amp;zoom=12#map=12/30.5089/47.7697","Maplink1")</f>
        <v>Maplink1</v>
      </c>
      <c r="AT1320" s="20" t="str">
        <f aca="false">HYPERLINK("https://www.google.iq/maps/search/+30.5089,47.7697/@30.5089,47.7697,14z?hl=en","Maplink2")</f>
        <v>Maplink2</v>
      </c>
      <c r="AU1320" s="20" t="str">
        <f aca="false">HYPERLINK("http://www.bing.com/maps/?lvl=14&amp;sty=h&amp;cp=30.5089~47.7697&amp;sp=point.30.5089_47.7697","Maplink3")</f>
        <v>Maplink3</v>
      </c>
    </row>
    <row r="1321" customFormat="false" ht="15" hidden="false" customHeight="true" outlineLevel="0" collapsed="false">
      <c r="A1321" s="15" t="n">
        <v>911</v>
      </c>
      <c r="B1321" s="16" t="s">
        <v>18</v>
      </c>
      <c r="C1321" s="16" t="s">
        <v>18</v>
      </c>
      <c r="D1321" s="16" t="s">
        <v>2616</v>
      </c>
      <c r="E1321" s="17" t="s">
        <v>2617</v>
      </c>
      <c r="F1321" s="16" t="n">
        <v>30.51673336</v>
      </c>
      <c r="G1321" s="16" t="n">
        <v>47.83813555</v>
      </c>
      <c r="H1321" s="18" t="n">
        <v>7</v>
      </c>
      <c r="I1321" s="18" t="n">
        <v>42</v>
      </c>
      <c r="J1321" s="19" t="n">
        <v>1</v>
      </c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 t="n">
        <v>4</v>
      </c>
      <c r="W1321" s="19"/>
      <c r="X1321" s="19" t="n">
        <v>2</v>
      </c>
      <c r="Y1321" s="19"/>
      <c r="Z1321" s="19"/>
      <c r="AA1321" s="19"/>
      <c r="AB1321" s="19"/>
      <c r="AC1321" s="19" t="n">
        <v>3</v>
      </c>
      <c r="AD1321" s="19"/>
      <c r="AE1321" s="19"/>
      <c r="AF1321" s="19"/>
      <c r="AG1321" s="19" t="n">
        <v>3</v>
      </c>
      <c r="AH1321" s="19" t="n">
        <v>1</v>
      </c>
      <c r="AI1321" s="19"/>
      <c r="AJ1321" s="19"/>
      <c r="AK1321" s="19"/>
      <c r="AL1321" s="19"/>
      <c r="AM1321" s="19" t="n">
        <v>5</v>
      </c>
      <c r="AN1321" s="19"/>
      <c r="AO1321" s="19" t="n">
        <v>1</v>
      </c>
      <c r="AP1321" s="19" t="n">
        <v>1</v>
      </c>
      <c r="AQ1321" s="19"/>
      <c r="AR1321" s="19"/>
      <c r="AS1321" s="20" t="str">
        <f aca="false">HYPERLINK("http://www.openstreetmap.org/?mlat=30.5167&amp;mlon=47.8381&amp;zoom=12#map=12/30.5167/47.8381","Maplink1")</f>
        <v>Maplink1</v>
      </c>
      <c r="AT1321" s="20" t="str">
        <f aca="false">HYPERLINK("https://www.google.iq/maps/search/+30.5167,47.8381/@30.5167,47.8381,14z?hl=en","Maplink2")</f>
        <v>Maplink2</v>
      </c>
      <c r="AU1321" s="20" t="str">
        <f aca="false">HYPERLINK("http://www.bing.com/maps/?lvl=14&amp;sty=h&amp;cp=30.5167~47.8381&amp;sp=point.30.5167_47.8381","Maplink3")</f>
        <v>Maplink3</v>
      </c>
    </row>
    <row r="1322" customFormat="false" ht="15" hidden="false" customHeight="true" outlineLevel="0" collapsed="false">
      <c r="A1322" s="15" t="n">
        <v>1282</v>
      </c>
      <c r="B1322" s="16" t="s">
        <v>18</v>
      </c>
      <c r="C1322" s="16" t="s">
        <v>18</v>
      </c>
      <c r="D1322" s="16" t="s">
        <v>2618</v>
      </c>
      <c r="E1322" s="17" t="s">
        <v>2619</v>
      </c>
      <c r="F1322" s="16" t="n">
        <v>30.55118646</v>
      </c>
      <c r="G1322" s="16" t="n">
        <v>47.76142429</v>
      </c>
      <c r="H1322" s="18" t="n">
        <v>1</v>
      </c>
      <c r="I1322" s="18" t="n">
        <v>6</v>
      </c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 t="n">
        <v>1</v>
      </c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 t="n">
        <v>1</v>
      </c>
      <c r="AI1322" s="19"/>
      <c r="AJ1322" s="19"/>
      <c r="AK1322" s="19"/>
      <c r="AL1322" s="19"/>
      <c r="AM1322" s="19" t="n">
        <v>1</v>
      </c>
      <c r="AN1322" s="19"/>
      <c r="AO1322" s="19"/>
      <c r="AP1322" s="19"/>
      <c r="AQ1322" s="19"/>
      <c r="AR1322" s="19"/>
      <c r="AS1322" s="20" t="str">
        <f aca="false">HYPERLINK("http://www.openstreetmap.org/?mlat=30.5512&amp;mlon=47.7614&amp;zoom=12#map=12/30.5512/47.7614","Maplink1")</f>
        <v>Maplink1</v>
      </c>
      <c r="AT1322" s="20" t="str">
        <f aca="false">HYPERLINK("https://www.google.iq/maps/search/+30.5512,47.7614/@30.5512,47.7614,14z?hl=en","Maplink2")</f>
        <v>Maplink2</v>
      </c>
      <c r="AU1322" s="20" t="str">
        <f aca="false">HYPERLINK("http://www.bing.com/maps/?lvl=14&amp;sty=h&amp;cp=30.5512~47.7614&amp;sp=point.30.5512_47.7614","Maplink3")</f>
        <v>Maplink3</v>
      </c>
    </row>
    <row r="1323" customFormat="false" ht="15" hidden="false" customHeight="true" outlineLevel="0" collapsed="false">
      <c r="A1323" s="15" t="n">
        <v>858</v>
      </c>
      <c r="B1323" s="16" t="s">
        <v>18</v>
      </c>
      <c r="C1323" s="16" t="s">
        <v>18</v>
      </c>
      <c r="D1323" s="16" t="s">
        <v>2620</v>
      </c>
      <c r="E1323" s="17" t="s">
        <v>2621</v>
      </c>
      <c r="F1323" s="16" t="n">
        <v>30.65592966</v>
      </c>
      <c r="G1323" s="16" t="n">
        <v>47.74263745</v>
      </c>
      <c r="H1323" s="18" t="n">
        <v>10</v>
      </c>
      <c r="I1323" s="18" t="n">
        <v>60</v>
      </c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 t="n">
        <v>10</v>
      </c>
      <c r="W1323" s="19"/>
      <c r="X1323" s="19"/>
      <c r="Y1323" s="19"/>
      <c r="Z1323" s="19"/>
      <c r="AA1323" s="19"/>
      <c r="AB1323" s="19"/>
      <c r="AC1323" s="19"/>
      <c r="AD1323" s="19"/>
      <c r="AE1323" s="19" t="n">
        <v>10</v>
      </c>
      <c r="AF1323" s="19"/>
      <c r="AG1323" s="19"/>
      <c r="AH1323" s="19"/>
      <c r="AI1323" s="19"/>
      <c r="AJ1323" s="19"/>
      <c r="AK1323" s="19"/>
      <c r="AL1323" s="19"/>
      <c r="AM1323" s="19" t="n">
        <v>10</v>
      </c>
      <c r="AN1323" s="19"/>
      <c r="AO1323" s="19"/>
      <c r="AP1323" s="19"/>
      <c r="AQ1323" s="19"/>
      <c r="AR1323" s="19"/>
      <c r="AS1323" s="20" t="str">
        <f aca="false">HYPERLINK("http://www.openstreetmap.org/?mlat=30.6559&amp;mlon=47.7426&amp;zoom=12#map=12/30.6559/47.7426","Maplink1")</f>
        <v>Maplink1</v>
      </c>
      <c r="AT1323" s="20" t="str">
        <f aca="false">HYPERLINK("https://www.google.iq/maps/search/+30.6559,47.7426/@30.6559,47.7426,14z?hl=en","Maplink2")</f>
        <v>Maplink2</v>
      </c>
      <c r="AU1323" s="20" t="str">
        <f aca="false">HYPERLINK("http://www.bing.com/maps/?lvl=14&amp;sty=h&amp;cp=30.6559~47.7426&amp;sp=point.30.6559_47.7426","Maplink3")</f>
        <v>Maplink3</v>
      </c>
    </row>
    <row r="1324" customFormat="false" ht="15" hidden="false" customHeight="true" outlineLevel="0" collapsed="false">
      <c r="A1324" s="15" t="n">
        <v>24230</v>
      </c>
      <c r="B1324" s="16" t="s">
        <v>18</v>
      </c>
      <c r="C1324" s="16" t="s">
        <v>18</v>
      </c>
      <c r="D1324" s="16" t="s">
        <v>2622</v>
      </c>
      <c r="E1324" s="17" t="s">
        <v>2623</v>
      </c>
      <c r="F1324" s="16" t="n">
        <v>30.51201662</v>
      </c>
      <c r="G1324" s="16" t="n">
        <v>47.7968442</v>
      </c>
      <c r="H1324" s="18" t="n">
        <v>2</v>
      </c>
      <c r="I1324" s="18" t="n">
        <v>12</v>
      </c>
      <c r="J1324" s="19"/>
      <c r="K1324" s="19"/>
      <c r="L1324" s="19"/>
      <c r="M1324" s="19"/>
      <c r="N1324" s="19"/>
      <c r="O1324" s="19" t="n">
        <v>1</v>
      </c>
      <c r="P1324" s="19"/>
      <c r="Q1324" s="19"/>
      <c r="R1324" s="19"/>
      <c r="S1324" s="19"/>
      <c r="T1324" s="19"/>
      <c r="U1324" s="19"/>
      <c r="V1324" s="19" t="n">
        <v>1</v>
      </c>
      <c r="W1324" s="19"/>
      <c r="X1324" s="19"/>
      <c r="Y1324" s="19"/>
      <c r="Z1324" s="19"/>
      <c r="AA1324" s="19"/>
      <c r="AB1324" s="19"/>
      <c r="AC1324" s="19" t="n">
        <v>2</v>
      </c>
      <c r="AD1324" s="19"/>
      <c r="AE1324" s="19"/>
      <c r="AF1324" s="19"/>
      <c r="AG1324" s="19"/>
      <c r="AH1324" s="19"/>
      <c r="AI1324" s="19"/>
      <c r="AJ1324" s="19"/>
      <c r="AK1324" s="19"/>
      <c r="AL1324" s="19"/>
      <c r="AM1324" s="19" t="n">
        <v>2</v>
      </c>
      <c r="AN1324" s="19"/>
      <c r="AO1324" s="19"/>
      <c r="AP1324" s="19"/>
      <c r="AQ1324" s="19"/>
      <c r="AR1324" s="19"/>
      <c r="AS1324" s="20" t="str">
        <f aca="false">HYPERLINK("http://www.openstreetmap.org/?mlat=30.512&amp;mlon=47.7968&amp;zoom=12#map=12/30.512/47.7968","Maplink1")</f>
        <v>Maplink1</v>
      </c>
      <c r="AT1324" s="20" t="str">
        <f aca="false">HYPERLINK("https://www.google.iq/maps/search/+30.512,47.7968/@30.512,47.7968,14z?hl=en","Maplink2")</f>
        <v>Maplink2</v>
      </c>
      <c r="AU1324" s="20" t="str">
        <f aca="false">HYPERLINK("http://www.bing.com/maps/?lvl=14&amp;sty=h&amp;cp=30.512~47.7968&amp;sp=point.30.512_47.7968","Maplink3")</f>
        <v>Maplink3</v>
      </c>
    </row>
    <row r="1325" customFormat="false" ht="15" hidden="false" customHeight="true" outlineLevel="0" collapsed="false">
      <c r="A1325" s="15" t="n">
        <v>27259</v>
      </c>
      <c r="B1325" s="16" t="s">
        <v>18</v>
      </c>
      <c r="C1325" s="16" t="s">
        <v>18</v>
      </c>
      <c r="D1325" s="16" t="s">
        <v>2624</v>
      </c>
      <c r="E1325" s="17" t="s">
        <v>2625</v>
      </c>
      <c r="F1325" s="16" t="n">
        <v>30.57774947</v>
      </c>
      <c r="G1325" s="16" t="n">
        <v>47.73166333</v>
      </c>
      <c r="H1325" s="18" t="n">
        <v>4</v>
      </c>
      <c r="I1325" s="18" t="n">
        <v>24</v>
      </c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 t="n">
        <v>4</v>
      </c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 t="n">
        <v>4</v>
      </c>
      <c r="AI1325" s="19"/>
      <c r="AJ1325" s="19"/>
      <c r="AK1325" s="19"/>
      <c r="AL1325" s="19"/>
      <c r="AM1325" s="19"/>
      <c r="AN1325" s="19"/>
      <c r="AO1325" s="19" t="n">
        <v>4</v>
      </c>
      <c r="AP1325" s="19"/>
      <c r="AQ1325" s="19"/>
      <c r="AR1325" s="19"/>
      <c r="AS1325" s="20" t="str">
        <f aca="false">HYPERLINK("http://www.openstreetmap.org/?mlat=30.5777&amp;mlon=47.7317&amp;zoom=12#map=12/30.5777/47.7317","Maplink1")</f>
        <v>Maplink1</v>
      </c>
      <c r="AT1325" s="20" t="str">
        <f aca="false">HYPERLINK("https://www.google.iq/maps/search/+30.5777,47.7317/@30.5777,47.7317,14z?hl=en","Maplink2")</f>
        <v>Maplink2</v>
      </c>
      <c r="AU1325" s="20" t="str">
        <f aca="false">HYPERLINK("http://www.bing.com/maps/?lvl=14&amp;sty=h&amp;cp=30.5777~47.7317&amp;sp=point.30.5777_47.7317","Maplink3")</f>
        <v>Maplink3</v>
      </c>
    </row>
    <row r="1326" customFormat="false" ht="15" hidden="false" customHeight="true" outlineLevel="0" collapsed="false">
      <c r="A1326" s="15" t="n">
        <v>393</v>
      </c>
      <c r="B1326" s="16" t="s">
        <v>18</v>
      </c>
      <c r="C1326" s="16" t="s">
        <v>18</v>
      </c>
      <c r="D1326" s="16" t="s">
        <v>2626</v>
      </c>
      <c r="E1326" s="17" t="s">
        <v>2627</v>
      </c>
      <c r="F1326" s="16" t="n">
        <v>30.57424655</v>
      </c>
      <c r="G1326" s="16" t="n">
        <v>47.74422454</v>
      </c>
      <c r="H1326" s="18" t="n">
        <v>2</v>
      </c>
      <c r="I1326" s="18" t="n">
        <v>12</v>
      </c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 t="n">
        <v>2</v>
      </c>
      <c r="W1326" s="19"/>
      <c r="X1326" s="19"/>
      <c r="Y1326" s="19"/>
      <c r="Z1326" s="19"/>
      <c r="AA1326" s="19"/>
      <c r="AB1326" s="19"/>
      <c r="AC1326" s="19" t="n">
        <v>1</v>
      </c>
      <c r="AD1326" s="19"/>
      <c r="AE1326" s="19"/>
      <c r="AF1326" s="19"/>
      <c r="AG1326" s="19"/>
      <c r="AH1326" s="19" t="n">
        <v>1</v>
      </c>
      <c r="AI1326" s="19"/>
      <c r="AJ1326" s="19"/>
      <c r="AK1326" s="19"/>
      <c r="AL1326" s="19"/>
      <c r="AM1326" s="19"/>
      <c r="AN1326" s="19"/>
      <c r="AO1326" s="19" t="n">
        <v>2</v>
      </c>
      <c r="AP1326" s="19"/>
      <c r="AQ1326" s="19"/>
      <c r="AR1326" s="19"/>
      <c r="AS1326" s="20" t="str">
        <f aca="false">HYPERLINK("http://www.openstreetmap.org/?mlat=30.5742&amp;mlon=47.7442&amp;zoom=12#map=12/30.5742/47.7442","Maplink1")</f>
        <v>Maplink1</v>
      </c>
      <c r="AT1326" s="20" t="str">
        <f aca="false">HYPERLINK("https://www.google.iq/maps/search/+30.5742,47.7442/@30.5742,47.7442,14z?hl=en","Maplink2")</f>
        <v>Maplink2</v>
      </c>
      <c r="AU1326" s="20" t="str">
        <f aca="false">HYPERLINK("http://www.bing.com/maps/?lvl=14&amp;sty=h&amp;cp=30.5742~47.7442&amp;sp=point.30.5742_47.7442","Maplink3")</f>
        <v>Maplink3</v>
      </c>
    </row>
    <row r="1327" customFormat="false" ht="15" hidden="false" customHeight="true" outlineLevel="0" collapsed="false">
      <c r="A1327" s="15" t="n">
        <v>29482</v>
      </c>
      <c r="B1327" s="16" t="s">
        <v>18</v>
      </c>
      <c r="C1327" s="16" t="s">
        <v>18</v>
      </c>
      <c r="D1327" s="16" t="s">
        <v>2628</v>
      </c>
      <c r="E1327" s="17" t="s">
        <v>2629</v>
      </c>
      <c r="F1327" s="16" t="n">
        <v>30.57541674</v>
      </c>
      <c r="G1327" s="16" t="n">
        <v>47.70906623</v>
      </c>
      <c r="H1327" s="18" t="n">
        <v>6</v>
      </c>
      <c r="I1327" s="18" t="n">
        <v>36</v>
      </c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 t="n">
        <v>6</v>
      </c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 t="n">
        <v>6</v>
      </c>
      <c r="AI1327" s="19"/>
      <c r="AJ1327" s="19"/>
      <c r="AK1327" s="19"/>
      <c r="AL1327" s="19"/>
      <c r="AM1327" s="19" t="n">
        <v>6</v>
      </c>
      <c r="AN1327" s="19"/>
      <c r="AO1327" s="19"/>
      <c r="AP1327" s="19"/>
      <c r="AQ1327" s="19"/>
      <c r="AR1327" s="19"/>
      <c r="AS1327" s="20" t="str">
        <f aca="false">HYPERLINK("http://www.openstreetmap.org/?mlat=30.5754&amp;mlon=47.7091&amp;zoom=12#map=12/30.5754/47.7091","Maplink1")</f>
        <v>Maplink1</v>
      </c>
      <c r="AT1327" s="20" t="str">
        <f aca="false">HYPERLINK("https://www.google.iq/maps/search/+30.5754,47.7091/@30.5754,47.7091,14z?hl=en","Maplink2")</f>
        <v>Maplink2</v>
      </c>
      <c r="AU1327" s="20" t="str">
        <f aca="false">HYPERLINK("http://www.bing.com/maps/?lvl=14&amp;sty=h&amp;cp=30.5754~47.7091&amp;sp=point.30.5754_47.7091","Maplink3")</f>
        <v>Maplink3</v>
      </c>
    </row>
    <row r="1328" customFormat="false" ht="15" hidden="false" customHeight="true" outlineLevel="0" collapsed="false">
      <c r="A1328" s="15" t="n">
        <v>893</v>
      </c>
      <c r="B1328" s="16" t="s">
        <v>18</v>
      </c>
      <c r="C1328" s="16" t="s">
        <v>18</v>
      </c>
      <c r="D1328" s="16" t="s">
        <v>2630</v>
      </c>
      <c r="E1328" s="17" t="s">
        <v>2631</v>
      </c>
      <c r="F1328" s="16" t="n">
        <v>30.51176155</v>
      </c>
      <c r="G1328" s="16" t="n">
        <v>47.81578076</v>
      </c>
      <c r="H1328" s="18" t="n">
        <v>3</v>
      </c>
      <c r="I1328" s="18" t="n">
        <v>18</v>
      </c>
      <c r="J1328" s="19" t="n">
        <v>2</v>
      </c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 t="n">
        <v>1</v>
      </c>
      <c r="W1328" s="19"/>
      <c r="X1328" s="19"/>
      <c r="Y1328" s="19"/>
      <c r="Z1328" s="19"/>
      <c r="AA1328" s="19"/>
      <c r="AB1328" s="19"/>
      <c r="AC1328" s="19" t="n">
        <v>2</v>
      </c>
      <c r="AD1328" s="19"/>
      <c r="AE1328" s="19"/>
      <c r="AF1328" s="19"/>
      <c r="AG1328" s="19"/>
      <c r="AH1328" s="19" t="n">
        <v>1</v>
      </c>
      <c r="AI1328" s="19"/>
      <c r="AJ1328" s="19"/>
      <c r="AK1328" s="19"/>
      <c r="AL1328" s="19"/>
      <c r="AM1328" s="19" t="n">
        <v>2</v>
      </c>
      <c r="AN1328" s="19"/>
      <c r="AO1328" s="19" t="n">
        <v>1</v>
      </c>
      <c r="AP1328" s="19"/>
      <c r="AQ1328" s="19"/>
      <c r="AR1328" s="19"/>
      <c r="AS1328" s="20" t="str">
        <f aca="false">HYPERLINK("http://www.openstreetmap.org/?mlat=30.5118&amp;mlon=47.8158&amp;zoom=12#map=12/30.5118/47.8158","Maplink1")</f>
        <v>Maplink1</v>
      </c>
      <c r="AT1328" s="20" t="str">
        <f aca="false">HYPERLINK("https://www.google.iq/maps/search/+30.5118,47.8158/@30.5118,47.8158,14z?hl=en","Maplink2")</f>
        <v>Maplink2</v>
      </c>
      <c r="AU1328" s="20" t="str">
        <f aca="false">HYPERLINK("http://www.bing.com/maps/?lvl=14&amp;sty=h&amp;cp=30.5118~47.8158&amp;sp=point.30.5118_47.8158","Maplink3")</f>
        <v>Maplink3</v>
      </c>
    </row>
    <row r="1329" customFormat="false" ht="15" hidden="false" customHeight="true" outlineLevel="0" collapsed="false">
      <c r="A1329" s="15" t="n">
        <v>27328</v>
      </c>
      <c r="B1329" s="16" t="s">
        <v>18</v>
      </c>
      <c r="C1329" s="16" t="s">
        <v>18</v>
      </c>
      <c r="D1329" s="16" t="s">
        <v>2632</v>
      </c>
      <c r="E1329" s="17" t="s">
        <v>2633</v>
      </c>
      <c r="F1329" s="16" t="n">
        <v>30.50916258</v>
      </c>
      <c r="G1329" s="16" t="n">
        <v>47.81726947</v>
      </c>
      <c r="H1329" s="18" t="n">
        <v>3</v>
      </c>
      <c r="I1329" s="18" t="n">
        <v>18</v>
      </c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 t="n">
        <v>3</v>
      </c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 t="n">
        <v>3</v>
      </c>
      <c r="AI1329" s="19"/>
      <c r="AJ1329" s="19"/>
      <c r="AK1329" s="19"/>
      <c r="AL1329" s="19"/>
      <c r="AM1329" s="19"/>
      <c r="AN1329" s="19"/>
      <c r="AO1329" s="19"/>
      <c r="AP1329" s="19" t="n">
        <v>3</v>
      </c>
      <c r="AQ1329" s="19"/>
      <c r="AR1329" s="19"/>
      <c r="AS1329" s="20" t="str">
        <f aca="false">HYPERLINK("http://www.openstreetmap.org/?mlat=30.5092&amp;mlon=47.8173&amp;zoom=12#map=12/30.5092/47.8173","Maplink1")</f>
        <v>Maplink1</v>
      </c>
      <c r="AT1329" s="20" t="str">
        <f aca="false">HYPERLINK("https://www.google.iq/maps/search/+30.5092,47.8173/@30.5092,47.8173,14z?hl=en","Maplink2")</f>
        <v>Maplink2</v>
      </c>
      <c r="AU1329" s="20" t="str">
        <f aca="false">HYPERLINK("http://www.bing.com/maps/?lvl=14&amp;sty=h&amp;cp=30.5092~47.8173&amp;sp=point.30.5092_47.8173","Maplink3")</f>
        <v>Maplink3</v>
      </c>
    </row>
    <row r="1330" customFormat="false" ht="15" hidden="false" customHeight="true" outlineLevel="0" collapsed="false">
      <c r="A1330" s="15" t="n">
        <v>21097</v>
      </c>
      <c r="B1330" s="16" t="s">
        <v>18</v>
      </c>
      <c r="C1330" s="16" t="s">
        <v>18</v>
      </c>
      <c r="D1330" s="16" t="s">
        <v>2634</v>
      </c>
      <c r="E1330" s="17" t="s">
        <v>2635</v>
      </c>
      <c r="F1330" s="16" t="n">
        <v>30.49035166</v>
      </c>
      <c r="G1330" s="16" t="n">
        <v>47.83677307</v>
      </c>
      <c r="H1330" s="18" t="n">
        <v>22</v>
      </c>
      <c r="I1330" s="18" t="n">
        <v>132</v>
      </c>
      <c r="J1330" s="19" t="n">
        <v>2</v>
      </c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 t="n">
        <v>7</v>
      </c>
      <c r="W1330" s="19"/>
      <c r="X1330" s="19" t="n">
        <v>13</v>
      </c>
      <c r="Y1330" s="19"/>
      <c r="Z1330" s="19"/>
      <c r="AA1330" s="19"/>
      <c r="AB1330" s="19"/>
      <c r="AC1330" s="19" t="n">
        <v>10</v>
      </c>
      <c r="AD1330" s="19"/>
      <c r="AE1330" s="19"/>
      <c r="AF1330" s="19"/>
      <c r="AG1330" s="19"/>
      <c r="AH1330" s="19" t="n">
        <v>12</v>
      </c>
      <c r="AI1330" s="19"/>
      <c r="AJ1330" s="19"/>
      <c r="AK1330" s="19"/>
      <c r="AL1330" s="19" t="n">
        <v>1</v>
      </c>
      <c r="AM1330" s="19" t="n">
        <v>4</v>
      </c>
      <c r="AN1330" s="19" t="n">
        <v>2</v>
      </c>
      <c r="AO1330" s="19" t="n">
        <v>14</v>
      </c>
      <c r="AP1330" s="19" t="n">
        <v>1</v>
      </c>
      <c r="AQ1330" s="19"/>
      <c r="AR1330" s="19"/>
      <c r="AS1330" s="20" t="str">
        <f aca="false">HYPERLINK("http://www.openstreetmap.org/?mlat=30.4904&amp;mlon=47.8368&amp;zoom=12#map=12/30.4904/47.8368","Maplink1")</f>
        <v>Maplink1</v>
      </c>
      <c r="AT1330" s="20" t="str">
        <f aca="false">HYPERLINK("https://www.google.iq/maps/search/+30.4904,47.8368/@30.4904,47.8368,14z?hl=en","Maplink2")</f>
        <v>Maplink2</v>
      </c>
      <c r="AU1330" s="20" t="str">
        <f aca="false">HYPERLINK("http://www.bing.com/maps/?lvl=14&amp;sty=h&amp;cp=30.4904~47.8368&amp;sp=point.30.4904_47.8368","Maplink3")</f>
        <v>Maplink3</v>
      </c>
    </row>
    <row r="1331" customFormat="false" ht="15" hidden="false" customHeight="true" outlineLevel="0" collapsed="false">
      <c r="A1331" s="15" t="n">
        <v>891</v>
      </c>
      <c r="B1331" s="16" t="s">
        <v>18</v>
      </c>
      <c r="C1331" s="16" t="s">
        <v>18</v>
      </c>
      <c r="D1331" s="16" t="s">
        <v>2636</v>
      </c>
      <c r="E1331" s="17" t="s">
        <v>2637</v>
      </c>
      <c r="F1331" s="16" t="n">
        <v>30.50757341</v>
      </c>
      <c r="G1331" s="16" t="n">
        <v>47.84315379</v>
      </c>
      <c r="H1331" s="18" t="n">
        <v>25</v>
      </c>
      <c r="I1331" s="18" t="n">
        <v>150</v>
      </c>
      <c r="J1331" s="19" t="n">
        <v>4</v>
      </c>
      <c r="K1331" s="19"/>
      <c r="L1331" s="19"/>
      <c r="M1331" s="19"/>
      <c r="N1331" s="19"/>
      <c r="O1331" s="19"/>
      <c r="P1331" s="19"/>
      <c r="Q1331" s="19"/>
      <c r="R1331" s="19" t="n">
        <v>1</v>
      </c>
      <c r="S1331" s="19"/>
      <c r="T1331" s="19"/>
      <c r="U1331" s="19"/>
      <c r="V1331" s="19" t="n">
        <v>9</v>
      </c>
      <c r="W1331" s="19"/>
      <c r="X1331" s="19" t="n">
        <v>11</v>
      </c>
      <c r="Y1331" s="19"/>
      <c r="Z1331" s="19"/>
      <c r="AA1331" s="19"/>
      <c r="AB1331" s="19"/>
      <c r="AC1331" s="19" t="n">
        <v>11</v>
      </c>
      <c r="AD1331" s="19"/>
      <c r="AE1331" s="19"/>
      <c r="AF1331" s="19"/>
      <c r="AG1331" s="19" t="n">
        <v>2</v>
      </c>
      <c r="AH1331" s="19" t="n">
        <v>12</v>
      </c>
      <c r="AI1331" s="19"/>
      <c r="AJ1331" s="19"/>
      <c r="AK1331" s="19"/>
      <c r="AL1331" s="19"/>
      <c r="AM1331" s="19" t="n">
        <v>12</v>
      </c>
      <c r="AN1331" s="19"/>
      <c r="AO1331" s="19" t="n">
        <v>12</v>
      </c>
      <c r="AP1331" s="19"/>
      <c r="AQ1331" s="19" t="n">
        <v>1</v>
      </c>
      <c r="AR1331" s="19"/>
      <c r="AS1331" s="20" t="str">
        <f aca="false">HYPERLINK("http://www.openstreetmap.org/?mlat=30.5076&amp;mlon=47.8432&amp;zoom=12#map=12/30.5076/47.8432","Maplink1")</f>
        <v>Maplink1</v>
      </c>
      <c r="AT1331" s="20" t="str">
        <f aca="false">HYPERLINK("https://www.google.iq/maps/search/+30.5076,47.8432/@30.5076,47.8432,14z?hl=en","Maplink2")</f>
        <v>Maplink2</v>
      </c>
      <c r="AU1331" s="20" t="str">
        <f aca="false">HYPERLINK("http://www.bing.com/maps/?lvl=14&amp;sty=h&amp;cp=30.5076~47.8432&amp;sp=point.30.5076_47.8432","Maplink3")</f>
        <v>Maplink3</v>
      </c>
    </row>
    <row r="1332" customFormat="false" ht="15" hidden="false" customHeight="true" outlineLevel="0" collapsed="false">
      <c r="A1332" s="15" t="n">
        <v>334</v>
      </c>
      <c r="B1332" s="16" t="s">
        <v>18</v>
      </c>
      <c r="C1332" s="16" t="s">
        <v>18</v>
      </c>
      <c r="D1332" s="16" t="s">
        <v>2638</v>
      </c>
      <c r="E1332" s="17" t="s">
        <v>2639</v>
      </c>
      <c r="F1332" s="16" t="n">
        <v>30.58156509</v>
      </c>
      <c r="G1332" s="16" t="n">
        <v>47.76506021</v>
      </c>
      <c r="H1332" s="18" t="n">
        <v>4</v>
      </c>
      <c r="I1332" s="18" t="n">
        <v>24</v>
      </c>
      <c r="J1332" s="19" t="n">
        <v>1</v>
      </c>
      <c r="K1332" s="19"/>
      <c r="L1332" s="19"/>
      <c r="M1332" s="19"/>
      <c r="N1332" s="19"/>
      <c r="O1332" s="19"/>
      <c r="P1332" s="19"/>
      <c r="Q1332" s="19"/>
      <c r="R1332" s="19" t="n">
        <v>1</v>
      </c>
      <c r="S1332" s="19"/>
      <c r="T1332" s="19"/>
      <c r="U1332" s="19"/>
      <c r="V1332" s="19"/>
      <c r="W1332" s="19"/>
      <c r="X1332" s="19" t="n">
        <v>2</v>
      </c>
      <c r="Y1332" s="19"/>
      <c r="Z1332" s="19"/>
      <c r="AA1332" s="19"/>
      <c r="AB1332" s="19"/>
      <c r="AC1332" s="19" t="n">
        <v>2</v>
      </c>
      <c r="AD1332" s="19"/>
      <c r="AE1332" s="19"/>
      <c r="AF1332" s="19"/>
      <c r="AG1332" s="19"/>
      <c r="AH1332" s="19" t="n">
        <v>2</v>
      </c>
      <c r="AI1332" s="19"/>
      <c r="AJ1332" s="19"/>
      <c r="AK1332" s="19"/>
      <c r="AL1332" s="19"/>
      <c r="AM1332" s="19" t="n">
        <v>1</v>
      </c>
      <c r="AN1332" s="19" t="n">
        <v>1</v>
      </c>
      <c r="AO1332" s="19" t="n">
        <v>2</v>
      </c>
      <c r="AP1332" s="19"/>
      <c r="AQ1332" s="19"/>
      <c r="AR1332" s="19"/>
      <c r="AS1332" s="20" t="str">
        <f aca="false">HYPERLINK("http://www.openstreetmap.org/?mlat=30.5816&amp;mlon=47.7651&amp;zoom=12#map=12/30.5816/47.7651","Maplink1")</f>
        <v>Maplink1</v>
      </c>
      <c r="AT1332" s="20" t="str">
        <f aca="false">HYPERLINK("https://www.google.iq/maps/search/+30.5816,47.7651/@30.5816,47.7651,14z?hl=en","Maplink2")</f>
        <v>Maplink2</v>
      </c>
      <c r="AU1332" s="20" t="str">
        <f aca="false">HYPERLINK("http://www.bing.com/maps/?lvl=14&amp;sty=h&amp;cp=30.5816~47.7651&amp;sp=point.30.5816_47.7651","Maplink3")</f>
        <v>Maplink3</v>
      </c>
    </row>
    <row r="1333" customFormat="false" ht="15" hidden="false" customHeight="true" outlineLevel="0" collapsed="false">
      <c r="A1333" s="15" t="n">
        <v>29508</v>
      </c>
      <c r="B1333" s="16" t="s">
        <v>18</v>
      </c>
      <c r="C1333" s="16" t="s">
        <v>18</v>
      </c>
      <c r="D1333" s="16" t="s">
        <v>2640</v>
      </c>
      <c r="E1333" s="17" t="s">
        <v>2641</v>
      </c>
      <c r="F1333" s="16" t="n">
        <v>30.47999779</v>
      </c>
      <c r="G1333" s="16" t="n">
        <v>47.79582412</v>
      </c>
      <c r="H1333" s="18" t="n">
        <v>6</v>
      </c>
      <c r="I1333" s="18" t="n">
        <v>36</v>
      </c>
      <c r="J1333" s="19" t="n">
        <v>1</v>
      </c>
      <c r="K1333" s="19"/>
      <c r="L1333" s="19"/>
      <c r="M1333" s="19"/>
      <c r="N1333" s="19"/>
      <c r="O1333" s="19"/>
      <c r="P1333" s="19"/>
      <c r="Q1333" s="19"/>
      <c r="R1333" s="19" t="n">
        <v>1</v>
      </c>
      <c r="S1333" s="19"/>
      <c r="T1333" s="19"/>
      <c r="U1333" s="19"/>
      <c r="V1333" s="19"/>
      <c r="W1333" s="19"/>
      <c r="X1333" s="19" t="n">
        <v>4</v>
      </c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 t="n">
        <v>6</v>
      </c>
      <c r="AI1333" s="19"/>
      <c r="AJ1333" s="19"/>
      <c r="AK1333" s="19"/>
      <c r="AL1333" s="19" t="n">
        <v>1</v>
      </c>
      <c r="AM1333" s="19" t="n">
        <v>3</v>
      </c>
      <c r="AN1333" s="19"/>
      <c r="AO1333" s="19" t="n">
        <v>2</v>
      </c>
      <c r="AP1333" s="19"/>
      <c r="AQ1333" s="19"/>
      <c r="AR1333" s="19"/>
      <c r="AS1333" s="20" t="str">
        <f aca="false">HYPERLINK("http://www.openstreetmap.org/?mlat=30.48&amp;mlon=47.7958&amp;zoom=12#map=12/30.48/47.7958","Maplink1")</f>
        <v>Maplink1</v>
      </c>
      <c r="AT1333" s="20" t="str">
        <f aca="false">HYPERLINK("https://www.google.iq/maps/search/+30.48,47.7958/@30.48,47.7958,14z?hl=en","Maplink2")</f>
        <v>Maplink2</v>
      </c>
      <c r="AU1333" s="20" t="str">
        <f aca="false">HYPERLINK("http://www.bing.com/maps/?lvl=14&amp;sty=h&amp;cp=30.48~47.7958&amp;sp=point.30.48_47.7958","Maplink3")</f>
        <v>Maplink3</v>
      </c>
    </row>
    <row r="1334" customFormat="false" ht="15" hidden="false" customHeight="true" outlineLevel="0" collapsed="false">
      <c r="A1334" s="15" t="n">
        <v>23974</v>
      </c>
      <c r="B1334" s="16" t="s">
        <v>18</v>
      </c>
      <c r="C1334" s="16" t="s">
        <v>18</v>
      </c>
      <c r="D1334" s="16" t="s">
        <v>2642</v>
      </c>
      <c r="E1334" s="17" t="s">
        <v>2643</v>
      </c>
      <c r="F1334" s="16" t="n">
        <v>30.4485</v>
      </c>
      <c r="G1334" s="16" t="n">
        <v>47.8012</v>
      </c>
      <c r="H1334" s="18" t="n">
        <v>4</v>
      </c>
      <c r="I1334" s="18" t="n">
        <v>24</v>
      </c>
      <c r="J1334" s="19" t="n">
        <v>2</v>
      </c>
      <c r="K1334" s="19"/>
      <c r="L1334" s="19"/>
      <c r="M1334" s="19"/>
      <c r="N1334" s="19"/>
      <c r="O1334" s="19"/>
      <c r="P1334" s="19"/>
      <c r="Q1334" s="19"/>
      <c r="R1334" s="19" t="n">
        <v>1</v>
      </c>
      <c r="S1334" s="19"/>
      <c r="T1334" s="19"/>
      <c r="U1334" s="19"/>
      <c r="V1334" s="19" t="n">
        <v>1</v>
      </c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 t="n">
        <v>4</v>
      </c>
      <c r="AI1334" s="19"/>
      <c r="AJ1334" s="19"/>
      <c r="AK1334" s="19"/>
      <c r="AL1334" s="19"/>
      <c r="AM1334" s="19" t="n">
        <v>2</v>
      </c>
      <c r="AN1334" s="19" t="n">
        <v>1</v>
      </c>
      <c r="AO1334" s="19" t="n">
        <v>1</v>
      </c>
      <c r="AP1334" s="19"/>
      <c r="AQ1334" s="19"/>
      <c r="AR1334" s="19"/>
      <c r="AS1334" s="20" t="str">
        <f aca="false">HYPERLINK("http://www.openstreetmap.org/?mlat=30.4485&amp;mlon=47.8012&amp;zoom=12#map=12/30.4485/47.8012","Maplink1")</f>
        <v>Maplink1</v>
      </c>
      <c r="AT1334" s="20" t="str">
        <f aca="false">HYPERLINK("https://www.google.iq/maps/search/+30.4485,47.8012/@30.4485,47.8012,14z?hl=en","Maplink2")</f>
        <v>Maplink2</v>
      </c>
      <c r="AU1334" s="20" t="str">
        <f aca="false">HYPERLINK("http://www.bing.com/maps/?lvl=14&amp;sty=h&amp;cp=30.4485~47.8012&amp;sp=point.30.4485_47.8012","Maplink3")</f>
        <v>Maplink3</v>
      </c>
    </row>
    <row r="1335" customFormat="false" ht="15" hidden="false" customHeight="true" outlineLevel="0" collapsed="false">
      <c r="A1335" s="15" t="n">
        <v>889</v>
      </c>
      <c r="B1335" s="16" t="s">
        <v>18</v>
      </c>
      <c r="C1335" s="16" t="s">
        <v>18</v>
      </c>
      <c r="D1335" s="16" t="s">
        <v>2644</v>
      </c>
      <c r="E1335" s="17" t="s">
        <v>2645</v>
      </c>
      <c r="F1335" s="16" t="n">
        <v>30.5048311</v>
      </c>
      <c r="G1335" s="16" t="n">
        <v>47.81260863</v>
      </c>
      <c r="H1335" s="18" t="n">
        <v>14</v>
      </c>
      <c r="I1335" s="18" t="n">
        <v>84</v>
      </c>
      <c r="J1335" s="19"/>
      <c r="K1335" s="19"/>
      <c r="L1335" s="19"/>
      <c r="M1335" s="19"/>
      <c r="N1335" s="19"/>
      <c r="O1335" s="19"/>
      <c r="P1335" s="19"/>
      <c r="Q1335" s="19"/>
      <c r="R1335" s="19" t="n">
        <v>2</v>
      </c>
      <c r="S1335" s="19"/>
      <c r="T1335" s="19"/>
      <c r="U1335" s="19"/>
      <c r="V1335" s="19" t="n">
        <v>6</v>
      </c>
      <c r="W1335" s="19"/>
      <c r="X1335" s="19" t="n">
        <v>6</v>
      </c>
      <c r="Y1335" s="19"/>
      <c r="Z1335" s="19"/>
      <c r="AA1335" s="19"/>
      <c r="AB1335" s="19"/>
      <c r="AC1335" s="19" t="n">
        <v>2</v>
      </c>
      <c r="AD1335" s="19"/>
      <c r="AE1335" s="19"/>
      <c r="AF1335" s="19"/>
      <c r="AG1335" s="19"/>
      <c r="AH1335" s="19" t="n">
        <v>12</v>
      </c>
      <c r="AI1335" s="19"/>
      <c r="AJ1335" s="19"/>
      <c r="AK1335" s="19"/>
      <c r="AL1335" s="19" t="n">
        <v>3</v>
      </c>
      <c r="AM1335" s="19" t="n">
        <v>5</v>
      </c>
      <c r="AN1335" s="19" t="n">
        <v>4</v>
      </c>
      <c r="AO1335" s="19" t="n">
        <v>2</v>
      </c>
      <c r="AP1335" s="19"/>
      <c r="AQ1335" s="19"/>
      <c r="AR1335" s="19"/>
      <c r="AS1335" s="20" t="str">
        <f aca="false">HYPERLINK("http://www.openstreetmap.org/?mlat=30.5048&amp;mlon=47.8126&amp;zoom=12#map=12/30.5048/47.8126","Maplink1")</f>
        <v>Maplink1</v>
      </c>
      <c r="AT1335" s="20" t="str">
        <f aca="false">HYPERLINK("https://www.google.iq/maps/search/+30.5048,47.8126/@30.5048,47.8126,14z?hl=en","Maplink2")</f>
        <v>Maplink2</v>
      </c>
      <c r="AU1335" s="20" t="str">
        <f aca="false">HYPERLINK("http://www.bing.com/maps/?lvl=14&amp;sty=h&amp;cp=30.5048~47.8126&amp;sp=point.30.5048_47.8126","Maplink3")</f>
        <v>Maplink3</v>
      </c>
    </row>
    <row r="1336" customFormat="false" ht="15" hidden="false" customHeight="true" outlineLevel="0" collapsed="false">
      <c r="A1336" s="15" t="n">
        <v>1025</v>
      </c>
      <c r="B1336" s="16" t="s">
        <v>18</v>
      </c>
      <c r="C1336" s="16" t="s">
        <v>18</v>
      </c>
      <c r="D1336" s="16" t="s">
        <v>2646</v>
      </c>
      <c r="E1336" s="17" t="s">
        <v>2647</v>
      </c>
      <c r="F1336" s="16" t="n">
        <v>30.57454779</v>
      </c>
      <c r="G1336" s="16" t="n">
        <v>47.76983871</v>
      </c>
      <c r="H1336" s="18" t="n">
        <v>2</v>
      </c>
      <c r="I1336" s="18" t="n">
        <v>12</v>
      </c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 t="n">
        <v>1</v>
      </c>
      <c r="W1336" s="19"/>
      <c r="X1336" s="19" t="n">
        <v>1</v>
      </c>
      <c r="Y1336" s="19"/>
      <c r="Z1336" s="19"/>
      <c r="AA1336" s="19"/>
      <c r="AB1336" s="19"/>
      <c r="AC1336" s="19" t="n">
        <v>2</v>
      </c>
      <c r="AD1336" s="19"/>
      <c r="AE1336" s="19"/>
      <c r="AF1336" s="19"/>
      <c r="AG1336" s="19"/>
      <c r="AH1336" s="19"/>
      <c r="AI1336" s="19"/>
      <c r="AJ1336" s="19"/>
      <c r="AK1336" s="19"/>
      <c r="AL1336" s="19"/>
      <c r="AM1336" s="19" t="n">
        <v>1</v>
      </c>
      <c r="AN1336" s="19" t="n">
        <v>1</v>
      </c>
      <c r="AO1336" s="19"/>
      <c r="AP1336" s="19"/>
      <c r="AQ1336" s="19"/>
      <c r="AR1336" s="19"/>
      <c r="AS1336" s="20" t="str">
        <f aca="false">HYPERLINK("http://www.openstreetmap.org/?mlat=30.5745&amp;mlon=47.7698&amp;zoom=12#map=12/30.5745/47.7698","Maplink1")</f>
        <v>Maplink1</v>
      </c>
      <c r="AT1336" s="20" t="str">
        <f aca="false">HYPERLINK("https://www.google.iq/maps/search/+30.5745,47.7698/@30.5745,47.7698,14z?hl=en","Maplink2")</f>
        <v>Maplink2</v>
      </c>
      <c r="AU1336" s="20" t="str">
        <f aca="false">HYPERLINK("http://www.bing.com/maps/?lvl=14&amp;sty=h&amp;cp=30.5745~47.7698&amp;sp=point.30.5745_47.7698","Maplink3")</f>
        <v>Maplink3</v>
      </c>
    </row>
    <row r="1337" customFormat="false" ht="15" hidden="false" customHeight="true" outlineLevel="0" collapsed="false">
      <c r="A1337" s="15" t="n">
        <v>899</v>
      </c>
      <c r="B1337" s="16" t="s">
        <v>18</v>
      </c>
      <c r="C1337" s="16" t="s">
        <v>18</v>
      </c>
      <c r="D1337" s="16" t="s">
        <v>2648</v>
      </c>
      <c r="E1337" s="17" t="s">
        <v>2649</v>
      </c>
      <c r="F1337" s="16" t="n">
        <v>30.50634244</v>
      </c>
      <c r="G1337" s="16" t="n">
        <v>47.80093767</v>
      </c>
      <c r="H1337" s="18" t="n">
        <v>4</v>
      </c>
      <c r="I1337" s="18" t="n">
        <v>24</v>
      </c>
      <c r="J1337" s="19" t="n">
        <v>2</v>
      </c>
      <c r="K1337" s="19"/>
      <c r="L1337" s="19"/>
      <c r="M1337" s="19"/>
      <c r="N1337" s="19"/>
      <c r="O1337" s="19"/>
      <c r="P1337" s="19"/>
      <c r="Q1337" s="19"/>
      <c r="R1337" s="19" t="n">
        <v>2</v>
      </c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 t="n">
        <v>2</v>
      </c>
      <c r="AD1337" s="19"/>
      <c r="AE1337" s="19"/>
      <c r="AF1337" s="19"/>
      <c r="AG1337" s="19"/>
      <c r="AH1337" s="19" t="n">
        <v>2</v>
      </c>
      <c r="AI1337" s="19"/>
      <c r="AJ1337" s="19"/>
      <c r="AK1337" s="19"/>
      <c r="AL1337" s="19"/>
      <c r="AM1337" s="19" t="n">
        <v>3</v>
      </c>
      <c r="AN1337" s="19" t="n">
        <v>1</v>
      </c>
      <c r="AO1337" s="19"/>
      <c r="AP1337" s="19"/>
      <c r="AQ1337" s="19"/>
      <c r="AR1337" s="19"/>
      <c r="AS1337" s="20" t="str">
        <f aca="false">HYPERLINK("http://www.openstreetmap.org/?mlat=30.5063&amp;mlon=47.8009&amp;zoom=12#map=12/30.5063/47.8009","Maplink1")</f>
        <v>Maplink1</v>
      </c>
      <c r="AT1337" s="20" t="str">
        <f aca="false">HYPERLINK("https://www.google.iq/maps/search/+30.5063,47.8009/@30.5063,47.8009,14z?hl=en","Maplink2")</f>
        <v>Maplink2</v>
      </c>
      <c r="AU1337" s="20" t="str">
        <f aca="false">HYPERLINK("http://www.bing.com/maps/?lvl=14&amp;sty=h&amp;cp=30.5063~47.8009&amp;sp=point.30.5063_47.8009","Maplink3")</f>
        <v>Maplink3</v>
      </c>
    </row>
    <row r="1338" customFormat="false" ht="15" hidden="false" customHeight="true" outlineLevel="0" collapsed="false">
      <c r="A1338" s="15" t="n">
        <v>1054</v>
      </c>
      <c r="B1338" s="16" t="s">
        <v>18</v>
      </c>
      <c r="C1338" s="16" t="s">
        <v>18</v>
      </c>
      <c r="D1338" s="16" t="s">
        <v>2650</v>
      </c>
      <c r="E1338" s="17" t="s">
        <v>2651</v>
      </c>
      <c r="F1338" s="16" t="n">
        <v>30.680194</v>
      </c>
      <c r="G1338" s="16" t="n">
        <v>47.740056</v>
      </c>
      <c r="H1338" s="18" t="n">
        <v>3</v>
      </c>
      <c r="I1338" s="18" t="n">
        <v>18</v>
      </c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 t="n">
        <v>3</v>
      </c>
      <c r="W1338" s="19"/>
      <c r="X1338" s="19"/>
      <c r="Y1338" s="19"/>
      <c r="Z1338" s="19"/>
      <c r="AA1338" s="19"/>
      <c r="AB1338" s="19"/>
      <c r="AC1338" s="19" t="n">
        <v>3</v>
      </c>
      <c r="AD1338" s="19"/>
      <c r="AE1338" s="19"/>
      <c r="AF1338" s="19"/>
      <c r="AG1338" s="19"/>
      <c r="AH1338" s="19"/>
      <c r="AI1338" s="19"/>
      <c r="AJ1338" s="19"/>
      <c r="AK1338" s="19"/>
      <c r="AL1338" s="19"/>
      <c r="AM1338" s="19"/>
      <c r="AN1338" s="19"/>
      <c r="AO1338" s="19"/>
      <c r="AP1338" s="19"/>
      <c r="AQ1338" s="19"/>
      <c r="AR1338" s="19" t="n">
        <v>3</v>
      </c>
      <c r="AS1338" s="20" t="str">
        <f aca="false">HYPERLINK("http://www.openstreetmap.org/?mlat=30.6802&amp;mlon=47.7401&amp;zoom=12#map=12/30.6802/47.7401","Maplink1")</f>
        <v>Maplink1</v>
      </c>
      <c r="AT1338" s="20" t="str">
        <f aca="false">HYPERLINK("https://www.google.iq/maps/search/+30.6802,47.7401/@30.6802,47.7401,14z?hl=en","Maplink2")</f>
        <v>Maplink2</v>
      </c>
      <c r="AU1338" s="20" t="str">
        <f aca="false">HYPERLINK("http://www.bing.com/maps/?lvl=14&amp;sty=h&amp;cp=30.6802~47.7401&amp;sp=point.30.6802_47.7401","Maplink3")</f>
        <v>Maplink3</v>
      </c>
    </row>
    <row r="1339" customFormat="false" ht="15" hidden="false" customHeight="true" outlineLevel="0" collapsed="false">
      <c r="A1339" s="15" t="n">
        <v>29657</v>
      </c>
      <c r="B1339" s="16" t="s">
        <v>18</v>
      </c>
      <c r="C1339" s="16" t="s">
        <v>18</v>
      </c>
      <c r="D1339" s="16" t="s">
        <v>2652</v>
      </c>
      <c r="E1339" s="17" t="s">
        <v>2653</v>
      </c>
      <c r="F1339" s="16" t="n">
        <v>30.557778</v>
      </c>
      <c r="G1339" s="16" t="n">
        <v>47.770556</v>
      </c>
      <c r="H1339" s="18" t="n">
        <v>2</v>
      </c>
      <c r="I1339" s="18" t="n">
        <v>12</v>
      </c>
      <c r="J1339" s="19" t="n">
        <v>2</v>
      </c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 t="n">
        <v>2</v>
      </c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9"/>
      <c r="AP1339" s="19" t="n">
        <v>2</v>
      </c>
      <c r="AQ1339" s="19"/>
      <c r="AR1339" s="19"/>
      <c r="AS1339" s="20" t="str">
        <f aca="false">HYPERLINK("http://www.openstreetmap.org/?mlat=30.5578&amp;mlon=47.7706&amp;zoom=12#map=12/30.5578/47.7706","Maplink1")</f>
        <v>Maplink1</v>
      </c>
      <c r="AT1339" s="20" t="str">
        <f aca="false">HYPERLINK("https://www.google.iq/maps/search/+30.5578,47.7706/@30.5578,47.7706,14z?hl=en","Maplink2")</f>
        <v>Maplink2</v>
      </c>
      <c r="AU1339" s="20" t="str">
        <f aca="false">HYPERLINK("http://www.bing.com/maps/?lvl=14&amp;sty=h&amp;cp=30.5578~47.7706&amp;sp=point.30.5578_47.7706","Maplink3")</f>
        <v>Maplink3</v>
      </c>
    </row>
    <row r="1340" customFormat="false" ht="15" hidden="false" customHeight="true" outlineLevel="0" collapsed="false">
      <c r="A1340" s="15" t="n">
        <v>897</v>
      </c>
      <c r="B1340" s="16" t="s">
        <v>18</v>
      </c>
      <c r="C1340" s="16" t="s">
        <v>18</v>
      </c>
      <c r="D1340" s="16" t="s">
        <v>2654</v>
      </c>
      <c r="E1340" s="17" t="s">
        <v>2655</v>
      </c>
      <c r="F1340" s="16" t="n">
        <v>30.50843851</v>
      </c>
      <c r="G1340" s="16" t="n">
        <v>47.79602529</v>
      </c>
      <c r="H1340" s="18" t="n">
        <v>3</v>
      </c>
      <c r="I1340" s="18" t="n">
        <v>18</v>
      </c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 t="n">
        <v>3</v>
      </c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 t="n">
        <v>3</v>
      </c>
      <c r="AI1340" s="19"/>
      <c r="AJ1340" s="19"/>
      <c r="AK1340" s="19"/>
      <c r="AL1340" s="19"/>
      <c r="AM1340" s="19" t="n">
        <v>3</v>
      </c>
      <c r="AN1340" s="19"/>
      <c r="AO1340" s="19"/>
      <c r="AP1340" s="19"/>
      <c r="AQ1340" s="19"/>
      <c r="AR1340" s="19"/>
      <c r="AS1340" s="20" t="str">
        <f aca="false">HYPERLINK("http://www.openstreetmap.org/?mlat=30.5084&amp;mlon=47.796&amp;zoom=12#map=12/30.5084/47.796","Maplink1")</f>
        <v>Maplink1</v>
      </c>
      <c r="AT1340" s="20" t="str">
        <f aca="false">HYPERLINK("https://www.google.iq/maps/search/+30.5084,47.796/@30.5084,47.796,14z?hl=en","Maplink2")</f>
        <v>Maplink2</v>
      </c>
      <c r="AU1340" s="20" t="str">
        <f aca="false">HYPERLINK("http://www.bing.com/maps/?lvl=14&amp;sty=h&amp;cp=30.5084~47.796&amp;sp=point.30.5084_47.796","Maplink3")</f>
        <v>Maplink3</v>
      </c>
    </row>
    <row r="1341" customFormat="false" ht="15" hidden="false" customHeight="true" outlineLevel="0" collapsed="false">
      <c r="A1341" s="15" t="n">
        <v>23975</v>
      </c>
      <c r="B1341" s="16" t="s">
        <v>18</v>
      </c>
      <c r="C1341" s="16" t="s">
        <v>18</v>
      </c>
      <c r="D1341" s="16" t="s">
        <v>2656</v>
      </c>
      <c r="E1341" s="17" t="s">
        <v>2657</v>
      </c>
      <c r="F1341" s="16" t="n">
        <v>30.47859717</v>
      </c>
      <c r="G1341" s="16" t="n">
        <v>47.8363585</v>
      </c>
      <c r="H1341" s="18" t="n">
        <v>13</v>
      </c>
      <c r="I1341" s="18" t="n">
        <v>78</v>
      </c>
      <c r="J1341" s="19" t="n">
        <v>4</v>
      </c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 t="n">
        <v>6</v>
      </c>
      <c r="W1341" s="19"/>
      <c r="X1341" s="19" t="n">
        <v>3</v>
      </c>
      <c r="Y1341" s="19"/>
      <c r="Z1341" s="19"/>
      <c r="AA1341" s="19"/>
      <c r="AB1341" s="19"/>
      <c r="AC1341" s="19" t="n">
        <v>5</v>
      </c>
      <c r="AD1341" s="19"/>
      <c r="AE1341" s="19"/>
      <c r="AF1341" s="19"/>
      <c r="AG1341" s="19"/>
      <c r="AH1341" s="19" t="n">
        <v>8</v>
      </c>
      <c r="AI1341" s="19"/>
      <c r="AJ1341" s="19"/>
      <c r="AK1341" s="19"/>
      <c r="AL1341" s="19"/>
      <c r="AM1341" s="19" t="n">
        <v>2</v>
      </c>
      <c r="AN1341" s="19" t="n">
        <v>2</v>
      </c>
      <c r="AO1341" s="19" t="n">
        <v>3</v>
      </c>
      <c r="AP1341" s="19" t="n">
        <v>5</v>
      </c>
      <c r="AQ1341" s="19" t="n">
        <v>1</v>
      </c>
      <c r="AR1341" s="19"/>
      <c r="AS1341" s="20" t="str">
        <f aca="false">HYPERLINK("http://www.openstreetmap.org/?mlat=30.4786&amp;mlon=47.8364&amp;zoom=12#map=12/30.4786/47.8364","Maplink1")</f>
        <v>Maplink1</v>
      </c>
      <c r="AT1341" s="20" t="str">
        <f aca="false">HYPERLINK("https://www.google.iq/maps/search/+30.4786,47.8364/@30.4786,47.8364,14z?hl=en","Maplink2")</f>
        <v>Maplink2</v>
      </c>
      <c r="AU1341" s="20" t="str">
        <f aca="false">HYPERLINK("http://www.bing.com/maps/?lvl=14&amp;sty=h&amp;cp=30.4786~47.8364&amp;sp=point.30.4786_47.8364","Maplink3")</f>
        <v>Maplink3</v>
      </c>
    </row>
    <row r="1342" customFormat="false" ht="15" hidden="false" customHeight="true" outlineLevel="0" collapsed="false">
      <c r="A1342" s="15" t="n">
        <v>29678</v>
      </c>
      <c r="B1342" s="16" t="s">
        <v>18</v>
      </c>
      <c r="C1342" s="16" t="s">
        <v>18</v>
      </c>
      <c r="D1342" s="16" t="s">
        <v>2658</v>
      </c>
      <c r="E1342" s="17" t="s">
        <v>2659</v>
      </c>
      <c r="F1342" s="16" t="n">
        <v>30.529956</v>
      </c>
      <c r="G1342" s="16" t="n">
        <v>47.763853</v>
      </c>
      <c r="H1342" s="18" t="n">
        <v>1</v>
      </c>
      <c r="I1342" s="18" t="n">
        <v>6</v>
      </c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 t="n">
        <v>1</v>
      </c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 t="n">
        <v>1</v>
      </c>
      <c r="AI1342" s="19"/>
      <c r="AJ1342" s="19"/>
      <c r="AK1342" s="19"/>
      <c r="AL1342" s="19"/>
      <c r="AM1342" s="19"/>
      <c r="AN1342" s="19"/>
      <c r="AO1342" s="19"/>
      <c r="AP1342" s="19" t="n">
        <v>1</v>
      </c>
      <c r="AQ1342" s="19"/>
      <c r="AR1342" s="19"/>
      <c r="AS1342" s="20" t="str">
        <f aca="false">HYPERLINK("http://www.openstreetmap.org/?mlat=30.53&amp;mlon=47.7639&amp;zoom=12#map=12/30.53/47.7639","Maplink1")</f>
        <v>Maplink1</v>
      </c>
      <c r="AT1342" s="20" t="str">
        <f aca="false">HYPERLINK("https://www.google.iq/maps/search/+30.53,47.7639/@30.53,47.7639,14z?hl=en","Maplink2")</f>
        <v>Maplink2</v>
      </c>
      <c r="AU1342" s="20" t="str">
        <f aca="false">HYPERLINK("http://www.bing.com/maps/?lvl=14&amp;sty=h&amp;cp=30.53~47.7639&amp;sp=point.30.53_47.7639","Maplink3")</f>
        <v>Maplink3</v>
      </c>
    </row>
    <row r="1343" customFormat="false" ht="15" hidden="false" customHeight="true" outlineLevel="0" collapsed="false">
      <c r="A1343" s="15" t="n">
        <v>29596</v>
      </c>
      <c r="B1343" s="16" t="s">
        <v>18</v>
      </c>
      <c r="C1343" s="16" t="s">
        <v>2660</v>
      </c>
      <c r="D1343" s="16" t="s">
        <v>2661</v>
      </c>
      <c r="E1343" s="17" t="s">
        <v>2662</v>
      </c>
      <c r="F1343" s="16" t="n">
        <v>30.151667</v>
      </c>
      <c r="G1343" s="16" t="n">
        <v>48.365</v>
      </c>
      <c r="H1343" s="18" t="n">
        <v>2</v>
      </c>
      <c r="I1343" s="18" t="n">
        <v>12</v>
      </c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 t="n">
        <v>2</v>
      </c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 t="n">
        <v>2</v>
      </c>
      <c r="AI1343" s="19"/>
      <c r="AJ1343" s="19"/>
      <c r="AK1343" s="19"/>
      <c r="AL1343" s="19"/>
      <c r="AM1343" s="19"/>
      <c r="AN1343" s="19" t="n">
        <v>1</v>
      </c>
      <c r="AO1343" s="19" t="n">
        <v>1</v>
      </c>
      <c r="AP1343" s="19"/>
      <c r="AQ1343" s="19"/>
      <c r="AR1343" s="19"/>
      <c r="AS1343" s="20" t="str">
        <f aca="false">HYPERLINK("http://www.openstreetmap.org/?mlat=30.1517&amp;mlon=48.365&amp;zoom=12#map=12/30.1517/48.365","Maplink1")</f>
        <v>Maplink1</v>
      </c>
      <c r="AT1343" s="20" t="str">
        <f aca="false">HYPERLINK("https://www.google.iq/maps/search/+30.1517,48.365/@30.1517,48.365,14z?hl=en","Maplink2")</f>
        <v>Maplink2</v>
      </c>
      <c r="AU1343" s="20" t="str">
        <f aca="false">HYPERLINK("http://www.bing.com/maps/?lvl=14&amp;sty=h&amp;cp=30.1517~48.365&amp;sp=point.30.1517_48.365","Maplink3")</f>
        <v>Maplink3</v>
      </c>
    </row>
    <row r="1344" customFormat="false" ht="15" hidden="false" customHeight="true" outlineLevel="0" collapsed="false">
      <c r="A1344" s="15" t="n">
        <v>25338</v>
      </c>
      <c r="B1344" s="16" t="s">
        <v>18</v>
      </c>
      <c r="C1344" s="16" t="s">
        <v>2660</v>
      </c>
      <c r="D1344" s="16" t="s">
        <v>2663</v>
      </c>
      <c r="E1344" s="17" t="s">
        <v>97</v>
      </c>
      <c r="F1344" s="16" t="n">
        <v>29.97926595</v>
      </c>
      <c r="G1344" s="16" t="n">
        <v>48.45955929</v>
      </c>
      <c r="H1344" s="18" t="n">
        <v>1</v>
      </c>
      <c r="I1344" s="18" t="n">
        <v>6</v>
      </c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 t="n">
        <v>1</v>
      </c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 t="n">
        <v>1</v>
      </c>
      <c r="AI1344" s="19"/>
      <c r="AJ1344" s="19"/>
      <c r="AK1344" s="19"/>
      <c r="AL1344" s="19"/>
      <c r="AM1344" s="19"/>
      <c r="AN1344" s="19"/>
      <c r="AO1344" s="19" t="n">
        <v>1</v>
      </c>
      <c r="AP1344" s="19"/>
      <c r="AQ1344" s="19"/>
      <c r="AR1344" s="19"/>
      <c r="AS1344" s="20" t="str">
        <f aca="false">HYPERLINK("http://www.openstreetmap.org/?mlat=29.9793&amp;mlon=48.4596&amp;zoom=12#map=12/29.9793/48.4596","Maplink1")</f>
        <v>Maplink1</v>
      </c>
      <c r="AT1344" s="20" t="str">
        <f aca="false">HYPERLINK("https://www.google.iq/maps/search/+29.9793,48.4596/@29.9793,48.4596,14z?hl=en","Maplink2")</f>
        <v>Maplink2</v>
      </c>
      <c r="AU1344" s="20" t="str">
        <f aca="false">HYPERLINK("http://www.bing.com/maps/?lvl=14&amp;sty=h&amp;cp=29.9793~48.4596&amp;sp=point.29.9793_48.4596","Maplink3")</f>
        <v>Maplink3</v>
      </c>
    </row>
    <row r="1345" customFormat="false" ht="15" hidden="false" customHeight="true" outlineLevel="0" collapsed="false">
      <c r="A1345" s="15" t="n">
        <v>25340</v>
      </c>
      <c r="B1345" s="16" t="s">
        <v>18</v>
      </c>
      <c r="C1345" s="16" t="s">
        <v>2660</v>
      </c>
      <c r="D1345" s="16" t="s">
        <v>2664</v>
      </c>
      <c r="E1345" s="17" t="s">
        <v>2665</v>
      </c>
      <c r="F1345" s="16" t="n">
        <v>29.98047722</v>
      </c>
      <c r="G1345" s="16" t="n">
        <v>48.46949117</v>
      </c>
      <c r="H1345" s="18" t="n">
        <v>7</v>
      </c>
      <c r="I1345" s="18" t="n">
        <v>42</v>
      </c>
      <c r="J1345" s="19" t="n">
        <v>5</v>
      </c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 t="n">
        <v>2</v>
      </c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 t="n">
        <v>7</v>
      </c>
      <c r="AI1345" s="19"/>
      <c r="AJ1345" s="19"/>
      <c r="AK1345" s="19"/>
      <c r="AL1345" s="19" t="n">
        <v>3</v>
      </c>
      <c r="AM1345" s="19" t="n">
        <v>2</v>
      </c>
      <c r="AN1345" s="19" t="n">
        <v>2</v>
      </c>
      <c r="AO1345" s="19"/>
      <c r="AP1345" s="19"/>
      <c r="AQ1345" s="19"/>
      <c r="AR1345" s="19"/>
      <c r="AS1345" s="20" t="str">
        <f aca="false">HYPERLINK("http://www.openstreetmap.org/?mlat=29.9805&amp;mlon=48.4695&amp;zoom=12#map=12/29.9805/48.4695","Maplink1")</f>
        <v>Maplink1</v>
      </c>
      <c r="AT1345" s="20" t="str">
        <f aca="false">HYPERLINK("https://www.google.iq/maps/search/+29.9805,48.4695/@29.9805,48.4695,14z?hl=en","Maplink2")</f>
        <v>Maplink2</v>
      </c>
      <c r="AU1345" s="20" t="str">
        <f aca="false">HYPERLINK("http://www.bing.com/maps/?lvl=14&amp;sty=h&amp;cp=29.9805~48.4695&amp;sp=point.29.9805_48.4695","Maplink3")</f>
        <v>Maplink3</v>
      </c>
    </row>
    <row r="1346" customFormat="false" ht="15" hidden="false" customHeight="true" outlineLevel="0" collapsed="false">
      <c r="A1346" s="15" t="n">
        <v>25335</v>
      </c>
      <c r="B1346" s="16" t="s">
        <v>18</v>
      </c>
      <c r="C1346" s="16" t="s">
        <v>2660</v>
      </c>
      <c r="D1346" s="16" t="s">
        <v>2666</v>
      </c>
      <c r="E1346" s="17" t="s">
        <v>572</v>
      </c>
      <c r="F1346" s="16" t="n">
        <v>29.97000307</v>
      </c>
      <c r="G1346" s="16" t="n">
        <v>48.47019349</v>
      </c>
      <c r="H1346" s="18" t="n">
        <v>1</v>
      </c>
      <c r="I1346" s="18" t="n">
        <v>6</v>
      </c>
      <c r="J1346" s="19"/>
      <c r="K1346" s="19"/>
      <c r="L1346" s="19"/>
      <c r="M1346" s="19"/>
      <c r="N1346" s="19"/>
      <c r="O1346" s="19"/>
      <c r="P1346" s="19"/>
      <c r="Q1346" s="19"/>
      <c r="R1346" s="19" t="n">
        <v>1</v>
      </c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 t="n">
        <v>1</v>
      </c>
      <c r="AI1346" s="19"/>
      <c r="AJ1346" s="19"/>
      <c r="AK1346" s="19"/>
      <c r="AL1346" s="19"/>
      <c r="AM1346" s="19"/>
      <c r="AN1346" s="19" t="n">
        <v>1</v>
      </c>
      <c r="AO1346" s="19"/>
      <c r="AP1346" s="19"/>
      <c r="AQ1346" s="19"/>
      <c r="AR1346" s="19"/>
      <c r="AS1346" s="20" t="str">
        <f aca="false">HYPERLINK("http://www.openstreetmap.org/?mlat=29.97&amp;mlon=48.4702&amp;zoom=12#map=12/29.97/48.4702","Maplink1")</f>
        <v>Maplink1</v>
      </c>
      <c r="AT1346" s="20" t="str">
        <f aca="false">HYPERLINK("https://www.google.iq/maps/search/+29.97,48.4702/@29.97,48.4702,14z?hl=en","Maplink2")</f>
        <v>Maplink2</v>
      </c>
      <c r="AU1346" s="20" t="str">
        <f aca="false">HYPERLINK("http://www.bing.com/maps/?lvl=14&amp;sty=h&amp;cp=29.97~48.4702&amp;sp=point.29.97_48.4702","Maplink3")</f>
        <v>Maplink3</v>
      </c>
    </row>
    <row r="1347" customFormat="false" ht="15" hidden="false" customHeight="true" outlineLevel="0" collapsed="false">
      <c r="A1347" s="15" t="n">
        <v>25334</v>
      </c>
      <c r="B1347" s="16" t="s">
        <v>18</v>
      </c>
      <c r="C1347" s="16" t="s">
        <v>2660</v>
      </c>
      <c r="D1347" s="16" t="s">
        <v>2667</v>
      </c>
      <c r="E1347" s="17" t="s">
        <v>2668</v>
      </c>
      <c r="F1347" s="16" t="n">
        <v>29.96766448</v>
      </c>
      <c r="G1347" s="16" t="n">
        <v>48.48131603</v>
      </c>
      <c r="H1347" s="18" t="n">
        <v>2</v>
      </c>
      <c r="I1347" s="18" t="n">
        <v>12</v>
      </c>
      <c r="J1347" s="19" t="n">
        <v>1</v>
      </c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 t="n">
        <v>1</v>
      </c>
      <c r="W1347" s="19"/>
      <c r="X1347" s="19"/>
      <c r="Y1347" s="19"/>
      <c r="Z1347" s="19"/>
      <c r="AA1347" s="19"/>
      <c r="AB1347" s="19"/>
      <c r="AC1347" s="19" t="n">
        <v>1</v>
      </c>
      <c r="AD1347" s="19"/>
      <c r="AE1347" s="19"/>
      <c r="AF1347" s="19"/>
      <c r="AG1347" s="19"/>
      <c r="AH1347" s="19" t="n">
        <v>1</v>
      </c>
      <c r="AI1347" s="19"/>
      <c r="AJ1347" s="19"/>
      <c r="AK1347" s="19"/>
      <c r="AL1347" s="19" t="n">
        <v>1</v>
      </c>
      <c r="AM1347" s="19"/>
      <c r="AN1347" s="19" t="n">
        <v>1</v>
      </c>
      <c r="AO1347" s="19"/>
      <c r="AP1347" s="19"/>
      <c r="AQ1347" s="19"/>
      <c r="AR1347" s="19"/>
      <c r="AS1347" s="20" t="str">
        <f aca="false">HYPERLINK("http://www.openstreetmap.org/?mlat=29.9677&amp;mlon=48.4813&amp;zoom=12#map=12/29.9677/48.4813","Maplink1")</f>
        <v>Maplink1</v>
      </c>
      <c r="AT1347" s="20" t="str">
        <f aca="false">HYPERLINK("https://www.google.iq/maps/search/+29.9677,48.4813/@29.9677,48.4813,14z?hl=en","Maplink2")</f>
        <v>Maplink2</v>
      </c>
      <c r="AU1347" s="20" t="str">
        <f aca="false">HYPERLINK("http://www.bing.com/maps/?lvl=14&amp;sty=h&amp;cp=29.9677~48.4813&amp;sp=point.29.9677_48.4813","Maplink3")</f>
        <v>Maplink3</v>
      </c>
    </row>
    <row r="1348" customFormat="false" ht="15" hidden="false" customHeight="true" outlineLevel="0" collapsed="false">
      <c r="A1348" s="15" t="n">
        <v>25337</v>
      </c>
      <c r="B1348" s="16" t="s">
        <v>18</v>
      </c>
      <c r="C1348" s="16" t="s">
        <v>2660</v>
      </c>
      <c r="D1348" s="16" t="s">
        <v>2669</v>
      </c>
      <c r="E1348" s="17" t="s">
        <v>2027</v>
      </c>
      <c r="F1348" s="16" t="n">
        <v>29.9697</v>
      </c>
      <c r="G1348" s="16" t="n">
        <v>48.4744</v>
      </c>
      <c r="H1348" s="18" t="n">
        <v>1</v>
      </c>
      <c r="I1348" s="18" t="n">
        <v>6</v>
      </c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 t="n">
        <v>1</v>
      </c>
      <c r="Y1348" s="19"/>
      <c r="Z1348" s="19"/>
      <c r="AA1348" s="19"/>
      <c r="AB1348" s="19"/>
      <c r="AC1348" s="19" t="n">
        <v>1</v>
      </c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 t="n">
        <v>1</v>
      </c>
      <c r="AN1348" s="19"/>
      <c r="AO1348" s="19"/>
      <c r="AP1348" s="19"/>
      <c r="AQ1348" s="19"/>
      <c r="AR1348" s="19"/>
      <c r="AS1348" s="20" t="str">
        <f aca="false">HYPERLINK("http://www.openstreetmap.org/?mlat=29.9697&amp;mlon=48.4744&amp;zoom=12#map=12/29.9697/48.4744","Maplink1")</f>
        <v>Maplink1</v>
      </c>
      <c r="AT1348" s="20" t="str">
        <f aca="false">HYPERLINK("https://www.google.iq/maps/search/+29.9697,48.4744/@29.9697,48.4744,14z?hl=en","Maplink2")</f>
        <v>Maplink2</v>
      </c>
      <c r="AU1348" s="20" t="str">
        <f aca="false">HYPERLINK("http://www.bing.com/maps/?lvl=14&amp;sty=h&amp;cp=29.9697~48.4744&amp;sp=point.29.9697_48.4744","Maplink3")</f>
        <v>Maplink3</v>
      </c>
    </row>
    <row r="1349" customFormat="false" ht="15" hidden="false" customHeight="true" outlineLevel="0" collapsed="false">
      <c r="A1349" s="15" t="n">
        <v>23517</v>
      </c>
      <c r="B1349" s="16" t="s">
        <v>18</v>
      </c>
      <c r="C1349" s="16" t="s">
        <v>2670</v>
      </c>
      <c r="D1349" s="16" t="s">
        <v>2671</v>
      </c>
      <c r="E1349" s="17" t="s">
        <v>2672</v>
      </c>
      <c r="F1349" s="16" t="n">
        <v>30.64902914</v>
      </c>
      <c r="G1349" s="16" t="n">
        <v>47.77133195</v>
      </c>
      <c r="H1349" s="18" t="n">
        <v>16</v>
      </c>
      <c r="I1349" s="18" t="n">
        <v>96</v>
      </c>
      <c r="J1349" s="19" t="n">
        <v>6</v>
      </c>
      <c r="K1349" s="19"/>
      <c r="L1349" s="19"/>
      <c r="M1349" s="19"/>
      <c r="N1349" s="19"/>
      <c r="O1349" s="19"/>
      <c r="P1349" s="19"/>
      <c r="Q1349" s="19"/>
      <c r="R1349" s="19" t="n">
        <v>1</v>
      </c>
      <c r="S1349" s="19"/>
      <c r="T1349" s="19"/>
      <c r="U1349" s="19"/>
      <c r="V1349" s="19" t="n">
        <v>9</v>
      </c>
      <c r="W1349" s="19"/>
      <c r="X1349" s="19"/>
      <c r="Y1349" s="19"/>
      <c r="Z1349" s="19"/>
      <c r="AA1349" s="19"/>
      <c r="AB1349" s="19"/>
      <c r="AC1349" s="19" t="n">
        <v>5</v>
      </c>
      <c r="AD1349" s="19"/>
      <c r="AE1349" s="19" t="n">
        <v>4</v>
      </c>
      <c r="AF1349" s="19"/>
      <c r="AG1349" s="19" t="n">
        <v>1</v>
      </c>
      <c r="AH1349" s="19" t="n">
        <v>6</v>
      </c>
      <c r="AI1349" s="19"/>
      <c r="AJ1349" s="19"/>
      <c r="AK1349" s="19"/>
      <c r="AL1349" s="19"/>
      <c r="AM1349" s="19" t="n">
        <v>4</v>
      </c>
      <c r="AN1349" s="19" t="n">
        <v>2</v>
      </c>
      <c r="AO1349" s="19" t="n">
        <v>3</v>
      </c>
      <c r="AP1349" s="19" t="n">
        <v>7</v>
      </c>
      <c r="AQ1349" s="19"/>
      <c r="AR1349" s="19"/>
      <c r="AS1349" s="20" t="str">
        <f aca="false">HYPERLINK("http://www.openstreetmap.org/?mlat=30.649&amp;mlon=47.7713&amp;zoom=12#map=12/30.649/47.7713","Maplink1")</f>
        <v>Maplink1</v>
      </c>
      <c r="AT1349" s="20" t="str">
        <f aca="false">HYPERLINK("https://www.google.iq/maps/search/+30.649,47.7713/@30.649,47.7713,14z?hl=en","Maplink2")</f>
        <v>Maplink2</v>
      </c>
      <c r="AU1349" s="20" t="str">
        <f aca="false">HYPERLINK("http://www.bing.com/maps/?lvl=14&amp;sty=h&amp;cp=30.649~47.7713&amp;sp=point.30.649_47.7713","Maplink3")</f>
        <v>Maplink3</v>
      </c>
    </row>
    <row r="1350" customFormat="false" ht="15" hidden="false" customHeight="true" outlineLevel="0" collapsed="false">
      <c r="A1350" s="15" t="n">
        <v>21640</v>
      </c>
      <c r="B1350" s="16" t="s">
        <v>18</v>
      </c>
      <c r="C1350" s="16" t="s">
        <v>2670</v>
      </c>
      <c r="D1350" s="16" t="s">
        <v>2673</v>
      </c>
      <c r="E1350" s="17" t="s">
        <v>2674</v>
      </c>
      <c r="F1350" s="16" t="n">
        <v>30.59542502</v>
      </c>
      <c r="G1350" s="16" t="n">
        <v>47.7931088</v>
      </c>
      <c r="H1350" s="18" t="n">
        <v>6</v>
      </c>
      <c r="I1350" s="18" t="n">
        <v>36</v>
      </c>
      <c r="J1350" s="19" t="n">
        <v>4</v>
      </c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 t="n">
        <v>2</v>
      </c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 t="n">
        <v>6</v>
      </c>
      <c r="AI1350" s="19"/>
      <c r="AJ1350" s="19"/>
      <c r="AK1350" s="19"/>
      <c r="AL1350" s="19"/>
      <c r="AM1350" s="19"/>
      <c r="AN1350" s="19" t="n">
        <v>1</v>
      </c>
      <c r="AO1350" s="19" t="n">
        <v>5</v>
      </c>
      <c r="AP1350" s="19"/>
      <c r="AQ1350" s="19"/>
      <c r="AR1350" s="19"/>
      <c r="AS1350" s="20" t="str">
        <f aca="false">HYPERLINK("http://www.openstreetmap.org/?mlat=30.5954&amp;mlon=47.7931&amp;zoom=12#map=12/30.5954/47.7931","Maplink1")</f>
        <v>Maplink1</v>
      </c>
      <c r="AT1350" s="20" t="str">
        <f aca="false">HYPERLINK("https://www.google.iq/maps/search/+30.5954,47.7931/@30.5954,47.7931,14z?hl=en","Maplink2")</f>
        <v>Maplink2</v>
      </c>
      <c r="AU1350" s="20" t="str">
        <f aca="false">HYPERLINK("http://www.bing.com/maps/?lvl=14&amp;sty=h&amp;cp=30.5954~47.7931&amp;sp=point.30.5954_47.7931","Maplink3")</f>
        <v>Maplink3</v>
      </c>
    </row>
    <row r="1351" customFormat="false" ht="15" hidden="false" customHeight="true" outlineLevel="0" collapsed="false">
      <c r="A1351" s="15" t="n">
        <v>1032</v>
      </c>
      <c r="B1351" s="16" t="s">
        <v>18</v>
      </c>
      <c r="C1351" s="16" t="s">
        <v>2670</v>
      </c>
      <c r="D1351" s="16" t="s">
        <v>2675</v>
      </c>
      <c r="E1351" s="17" t="s">
        <v>2676</v>
      </c>
      <c r="F1351" s="16" t="n">
        <v>30.58558869</v>
      </c>
      <c r="G1351" s="16" t="n">
        <v>47.77835456</v>
      </c>
      <c r="H1351" s="18" t="n">
        <v>7</v>
      </c>
      <c r="I1351" s="18" t="n">
        <v>42</v>
      </c>
      <c r="J1351" s="19"/>
      <c r="K1351" s="19"/>
      <c r="L1351" s="19"/>
      <c r="M1351" s="19"/>
      <c r="N1351" s="19"/>
      <c r="O1351" s="19"/>
      <c r="P1351" s="19"/>
      <c r="Q1351" s="19"/>
      <c r="R1351" s="19" t="n">
        <v>1</v>
      </c>
      <c r="S1351" s="19"/>
      <c r="T1351" s="19"/>
      <c r="U1351" s="19"/>
      <c r="V1351" s="19" t="n">
        <v>5</v>
      </c>
      <c r="W1351" s="19"/>
      <c r="X1351" s="19" t="n">
        <v>1</v>
      </c>
      <c r="Y1351" s="19"/>
      <c r="Z1351" s="19"/>
      <c r="AA1351" s="19"/>
      <c r="AB1351" s="19"/>
      <c r="AC1351" s="19" t="n">
        <v>1</v>
      </c>
      <c r="AD1351" s="19"/>
      <c r="AE1351" s="19"/>
      <c r="AF1351" s="19"/>
      <c r="AG1351" s="19"/>
      <c r="AH1351" s="19" t="n">
        <v>6</v>
      </c>
      <c r="AI1351" s="19"/>
      <c r="AJ1351" s="19"/>
      <c r="AK1351" s="19"/>
      <c r="AL1351" s="19"/>
      <c r="AM1351" s="19"/>
      <c r="AN1351" s="19" t="n">
        <v>3</v>
      </c>
      <c r="AO1351" s="19" t="n">
        <v>3</v>
      </c>
      <c r="AP1351" s="19"/>
      <c r="AQ1351" s="19"/>
      <c r="AR1351" s="19" t="n">
        <v>1</v>
      </c>
      <c r="AS1351" s="20" t="str">
        <f aca="false">HYPERLINK("http://www.openstreetmap.org/?mlat=30.5856&amp;mlon=47.7784&amp;zoom=12#map=12/30.5856/47.7784","Maplink1")</f>
        <v>Maplink1</v>
      </c>
      <c r="AT1351" s="20" t="str">
        <f aca="false">HYPERLINK("https://www.google.iq/maps/search/+30.5856,47.7784/@30.5856,47.7784,14z?hl=en","Maplink2")</f>
        <v>Maplink2</v>
      </c>
      <c r="AU1351" s="20" t="str">
        <f aca="false">HYPERLINK("http://www.bing.com/maps/?lvl=14&amp;sty=h&amp;cp=30.5856~47.7784&amp;sp=point.30.5856_47.7784","Maplink3")</f>
        <v>Maplink3</v>
      </c>
    </row>
    <row r="1352" customFormat="false" ht="15" hidden="false" customHeight="true" outlineLevel="0" collapsed="false">
      <c r="A1352" s="15" t="n">
        <v>21829</v>
      </c>
      <c r="B1352" s="16" t="s">
        <v>18</v>
      </c>
      <c r="C1352" s="16" t="s">
        <v>2670</v>
      </c>
      <c r="D1352" s="16" t="s">
        <v>2677</v>
      </c>
      <c r="E1352" s="17" t="s">
        <v>2678</v>
      </c>
      <c r="F1352" s="16" t="n">
        <v>30.81851557</v>
      </c>
      <c r="G1352" s="16" t="n">
        <v>47.60308896</v>
      </c>
      <c r="H1352" s="18" t="n">
        <v>2</v>
      </c>
      <c r="I1352" s="18" t="n">
        <v>12</v>
      </c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 t="n">
        <v>2</v>
      </c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 t="n">
        <v>2</v>
      </c>
      <c r="AI1352" s="19"/>
      <c r="AJ1352" s="19"/>
      <c r="AK1352" s="19"/>
      <c r="AL1352" s="19"/>
      <c r="AM1352" s="19"/>
      <c r="AN1352" s="19"/>
      <c r="AO1352" s="19" t="n">
        <v>2</v>
      </c>
      <c r="AP1352" s="19"/>
      <c r="AQ1352" s="19"/>
      <c r="AR1352" s="19"/>
      <c r="AS1352" s="20" t="str">
        <f aca="false">HYPERLINK("http://www.openstreetmap.org/?mlat=30.8185&amp;mlon=47.6031&amp;zoom=12#map=12/30.8185/47.6031","Maplink1")</f>
        <v>Maplink1</v>
      </c>
      <c r="AT1352" s="20" t="str">
        <f aca="false">HYPERLINK("https://www.google.iq/maps/search/+30.8185,47.6031/@30.8185,47.6031,14z?hl=en","Maplink2")</f>
        <v>Maplink2</v>
      </c>
      <c r="AU1352" s="20" t="str">
        <f aca="false">HYPERLINK("http://www.bing.com/maps/?lvl=14&amp;sty=h&amp;cp=30.8185~47.6031&amp;sp=point.30.8185_47.6031","Maplink3")</f>
        <v>Maplink3</v>
      </c>
    </row>
    <row r="1353" customFormat="false" ht="15" hidden="false" customHeight="true" outlineLevel="0" collapsed="false">
      <c r="A1353" s="15" t="n">
        <v>25021</v>
      </c>
      <c r="B1353" s="16" t="s">
        <v>18</v>
      </c>
      <c r="C1353" s="16" t="s">
        <v>2670</v>
      </c>
      <c r="D1353" s="16" t="s">
        <v>2679</v>
      </c>
      <c r="E1353" s="17" t="s">
        <v>2680</v>
      </c>
      <c r="F1353" s="16" t="n">
        <v>30.89501469</v>
      </c>
      <c r="G1353" s="16" t="n">
        <v>47.52186991</v>
      </c>
      <c r="H1353" s="18" t="n">
        <v>13</v>
      </c>
      <c r="I1353" s="18" t="n">
        <v>78</v>
      </c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 t="n">
        <v>13</v>
      </c>
      <c r="W1353" s="19"/>
      <c r="X1353" s="19"/>
      <c r="Y1353" s="19"/>
      <c r="Z1353" s="19"/>
      <c r="AA1353" s="19"/>
      <c r="AB1353" s="19"/>
      <c r="AC1353" s="19" t="n">
        <v>4</v>
      </c>
      <c r="AD1353" s="19"/>
      <c r="AE1353" s="19"/>
      <c r="AF1353" s="19"/>
      <c r="AG1353" s="19" t="n">
        <v>9</v>
      </c>
      <c r="AH1353" s="19"/>
      <c r="AI1353" s="19"/>
      <c r="AJ1353" s="19"/>
      <c r="AK1353" s="19"/>
      <c r="AL1353" s="19"/>
      <c r="AM1353" s="19" t="n">
        <v>5</v>
      </c>
      <c r="AN1353" s="19" t="n">
        <v>4</v>
      </c>
      <c r="AO1353" s="19" t="n">
        <v>4</v>
      </c>
      <c r="AP1353" s="19"/>
      <c r="AQ1353" s="19"/>
      <c r="AR1353" s="19"/>
      <c r="AS1353" s="20" t="str">
        <f aca="false">HYPERLINK("http://www.openstreetmap.org/?mlat=30.895&amp;mlon=47.5219&amp;zoom=12#map=12/30.895/47.5219","Maplink1")</f>
        <v>Maplink1</v>
      </c>
      <c r="AT1353" s="20" t="str">
        <f aca="false">HYPERLINK("https://www.google.iq/maps/search/+30.895,47.5219/@30.895,47.5219,14z?hl=en","Maplink2")</f>
        <v>Maplink2</v>
      </c>
      <c r="AU1353" s="20" t="str">
        <f aca="false">HYPERLINK("http://www.bing.com/maps/?lvl=14&amp;sty=h&amp;cp=30.895~47.5219&amp;sp=point.30.895_47.5219","Maplink3")</f>
        <v>Maplink3</v>
      </c>
    </row>
    <row r="1354" customFormat="false" ht="15" hidden="false" customHeight="true" outlineLevel="0" collapsed="false">
      <c r="A1354" s="15" t="n">
        <v>23261</v>
      </c>
      <c r="B1354" s="16" t="s">
        <v>18</v>
      </c>
      <c r="C1354" s="16" t="s">
        <v>2670</v>
      </c>
      <c r="D1354" s="16" t="s">
        <v>2681</v>
      </c>
      <c r="E1354" s="17" t="s">
        <v>2682</v>
      </c>
      <c r="F1354" s="16" t="n">
        <v>30.51793205</v>
      </c>
      <c r="G1354" s="16" t="n">
        <v>47.85029459</v>
      </c>
      <c r="H1354" s="18" t="n">
        <v>3</v>
      </c>
      <c r="I1354" s="18" t="n">
        <v>18</v>
      </c>
      <c r="J1354" s="19"/>
      <c r="K1354" s="19"/>
      <c r="L1354" s="19" t="n">
        <v>2</v>
      </c>
      <c r="M1354" s="19"/>
      <c r="N1354" s="19"/>
      <c r="O1354" s="19" t="n">
        <v>1</v>
      </c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 t="n">
        <v>3</v>
      </c>
      <c r="AI1354" s="19"/>
      <c r="AJ1354" s="19"/>
      <c r="AK1354" s="19"/>
      <c r="AL1354" s="19" t="n">
        <v>1</v>
      </c>
      <c r="AM1354" s="19" t="n">
        <v>1</v>
      </c>
      <c r="AN1354" s="19"/>
      <c r="AO1354" s="19" t="n">
        <v>1</v>
      </c>
      <c r="AP1354" s="19"/>
      <c r="AQ1354" s="19"/>
      <c r="AR1354" s="19"/>
      <c r="AS1354" s="20" t="str">
        <f aca="false">HYPERLINK("http://www.openstreetmap.org/?mlat=30.5179&amp;mlon=47.8503&amp;zoom=12#map=12/30.5179/47.8503","Maplink1")</f>
        <v>Maplink1</v>
      </c>
      <c r="AT1354" s="20" t="str">
        <f aca="false">HYPERLINK("https://www.google.iq/maps/search/+30.5179,47.8503/@30.5179,47.8503,14z?hl=en","Maplink2")</f>
        <v>Maplink2</v>
      </c>
      <c r="AU1354" s="20" t="str">
        <f aca="false">HYPERLINK("http://www.bing.com/maps/?lvl=14&amp;sty=h&amp;cp=30.5179~47.8503&amp;sp=point.30.5179_47.8503","Maplink3")</f>
        <v>Maplink3</v>
      </c>
    </row>
    <row r="1355" customFormat="false" ht="15" hidden="false" customHeight="true" outlineLevel="0" collapsed="false">
      <c r="A1355" s="15" t="n">
        <v>1013</v>
      </c>
      <c r="B1355" s="16" t="s">
        <v>18</v>
      </c>
      <c r="C1355" s="16" t="s">
        <v>2670</v>
      </c>
      <c r="D1355" s="16" t="s">
        <v>2683</v>
      </c>
      <c r="E1355" s="17" t="s">
        <v>2684</v>
      </c>
      <c r="F1355" s="16" t="n">
        <v>30.59857812</v>
      </c>
      <c r="G1355" s="16" t="n">
        <v>47.80362424</v>
      </c>
      <c r="H1355" s="18" t="n">
        <v>5</v>
      </c>
      <c r="I1355" s="18" t="n">
        <v>30</v>
      </c>
      <c r="J1355" s="19" t="n">
        <v>2</v>
      </c>
      <c r="K1355" s="19"/>
      <c r="L1355" s="19"/>
      <c r="M1355" s="19"/>
      <c r="N1355" s="19"/>
      <c r="O1355" s="19"/>
      <c r="P1355" s="19"/>
      <c r="Q1355" s="19"/>
      <c r="R1355" s="19" t="n">
        <v>2</v>
      </c>
      <c r="S1355" s="19"/>
      <c r="T1355" s="19"/>
      <c r="U1355" s="19"/>
      <c r="V1355" s="19"/>
      <c r="W1355" s="19"/>
      <c r="X1355" s="19" t="n">
        <v>1</v>
      </c>
      <c r="Y1355" s="19"/>
      <c r="Z1355" s="19"/>
      <c r="AA1355" s="19"/>
      <c r="AB1355" s="19"/>
      <c r="AC1355" s="19" t="n">
        <v>1</v>
      </c>
      <c r="AD1355" s="19"/>
      <c r="AE1355" s="19"/>
      <c r="AF1355" s="19"/>
      <c r="AG1355" s="19" t="n">
        <v>3</v>
      </c>
      <c r="AH1355" s="19" t="n">
        <v>1</v>
      </c>
      <c r="AI1355" s="19"/>
      <c r="AJ1355" s="19"/>
      <c r="AK1355" s="19"/>
      <c r="AL1355" s="19"/>
      <c r="AM1355" s="19" t="n">
        <v>1</v>
      </c>
      <c r="AN1355" s="19" t="n">
        <v>1</v>
      </c>
      <c r="AO1355" s="19" t="n">
        <v>3</v>
      </c>
      <c r="AP1355" s="19"/>
      <c r="AQ1355" s="19"/>
      <c r="AR1355" s="19"/>
      <c r="AS1355" s="20" t="str">
        <f aca="false">HYPERLINK("http://www.openstreetmap.org/?mlat=30.5986&amp;mlon=47.8036&amp;zoom=12#map=12/30.5986/47.8036","Maplink1")</f>
        <v>Maplink1</v>
      </c>
      <c r="AT1355" s="20" t="str">
        <f aca="false">HYPERLINK("https://www.google.iq/maps/search/+30.5986,47.8036/@30.5986,47.8036,14z?hl=en","Maplink2")</f>
        <v>Maplink2</v>
      </c>
      <c r="AU1355" s="20" t="str">
        <f aca="false">HYPERLINK("http://www.bing.com/maps/?lvl=14&amp;sty=h&amp;cp=30.5986~47.8036&amp;sp=point.30.5986_47.8036","Maplink3")</f>
        <v>Maplink3</v>
      </c>
    </row>
    <row r="1356" customFormat="false" ht="15" hidden="false" customHeight="true" outlineLevel="0" collapsed="false">
      <c r="A1356" s="15" t="n">
        <v>1000</v>
      </c>
      <c r="B1356" s="16" t="s">
        <v>18</v>
      </c>
      <c r="C1356" s="16" t="s">
        <v>2670</v>
      </c>
      <c r="D1356" s="16" t="s">
        <v>2685</v>
      </c>
      <c r="E1356" s="17" t="s">
        <v>2686</v>
      </c>
      <c r="F1356" s="16" t="n">
        <v>30.57511919</v>
      </c>
      <c r="G1356" s="16" t="n">
        <v>47.81424193</v>
      </c>
      <c r="H1356" s="18" t="n">
        <v>3</v>
      </c>
      <c r="I1356" s="18" t="n">
        <v>18</v>
      </c>
      <c r="J1356" s="19"/>
      <c r="K1356" s="19"/>
      <c r="L1356" s="19"/>
      <c r="M1356" s="19"/>
      <c r="N1356" s="19"/>
      <c r="O1356" s="19"/>
      <c r="P1356" s="19"/>
      <c r="Q1356" s="19"/>
      <c r="R1356" s="19" t="n">
        <v>3</v>
      </c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 t="n">
        <v>3</v>
      </c>
      <c r="AI1356" s="19"/>
      <c r="AJ1356" s="19"/>
      <c r="AK1356" s="19"/>
      <c r="AL1356" s="19"/>
      <c r="AM1356" s="19" t="n">
        <v>3</v>
      </c>
      <c r="AN1356" s="19"/>
      <c r="AO1356" s="19"/>
      <c r="AP1356" s="19"/>
      <c r="AQ1356" s="19"/>
      <c r="AR1356" s="19"/>
      <c r="AS1356" s="20" t="str">
        <f aca="false">HYPERLINK("http://www.openstreetmap.org/?mlat=30.5751&amp;mlon=47.8142&amp;zoom=12#map=12/30.5751/47.8142","Maplink1")</f>
        <v>Maplink1</v>
      </c>
      <c r="AT1356" s="20" t="str">
        <f aca="false">HYPERLINK("https://www.google.iq/maps/search/+30.5751,47.8142/@30.5751,47.8142,14z?hl=en","Maplink2")</f>
        <v>Maplink2</v>
      </c>
      <c r="AU1356" s="20" t="str">
        <f aca="false">HYPERLINK("http://www.bing.com/maps/?lvl=14&amp;sty=h&amp;cp=30.5751~47.8142&amp;sp=point.30.5751_47.8142","Maplink3")</f>
        <v>Maplink3</v>
      </c>
    </row>
    <row r="1357" customFormat="false" ht="15" hidden="false" customHeight="true" outlineLevel="0" collapsed="false">
      <c r="A1357" s="15" t="n">
        <v>645</v>
      </c>
      <c r="B1357" s="16" t="s">
        <v>18</v>
      </c>
      <c r="C1357" s="16" t="s">
        <v>2670</v>
      </c>
      <c r="D1357" s="16" t="s">
        <v>2687</v>
      </c>
      <c r="E1357" s="17" t="s">
        <v>2688</v>
      </c>
      <c r="F1357" s="16" t="n">
        <v>30.51249501</v>
      </c>
      <c r="G1357" s="16" t="n">
        <v>47.85681495</v>
      </c>
      <c r="H1357" s="18" t="n">
        <v>11</v>
      </c>
      <c r="I1357" s="18" t="n">
        <v>66</v>
      </c>
      <c r="J1357" s="19"/>
      <c r="K1357" s="19"/>
      <c r="L1357" s="19" t="n">
        <v>8</v>
      </c>
      <c r="M1357" s="19"/>
      <c r="N1357" s="19"/>
      <c r="O1357" s="19" t="n">
        <v>1</v>
      </c>
      <c r="P1357" s="19"/>
      <c r="Q1357" s="19"/>
      <c r="R1357" s="19" t="n">
        <v>1</v>
      </c>
      <c r="S1357" s="19"/>
      <c r="T1357" s="19"/>
      <c r="U1357" s="19"/>
      <c r="V1357" s="19" t="n">
        <v>1</v>
      </c>
      <c r="W1357" s="19"/>
      <c r="X1357" s="19"/>
      <c r="Y1357" s="19"/>
      <c r="Z1357" s="19"/>
      <c r="AA1357" s="19"/>
      <c r="AB1357" s="19"/>
      <c r="AC1357" s="19"/>
      <c r="AD1357" s="19"/>
      <c r="AE1357" s="19" t="n">
        <v>10</v>
      </c>
      <c r="AF1357" s="19"/>
      <c r="AG1357" s="19"/>
      <c r="AH1357" s="19" t="n">
        <v>1</v>
      </c>
      <c r="AI1357" s="19"/>
      <c r="AJ1357" s="19"/>
      <c r="AK1357" s="19"/>
      <c r="AL1357" s="19"/>
      <c r="AM1357" s="19" t="n">
        <v>1</v>
      </c>
      <c r="AN1357" s="19"/>
      <c r="AO1357" s="19" t="n">
        <v>10</v>
      </c>
      <c r="AP1357" s="19"/>
      <c r="AQ1357" s="19"/>
      <c r="AR1357" s="19"/>
      <c r="AS1357" s="20" t="str">
        <f aca="false">HYPERLINK("http://www.openstreetmap.org/?mlat=30.5125&amp;mlon=47.8568&amp;zoom=12#map=12/30.5125/47.8568","Maplink1")</f>
        <v>Maplink1</v>
      </c>
      <c r="AT1357" s="20" t="str">
        <f aca="false">HYPERLINK("https://www.google.iq/maps/search/+30.5125,47.8568/@30.5125,47.8568,14z?hl=en","Maplink2")</f>
        <v>Maplink2</v>
      </c>
      <c r="AU1357" s="20" t="str">
        <f aca="false">HYPERLINK("http://www.bing.com/maps/?lvl=14&amp;sty=h&amp;cp=30.5125~47.8568&amp;sp=point.30.5125_47.8568","Maplink3")</f>
        <v>Maplink3</v>
      </c>
    </row>
    <row r="1358" customFormat="false" ht="15" hidden="false" customHeight="true" outlineLevel="0" collapsed="false">
      <c r="A1358" s="15" t="n">
        <v>925</v>
      </c>
      <c r="B1358" s="16" t="s">
        <v>18</v>
      </c>
      <c r="C1358" s="16" t="s">
        <v>2670</v>
      </c>
      <c r="D1358" s="16" t="s">
        <v>2689</v>
      </c>
      <c r="E1358" s="17" t="s">
        <v>2690</v>
      </c>
      <c r="F1358" s="16" t="n">
        <v>30.51602709</v>
      </c>
      <c r="G1358" s="16" t="n">
        <v>47.85492627</v>
      </c>
      <c r="H1358" s="18" t="n">
        <v>1</v>
      </c>
      <c r="I1358" s="18" t="n">
        <v>6</v>
      </c>
      <c r="J1358" s="19" t="n">
        <v>1</v>
      </c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 t="n">
        <v>1</v>
      </c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 t="n">
        <v>1</v>
      </c>
      <c r="AN1358" s="19"/>
      <c r="AO1358" s="19"/>
      <c r="AP1358" s="19"/>
      <c r="AQ1358" s="19"/>
      <c r="AR1358" s="19"/>
      <c r="AS1358" s="20" t="str">
        <f aca="false">HYPERLINK("http://www.openstreetmap.org/?mlat=30.516&amp;mlon=47.8549&amp;zoom=12#map=12/30.516/47.8549","Maplink1")</f>
        <v>Maplink1</v>
      </c>
      <c r="AT1358" s="20" t="str">
        <f aca="false">HYPERLINK("https://www.google.iq/maps/search/+30.516,47.8549/@30.516,47.8549,14z?hl=en","Maplink2")</f>
        <v>Maplink2</v>
      </c>
      <c r="AU1358" s="20" t="str">
        <f aca="false">HYPERLINK("http://www.bing.com/maps/?lvl=14&amp;sty=h&amp;cp=30.516~47.8549&amp;sp=point.30.516_47.8549","Maplink3")</f>
        <v>Maplink3</v>
      </c>
    </row>
    <row r="1359" customFormat="false" ht="15" hidden="false" customHeight="true" outlineLevel="0" collapsed="false">
      <c r="A1359" s="15" t="n">
        <v>960</v>
      </c>
      <c r="B1359" s="16" t="s">
        <v>18</v>
      </c>
      <c r="C1359" s="16" t="s">
        <v>2670</v>
      </c>
      <c r="D1359" s="16" t="s">
        <v>2691</v>
      </c>
      <c r="E1359" s="17" t="s">
        <v>2692</v>
      </c>
      <c r="F1359" s="16" t="n">
        <v>30.54068109</v>
      </c>
      <c r="G1359" s="16" t="n">
        <v>47.86163027</v>
      </c>
      <c r="H1359" s="18" t="n">
        <v>11</v>
      </c>
      <c r="I1359" s="18" t="n">
        <v>66</v>
      </c>
      <c r="J1359" s="19" t="n">
        <v>5</v>
      </c>
      <c r="K1359" s="19"/>
      <c r="L1359" s="19"/>
      <c r="M1359" s="19"/>
      <c r="N1359" s="19"/>
      <c r="O1359" s="19" t="n">
        <v>1</v>
      </c>
      <c r="P1359" s="19"/>
      <c r="Q1359" s="19"/>
      <c r="R1359" s="19" t="n">
        <v>1</v>
      </c>
      <c r="S1359" s="19"/>
      <c r="T1359" s="19"/>
      <c r="U1359" s="19"/>
      <c r="V1359" s="19" t="n">
        <v>1</v>
      </c>
      <c r="W1359" s="19"/>
      <c r="X1359" s="19" t="n">
        <v>3</v>
      </c>
      <c r="Y1359" s="19"/>
      <c r="Z1359" s="19"/>
      <c r="AA1359" s="19"/>
      <c r="AB1359" s="19"/>
      <c r="AC1359" s="19"/>
      <c r="AD1359" s="19"/>
      <c r="AE1359" s="19" t="n">
        <v>5</v>
      </c>
      <c r="AF1359" s="19"/>
      <c r="AG1359" s="19"/>
      <c r="AH1359" s="19" t="n">
        <v>6</v>
      </c>
      <c r="AI1359" s="19"/>
      <c r="AJ1359" s="19"/>
      <c r="AK1359" s="19"/>
      <c r="AL1359" s="19"/>
      <c r="AM1359" s="19" t="n">
        <v>5</v>
      </c>
      <c r="AN1359" s="19"/>
      <c r="AO1359" s="19" t="n">
        <v>6</v>
      </c>
      <c r="AP1359" s="19"/>
      <c r="AQ1359" s="19"/>
      <c r="AR1359" s="19"/>
      <c r="AS1359" s="20" t="str">
        <f aca="false">HYPERLINK("http://www.openstreetmap.org/?mlat=30.5407&amp;mlon=47.8616&amp;zoom=12#map=12/30.5407/47.8616","Maplink1")</f>
        <v>Maplink1</v>
      </c>
      <c r="AT1359" s="20" t="str">
        <f aca="false">HYPERLINK("https://www.google.iq/maps/search/+30.5407,47.8616/@30.5407,47.8616,14z?hl=en","Maplink2")</f>
        <v>Maplink2</v>
      </c>
      <c r="AU1359" s="20" t="str">
        <f aca="false">HYPERLINK("http://www.bing.com/maps/?lvl=14&amp;sty=h&amp;cp=30.5407~47.8616&amp;sp=point.30.5407_47.8616","Maplink3")</f>
        <v>Maplink3</v>
      </c>
    </row>
    <row r="1360" customFormat="false" ht="15" hidden="false" customHeight="true" outlineLevel="0" collapsed="false">
      <c r="A1360" s="15" t="n">
        <v>25723</v>
      </c>
      <c r="B1360" s="16" t="s">
        <v>18</v>
      </c>
      <c r="C1360" s="16" t="s">
        <v>2670</v>
      </c>
      <c r="D1360" s="16" t="s">
        <v>2693</v>
      </c>
      <c r="E1360" s="17" t="s">
        <v>2694</v>
      </c>
      <c r="F1360" s="16" t="n">
        <v>30.61781136</v>
      </c>
      <c r="G1360" s="16" t="n">
        <v>47.77315415</v>
      </c>
      <c r="H1360" s="18" t="n">
        <v>2</v>
      </c>
      <c r="I1360" s="18" t="n">
        <v>12</v>
      </c>
      <c r="J1360" s="19"/>
      <c r="K1360" s="19"/>
      <c r="L1360" s="19"/>
      <c r="M1360" s="19"/>
      <c r="N1360" s="19"/>
      <c r="O1360" s="19" t="n">
        <v>2</v>
      </c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 t="n">
        <v>2</v>
      </c>
      <c r="AI1360" s="19"/>
      <c r="AJ1360" s="19"/>
      <c r="AK1360" s="19"/>
      <c r="AL1360" s="19"/>
      <c r="AM1360" s="19" t="n">
        <v>2</v>
      </c>
      <c r="AN1360" s="19"/>
      <c r="AO1360" s="19"/>
      <c r="AP1360" s="19"/>
      <c r="AQ1360" s="19"/>
      <c r="AR1360" s="19"/>
      <c r="AS1360" s="20" t="str">
        <f aca="false">HYPERLINK("http://www.openstreetmap.org/?mlat=30.6178&amp;mlon=47.7732&amp;zoom=12#map=12/30.6178/47.7732","Maplink1")</f>
        <v>Maplink1</v>
      </c>
      <c r="AT1360" s="20" t="str">
        <f aca="false">HYPERLINK("https://www.google.iq/maps/search/+30.6178,47.7732/@30.6178,47.7732,14z?hl=en","Maplink2")</f>
        <v>Maplink2</v>
      </c>
      <c r="AU1360" s="20" t="str">
        <f aca="false">HYPERLINK("http://www.bing.com/maps/?lvl=14&amp;sty=h&amp;cp=30.6178~47.7732&amp;sp=point.30.6178_47.7732","Maplink3")</f>
        <v>Maplink3</v>
      </c>
    </row>
    <row r="1361" customFormat="false" ht="15" hidden="false" customHeight="true" outlineLevel="0" collapsed="false">
      <c r="A1361" s="15" t="n">
        <v>24232</v>
      </c>
      <c r="B1361" s="16" t="s">
        <v>18</v>
      </c>
      <c r="C1361" s="16" t="s">
        <v>2670</v>
      </c>
      <c r="D1361" s="16" t="s">
        <v>2695</v>
      </c>
      <c r="E1361" s="17" t="s">
        <v>2696</v>
      </c>
      <c r="F1361" s="16" t="n">
        <v>30.52832625</v>
      </c>
      <c r="G1361" s="16" t="n">
        <v>47.85424962</v>
      </c>
      <c r="H1361" s="18" t="n">
        <v>1</v>
      </c>
      <c r="I1361" s="18" t="n">
        <v>6</v>
      </c>
      <c r="J1361" s="19"/>
      <c r="K1361" s="19"/>
      <c r="L1361" s="19"/>
      <c r="M1361" s="19"/>
      <c r="N1361" s="19"/>
      <c r="O1361" s="19" t="n">
        <v>1</v>
      </c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 t="n">
        <v>1</v>
      </c>
      <c r="AI1361" s="19"/>
      <c r="AJ1361" s="19"/>
      <c r="AK1361" s="19"/>
      <c r="AL1361" s="19"/>
      <c r="AM1361" s="19" t="n">
        <v>1</v>
      </c>
      <c r="AN1361" s="19"/>
      <c r="AO1361" s="19"/>
      <c r="AP1361" s="19"/>
      <c r="AQ1361" s="19"/>
      <c r="AR1361" s="19"/>
      <c r="AS1361" s="20" t="str">
        <f aca="false">HYPERLINK("http://www.openstreetmap.org/?mlat=30.5283&amp;mlon=47.8542&amp;zoom=12#map=12/30.5283/47.8542","Maplink1")</f>
        <v>Maplink1</v>
      </c>
      <c r="AT1361" s="20" t="str">
        <f aca="false">HYPERLINK("https://www.google.iq/maps/search/+30.5283,47.8542/@30.5283,47.8542,14z?hl=en","Maplink2")</f>
        <v>Maplink2</v>
      </c>
      <c r="AU1361" s="20" t="str">
        <f aca="false">HYPERLINK("http://www.bing.com/maps/?lvl=14&amp;sty=h&amp;cp=30.5283~47.8542&amp;sp=point.30.5283_47.8542","Maplink3")</f>
        <v>Maplink3</v>
      </c>
    </row>
    <row r="1362" customFormat="false" ht="15" hidden="false" customHeight="true" outlineLevel="0" collapsed="false">
      <c r="A1362" s="15" t="n">
        <v>25461</v>
      </c>
      <c r="B1362" s="16" t="s">
        <v>18</v>
      </c>
      <c r="C1362" s="16" t="s">
        <v>2670</v>
      </c>
      <c r="D1362" s="16" t="s">
        <v>2697</v>
      </c>
      <c r="E1362" s="17" t="s">
        <v>2698</v>
      </c>
      <c r="F1362" s="16" t="n">
        <v>30.52976337</v>
      </c>
      <c r="G1362" s="16" t="n">
        <v>47.85782439</v>
      </c>
      <c r="H1362" s="18" t="n">
        <v>3</v>
      </c>
      <c r="I1362" s="18" t="n">
        <v>18</v>
      </c>
      <c r="J1362" s="19"/>
      <c r="K1362" s="19" t="n">
        <v>3</v>
      </c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 t="n">
        <v>3</v>
      </c>
      <c r="AI1362" s="19"/>
      <c r="AJ1362" s="19"/>
      <c r="AK1362" s="19"/>
      <c r="AL1362" s="19"/>
      <c r="AM1362" s="19" t="n">
        <v>3</v>
      </c>
      <c r="AN1362" s="19"/>
      <c r="AO1362" s="19"/>
      <c r="AP1362" s="19"/>
      <c r="AQ1362" s="19"/>
      <c r="AR1362" s="19"/>
      <c r="AS1362" s="20" t="str">
        <f aca="false">HYPERLINK("http://www.openstreetmap.org/?mlat=30.5298&amp;mlon=47.8578&amp;zoom=12#map=12/30.5298/47.8578","Maplink1")</f>
        <v>Maplink1</v>
      </c>
      <c r="AT1362" s="20" t="str">
        <f aca="false">HYPERLINK("https://www.google.iq/maps/search/+30.5298,47.8578/@30.5298,47.8578,14z?hl=en","Maplink2")</f>
        <v>Maplink2</v>
      </c>
      <c r="AU1362" s="20" t="str">
        <f aca="false">HYPERLINK("http://www.bing.com/maps/?lvl=14&amp;sty=h&amp;cp=30.5298~47.8578&amp;sp=point.30.5298_47.8578","Maplink3")</f>
        <v>Maplink3</v>
      </c>
    </row>
    <row r="1363" customFormat="false" ht="15" hidden="false" customHeight="true" outlineLevel="0" collapsed="false">
      <c r="A1363" s="15" t="n">
        <v>24531</v>
      </c>
      <c r="B1363" s="16" t="s">
        <v>18</v>
      </c>
      <c r="C1363" s="16" t="s">
        <v>2670</v>
      </c>
      <c r="D1363" s="16" t="s">
        <v>2699</v>
      </c>
      <c r="E1363" s="17" t="s">
        <v>2700</v>
      </c>
      <c r="F1363" s="16" t="n">
        <v>30.53245676</v>
      </c>
      <c r="G1363" s="16" t="n">
        <v>47.85178251</v>
      </c>
      <c r="H1363" s="18" t="n">
        <v>1</v>
      </c>
      <c r="I1363" s="18" t="n">
        <v>6</v>
      </c>
      <c r="J1363" s="19"/>
      <c r="K1363" s="19"/>
      <c r="L1363" s="19"/>
      <c r="M1363" s="19"/>
      <c r="N1363" s="19"/>
      <c r="O1363" s="19"/>
      <c r="P1363" s="19"/>
      <c r="Q1363" s="19"/>
      <c r="R1363" s="19" t="n">
        <v>1</v>
      </c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 t="n">
        <v>1</v>
      </c>
      <c r="AI1363" s="19"/>
      <c r="AJ1363" s="19"/>
      <c r="AK1363" s="19"/>
      <c r="AL1363" s="19"/>
      <c r="AM1363" s="19" t="n">
        <v>1</v>
      </c>
      <c r="AN1363" s="19"/>
      <c r="AO1363" s="19"/>
      <c r="AP1363" s="19"/>
      <c r="AQ1363" s="19"/>
      <c r="AR1363" s="19"/>
      <c r="AS1363" s="20" t="str">
        <f aca="false">HYPERLINK("http://www.openstreetmap.org/?mlat=30.5325&amp;mlon=47.8518&amp;zoom=12#map=12/30.5325/47.8518","Maplink1")</f>
        <v>Maplink1</v>
      </c>
      <c r="AT1363" s="20" t="str">
        <f aca="false">HYPERLINK("https://www.google.iq/maps/search/+30.5325,47.8518/@30.5325,47.8518,14z?hl=en","Maplink2")</f>
        <v>Maplink2</v>
      </c>
      <c r="AU1363" s="20" t="str">
        <f aca="false">HYPERLINK("http://www.bing.com/maps/?lvl=14&amp;sty=h&amp;cp=30.5325~47.8518&amp;sp=point.30.5325_47.8518","Maplink3")</f>
        <v>Maplink3</v>
      </c>
    </row>
    <row r="1364" customFormat="false" ht="15" hidden="false" customHeight="true" outlineLevel="0" collapsed="false">
      <c r="A1364" s="15" t="n">
        <v>28458</v>
      </c>
      <c r="B1364" s="16" t="s">
        <v>18</v>
      </c>
      <c r="C1364" s="16" t="s">
        <v>2670</v>
      </c>
      <c r="D1364" s="16" t="s">
        <v>2701</v>
      </c>
      <c r="E1364" s="17" t="s">
        <v>2702</v>
      </c>
      <c r="F1364" s="16" t="n">
        <v>30.53611282</v>
      </c>
      <c r="G1364" s="16" t="n">
        <v>47.85779019</v>
      </c>
      <c r="H1364" s="18" t="n">
        <v>1</v>
      </c>
      <c r="I1364" s="18" t="n">
        <v>6</v>
      </c>
      <c r="J1364" s="19" t="n">
        <v>1</v>
      </c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 t="n">
        <v>1</v>
      </c>
      <c r="AF1364" s="19"/>
      <c r="AG1364" s="19"/>
      <c r="AH1364" s="19"/>
      <c r="AI1364" s="19"/>
      <c r="AJ1364" s="19"/>
      <c r="AK1364" s="19"/>
      <c r="AL1364" s="19"/>
      <c r="AM1364" s="19"/>
      <c r="AN1364" s="19"/>
      <c r="AO1364" s="19" t="n">
        <v>1</v>
      </c>
      <c r="AP1364" s="19"/>
      <c r="AQ1364" s="19"/>
      <c r="AR1364" s="19"/>
      <c r="AS1364" s="20" t="str">
        <f aca="false">HYPERLINK("http://www.openstreetmap.org/?mlat=30.5361&amp;mlon=47.8578&amp;zoom=12#map=12/30.5361/47.8578","Maplink1")</f>
        <v>Maplink1</v>
      </c>
      <c r="AT1364" s="20" t="str">
        <f aca="false">HYPERLINK("https://www.google.iq/maps/search/+30.5361,47.8578/@30.5361,47.8578,14z?hl=en","Maplink2")</f>
        <v>Maplink2</v>
      </c>
      <c r="AU1364" s="20" t="str">
        <f aca="false">HYPERLINK("http://www.bing.com/maps/?lvl=14&amp;sty=h&amp;cp=30.5361~47.8578&amp;sp=point.30.5361_47.8578","Maplink3")</f>
        <v>Maplink3</v>
      </c>
    </row>
    <row r="1365" customFormat="false" ht="15" hidden="false" customHeight="true" outlineLevel="0" collapsed="false">
      <c r="A1365" s="15" t="n">
        <v>24775</v>
      </c>
      <c r="B1365" s="16" t="s">
        <v>18</v>
      </c>
      <c r="C1365" s="16" t="s">
        <v>2670</v>
      </c>
      <c r="D1365" s="16" t="s">
        <v>2703</v>
      </c>
      <c r="E1365" s="17" t="s">
        <v>2704</v>
      </c>
      <c r="F1365" s="16" t="n">
        <v>30.52958253</v>
      </c>
      <c r="G1365" s="16" t="n">
        <v>47.8494994</v>
      </c>
      <c r="H1365" s="18" t="n">
        <v>1</v>
      </c>
      <c r="I1365" s="18" t="n">
        <v>6</v>
      </c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 t="n">
        <v>1</v>
      </c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 t="n">
        <v>1</v>
      </c>
      <c r="AI1365" s="19"/>
      <c r="AJ1365" s="19"/>
      <c r="AK1365" s="19"/>
      <c r="AL1365" s="19"/>
      <c r="AM1365" s="19" t="n">
        <v>1</v>
      </c>
      <c r="AN1365" s="19"/>
      <c r="AO1365" s="19"/>
      <c r="AP1365" s="19"/>
      <c r="AQ1365" s="19"/>
      <c r="AR1365" s="19"/>
      <c r="AS1365" s="20" t="str">
        <f aca="false">HYPERLINK("http://www.openstreetmap.org/?mlat=30.5296&amp;mlon=47.8495&amp;zoom=12#map=12/30.5296/47.8495","Maplink1")</f>
        <v>Maplink1</v>
      </c>
      <c r="AT1365" s="20" t="str">
        <f aca="false">HYPERLINK("https://www.google.iq/maps/search/+30.5296,47.8495/@30.5296,47.8495,14z?hl=en","Maplink2")</f>
        <v>Maplink2</v>
      </c>
      <c r="AU1365" s="20" t="str">
        <f aca="false">HYPERLINK("http://www.bing.com/maps/?lvl=14&amp;sty=h&amp;cp=30.5296~47.8495&amp;sp=point.30.5296_47.8495","Maplink3")</f>
        <v>Maplink3</v>
      </c>
    </row>
    <row r="1366" customFormat="false" ht="15" hidden="false" customHeight="true" outlineLevel="0" collapsed="false">
      <c r="A1366" s="15" t="n">
        <v>25954</v>
      </c>
      <c r="B1366" s="16" t="s">
        <v>18</v>
      </c>
      <c r="C1366" s="16" t="s">
        <v>2670</v>
      </c>
      <c r="D1366" s="16" t="s">
        <v>2705</v>
      </c>
      <c r="E1366" s="17" t="s">
        <v>2706</v>
      </c>
      <c r="F1366" s="16" t="n">
        <v>30.5339503</v>
      </c>
      <c r="G1366" s="16" t="n">
        <v>47.85984862</v>
      </c>
      <c r="H1366" s="18" t="n">
        <v>1</v>
      </c>
      <c r="I1366" s="18" t="n">
        <v>6</v>
      </c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 t="n">
        <v>1</v>
      </c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 t="n">
        <v>1</v>
      </c>
      <c r="AI1366" s="19"/>
      <c r="AJ1366" s="19"/>
      <c r="AK1366" s="19"/>
      <c r="AL1366" s="19"/>
      <c r="AM1366" s="19" t="n">
        <v>1</v>
      </c>
      <c r="AN1366" s="19"/>
      <c r="AO1366" s="19"/>
      <c r="AP1366" s="19"/>
      <c r="AQ1366" s="19"/>
      <c r="AR1366" s="19"/>
      <c r="AS1366" s="20" t="str">
        <f aca="false">HYPERLINK("http://www.openstreetmap.org/?mlat=30.534&amp;mlon=47.8598&amp;zoom=12#map=12/30.534/47.8598","Maplink1")</f>
        <v>Maplink1</v>
      </c>
      <c r="AT1366" s="20" t="str">
        <f aca="false">HYPERLINK("https://www.google.iq/maps/search/+30.534,47.8598/@30.534,47.8598,14z?hl=en","Maplink2")</f>
        <v>Maplink2</v>
      </c>
      <c r="AU1366" s="20" t="str">
        <f aca="false">HYPERLINK("http://www.bing.com/maps/?lvl=14&amp;sty=h&amp;cp=30.534~47.8598&amp;sp=point.30.534_47.8598","Maplink3")</f>
        <v>Maplink3</v>
      </c>
    </row>
    <row r="1367" customFormat="false" ht="15" hidden="false" customHeight="true" outlineLevel="0" collapsed="false">
      <c r="A1367" s="15" t="n">
        <v>7861</v>
      </c>
      <c r="B1367" s="16" t="s">
        <v>19</v>
      </c>
      <c r="C1367" s="16" t="s">
        <v>2707</v>
      </c>
      <c r="D1367" s="16" t="s">
        <v>2707</v>
      </c>
      <c r="E1367" s="17" t="s">
        <v>2708</v>
      </c>
      <c r="F1367" s="16" t="n">
        <v>37.09100348</v>
      </c>
      <c r="G1367" s="16" t="n">
        <v>43.48912847</v>
      </c>
      <c r="H1367" s="18" t="n">
        <v>78</v>
      </c>
      <c r="I1367" s="18" t="n">
        <v>468</v>
      </c>
      <c r="J1367" s="19" t="n">
        <v>3</v>
      </c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 t="n">
        <v>75</v>
      </c>
      <c r="W1367" s="19"/>
      <c r="X1367" s="19"/>
      <c r="Y1367" s="19"/>
      <c r="Z1367" s="19"/>
      <c r="AA1367" s="19"/>
      <c r="AB1367" s="19"/>
      <c r="AC1367" s="19" t="n">
        <v>18</v>
      </c>
      <c r="AD1367" s="19"/>
      <c r="AE1367" s="19"/>
      <c r="AF1367" s="19"/>
      <c r="AG1367" s="19" t="n">
        <v>2</v>
      </c>
      <c r="AH1367" s="19" t="n">
        <v>58</v>
      </c>
      <c r="AI1367" s="19"/>
      <c r="AJ1367" s="19"/>
      <c r="AK1367" s="19"/>
      <c r="AL1367" s="19" t="n">
        <v>3</v>
      </c>
      <c r="AM1367" s="19" t="n">
        <v>6</v>
      </c>
      <c r="AN1367" s="19" t="n">
        <v>69</v>
      </c>
      <c r="AO1367" s="19"/>
      <c r="AP1367" s="19"/>
      <c r="AQ1367" s="19"/>
      <c r="AR1367" s="19"/>
      <c r="AS1367" s="20" t="str">
        <f aca="false">HYPERLINK("http://www.openstreetmap.org/?mlat=37.091&amp;mlon=43.4891&amp;zoom=12#map=12/37.091/43.4891","Maplink1")</f>
        <v>Maplink1</v>
      </c>
      <c r="AT1367" s="20" t="str">
        <f aca="false">HYPERLINK("https://www.google.iq/maps/search/+37.091,43.4891/@37.091,43.4891,14z?hl=en","Maplink2")</f>
        <v>Maplink2</v>
      </c>
      <c r="AU1367" s="20" t="str">
        <f aca="false">HYPERLINK("http://www.bing.com/maps/?lvl=14&amp;sty=h&amp;cp=37.091~43.4891&amp;sp=point.37.091_43.4891","Maplink3")</f>
        <v>Maplink3</v>
      </c>
    </row>
    <row r="1368" customFormat="false" ht="15" hidden="false" customHeight="true" outlineLevel="0" collapsed="false">
      <c r="A1368" s="15" t="n">
        <v>8171</v>
      </c>
      <c r="B1368" s="16" t="s">
        <v>19</v>
      </c>
      <c r="C1368" s="16" t="s">
        <v>2707</v>
      </c>
      <c r="D1368" s="16" t="s">
        <v>2709</v>
      </c>
      <c r="E1368" s="17" t="s">
        <v>2710</v>
      </c>
      <c r="F1368" s="16" t="n">
        <v>37.10880775</v>
      </c>
      <c r="G1368" s="16" t="n">
        <v>43.318699</v>
      </c>
      <c r="H1368" s="18" t="n">
        <v>45</v>
      </c>
      <c r="I1368" s="18" t="n">
        <v>270</v>
      </c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 t="n">
        <v>45</v>
      </c>
      <c r="W1368" s="19"/>
      <c r="X1368" s="19"/>
      <c r="Y1368" s="19"/>
      <c r="Z1368" s="19"/>
      <c r="AA1368" s="19"/>
      <c r="AB1368" s="19"/>
      <c r="AC1368" s="19" t="n">
        <v>33</v>
      </c>
      <c r="AD1368" s="19"/>
      <c r="AE1368" s="19"/>
      <c r="AF1368" s="19"/>
      <c r="AG1368" s="19"/>
      <c r="AH1368" s="19" t="n">
        <v>12</v>
      </c>
      <c r="AI1368" s="19"/>
      <c r="AJ1368" s="19"/>
      <c r="AK1368" s="19"/>
      <c r="AL1368" s="19"/>
      <c r="AM1368" s="19" t="n">
        <v>2</v>
      </c>
      <c r="AN1368" s="19" t="n">
        <v>43</v>
      </c>
      <c r="AO1368" s="19"/>
      <c r="AP1368" s="19"/>
      <c r="AQ1368" s="19"/>
      <c r="AR1368" s="19"/>
      <c r="AS1368" s="20" t="str">
        <f aca="false">HYPERLINK("http://www.openstreetmap.org/?mlat=37.1088&amp;mlon=43.3187&amp;zoom=12#map=12/37.1088/43.3187","Maplink1")</f>
        <v>Maplink1</v>
      </c>
      <c r="AT1368" s="20" t="str">
        <f aca="false">HYPERLINK("https://www.google.iq/maps/search/+37.1088,43.3187/@37.1088,43.3187,14z?hl=en","Maplink2")</f>
        <v>Maplink2</v>
      </c>
      <c r="AU1368" s="20" t="str">
        <f aca="false">HYPERLINK("http://www.bing.com/maps/?lvl=14&amp;sty=h&amp;cp=37.1088~43.3187&amp;sp=point.37.1088_43.3187","Maplink3")</f>
        <v>Maplink3</v>
      </c>
    </row>
    <row r="1369" customFormat="false" ht="15" hidden="false" customHeight="true" outlineLevel="0" collapsed="false">
      <c r="A1369" s="15" t="n">
        <v>7870</v>
      </c>
      <c r="B1369" s="16" t="s">
        <v>19</v>
      </c>
      <c r="C1369" s="16" t="s">
        <v>2707</v>
      </c>
      <c r="D1369" s="16" t="s">
        <v>2711</v>
      </c>
      <c r="E1369" s="17" t="s">
        <v>2712</v>
      </c>
      <c r="F1369" s="16" t="n">
        <v>37.02498521</v>
      </c>
      <c r="G1369" s="16" t="n">
        <v>43.29419444</v>
      </c>
      <c r="H1369" s="18" t="n">
        <v>50</v>
      </c>
      <c r="I1369" s="18" t="n">
        <v>300</v>
      </c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 t="n">
        <v>50</v>
      </c>
      <c r="W1369" s="19"/>
      <c r="X1369" s="19"/>
      <c r="Y1369" s="19"/>
      <c r="Z1369" s="19"/>
      <c r="AA1369" s="19"/>
      <c r="AB1369" s="19"/>
      <c r="AC1369" s="19" t="n">
        <v>13</v>
      </c>
      <c r="AD1369" s="19"/>
      <c r="AE1369" s="19"/>
      <c r="AF1369" s="19"/>
      <c r="AG1369" s="19"/>
      <c r="AH1369" s="19" t="n">
        <v>31</v>
      </c>
      <c r="AI1369" s="19"/>
      <c r="AJ1369" s="19" t="n">
        <v>6</v>
      </c>
      <c r="AK1369" s="19"/>
      <c r="AL1369" s="19"/>
      <c r="AM1369" s="19"/>
      <c r="AN1369" s="19" t="n">
        <v>50</v>
      </c>
      <c r="AO1369" s="19"/>
      <c r="AP1369" s="19"/>
      <c r="AQ1369" s="19"/>
      <c r="AR1369" s="19"/>
      <c r="AS1369" s="20" t="str">
        <f aca="false">HYPERLINK("http://www.openstreetmap.org/?mlat=37.025&amp;mlon=43.2942&amp;zoom=12#map=12/37.025/43.2942","Maplink1")</f>
        <v>Maplink1</v>
      </c>
      <c r="AT1369" s="20" t="str">
        <f aca="false">HYPERLINK("https://www.google.iq/maps/search/+37.025,43.2942/@37.025,43.2942,14z?hl=en","Maplink2")</f>
        <v>Maplink2</v>
      </c>
      <c r="AU1369" s="20" t="str">
        <f aca="false">HYPERLINK("http://www.bing.com/maps/?lvl=14&amp;sty=h&amp;cp=37.025~43.2942&amp;sp=point.37.025_43.2942","Maplink3")</f>
        <v>Maplink3</v>
      </c>
    </row>
    <row r="1370" customFormat="false" ht="15" hidden="false" customHeight="true" outlineLevel="0" collapsed="false">
      <c r="A1370" s="15" t="n">
        <v>22613</v>
      </c>
      <c r="B1370" s="16" t="s">
        <v>19</v>
      </c>
      <c r="C1370" s="16" t="s">
        <v>2707</v>
      </c>
      <c r="D1370" s="16" t="s">
        <v>2713</v>
      </c>
      <c r="E1370" s="17" t="s">
        <v>2714</v>
      </c>
      <c r="F1370" s="16" t="n">
        <v>37.04629708</v>
      </c>
      <c r="G1370" s="16" t="n">
        <v>43.36303719</v>
      </c>
      <c r="H1370" s="18" t="n">
        <v>37</v>
      </c>
      <c r="I1370" s="18" t="n">
        <v>222</v>
      </c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 t="n">
        <v>37</v>
      </c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 t="n">
        <v>33</v>
      </c>
      <c r="AI1370" s="19"/>
      <c r="AJ1370" s="19" t="n">
        <v>4</v>
      </c>
      <c r="AK1370" s="19"/>
      <c r="AL1370" s="19"/>
      <c r="AM1370" s="19"/>
      <c r="AN1370" s="19" t="n">
        <v>37</v>
      </c>
      <c r="AO1370" s="19"/>
      <c r="AP1370" s="19"/>
      <c r="AQ1370" s="19"/>
      <c r="AR1370" s="19"/>
      <c r="AS1370" s="20" t="str">
        <f aca="false">HYPERLINK("http://www.openstreetmap.org/?mlat=37.0463&amp;mlon=43.363&amp;zoom=12#map=12/37.0463/43.363","Maplink1")</f>
        <v>Maplink1</v>
      </c>
      <c r="AT1370" s="20" t="str">
        <f aca="false">HYPERLINK("https://www.google.iq/maps/search/+37.0463,43.363/@37.0463,43.363,14z?hl=en","Maplink2")</f>
        <v>Maplink2</v>
      </c>
      <c r="AU1370" s="20" t="str">
        <f aca="false">HYPERLINK("http://www.bing.com/maps/?lvl=14&amp;sty=h&amp;cp=37.0463~43.363&amp;sp=point.37.0463_43.363","Maplink3")</f>
        <v>Maplink3</v>
      </c>
    </row>
    <row r="1371" customFormat="false" ht="15" hidden="false" customHeight="true" outlineLevel="0" collapsed="false">
      <c r="A1371" s="15" t="n">
        <v>8189</v>
      </c>
      <c r="B1371" s="16" t="s">
        <v>19</v>
      </c>
      <c r="C1371" s="16" t="s">
        <v>2707</v>
      </c>
      <c r="D1371" s="16" t="s">
        <v>2715</v>
      </c>
      <c r="E1371" s="17" t="s">
        <v>2716</v>
      </c>
      <c r="F1371" s="16" t="n">
        <v>37.11905173</v>
      </c>
      <c r="G1371" s="16" t="n">
        <v>43.26697087</v>
      </c>
      <c r="H1371" s="18" t="n">
        <v>131</v>
      </c>
      <c r="I1371" s="18" t="n">
        <v>786</v>
      </c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 t="n">
        <v>131</v>
      </c>
      <c r="W1371" s="19"/>
      <c r="X1371" s="19"/>
      <c r="Y1371" s="19"/>
      <c r="Z1371" s="19"/>
      <c r="AA1371" s="19"/>
      <c r="AB1371" s="19"/>
      <c r="AC1371" s="19" t="n">
        <v>26</v>
      </c>
      <c r="AD1371" s="19"/>
      <c r="AE1371" s="19"/>
      <c r="AF1371" s="19"/>
      <c r="AG1371" s="19"/>
      <c r="AH1371" s="19" t="n">
        <v>6</v>
      </c>
      <c r="AI1371" s="19"/>
      <c r="AJ1371" s="19" t="n">
        <v>99</v>
      </c>
      <c r="AK1371" s="19"/>
      <c r="AL1371" s="19"/>
      <c r="AM1371" s="19"/>
      <c r="AN1371" s="19" t="n">
        <v>131</v>
      </c>
      <c r="AO1371" s="19"/>
      <c r="AP1371" s="19"/>
      <c r="AQ1371" s="19"/>
      <c r="AR1371" s="19"/>
      <c r="AS1371" s="20" t="str">
        <f aca="false">HYPERLINK("http://www.openstreetmap.org/?mlat=37.1191&amp;mlon=43.267&amp;zoom=12#map=12/37.1191/43.267","Maplink1")</f>
        <v>Maplink1</v>
      </c>
      <c r="AT1371" s="20" t="str">
        <f aca="false">HYPERLINK("https://www.google.iq/maps/search/+37.1191,43.267/@37.1191,43.267,14z?hl=en","Maplink2")</f>
        <v>Maplink2</v>
      </c>
      <c r="AU1371" s="20" t="str">
        <f aca="false">HYPERLINK("http://www.bing.com/maps/?lvl=14&amp;sty=h&amp;cp=37.1191~43.267&amp;sp=point.37.1191_43.267","Maplink3")</f>
        <v>Maplink3</v>
      </c>
    </row>
    <row r="1372" customFormat="false" ht="15" hidden="false" customHeight="true" outlineLevel="0" collapsed="false">
      <c r="A1372" s="15" t="n">
        <v>7770</v>
      </c>
      <c r="B1372" s="16" t="s">
        <v>19</v>
      </c>
      <c r="C1372" s="16" t="s">
        <v>2707</v>
      </c>
      <c r="D1372" s="16" t="s">
        <v>2717</v>
      </c>
      <c r="E1372" s="17" t="s">
        <v>2718</v>
      </c>
      <c r="F1372" s="16" t="n">
        <v>36.93906877</v>
      </c>
      <c r="G1372" s="16" t="n">
        <v>43.40908906</v>
      </c>
      <c r="H1372" s="18" t="n">
        <v>96</v>
      </c>
      <c r="I1372" s="18" t="n">
        <v>576</v>
      </c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 t="n">
        <v>96</v>
      </c>
      <c r="W1372" s="19"/>
      <c r="X1372" s="19"/>
      <c r="Y1372" s="19"/>
      <c r="Z1372" s="19"/>
      <c r="AA1372" s="19"/>
      <c r="AB1372" s="19"/>
      <c r="AC1372" s="19" t="n">
        <v>39</v>
      </c>
      <c r="AD1372" s="19"/>
      <c r="AE1372" s="19" t="n">
        <v>3</v>
      </c>
      <c r="AF1372" s="19"/>
      <c r="AG1372" s="19"/>
      <c r="AH1372" s="19" t="n">
        <v>54</v>
      </c>
      <c r="AI1372" s="19"/>
      <c r="AJ1372" s="19"/>
      <c r="AK1372" s="19"/>
      <c r="AL1372" s="19"/>
      <c r="AM1372" s="19" t="n">
        <v>20</v>
      </c>
      <c r="AN1372" s="19" t="n">
        <v>76</v>
      </c>
      <c r="AO1372" s="19"/>
      <c r="AP1372" s="19"/>
      <c r="AQ1372" s="19"/>
      <c r="AR1372" s="19"/>
      <c r="AS1372" s="20" t="str">
        <f aca="false">HYPERLINK("http://www.openstreetmap.org/?mlat=36.9391&amp;mlon=43.4091&amp;zoom=12#map=12/36.9391/43.4091","Maplink1")</f>
        <v>Maplink1</v>
      </c>
      <c r="AT1372" s="20" t="str">
        <f aca="false">HYPERLINK("https://www.google.iq/maps/search/+36.9391,43.4091/@36.9391,43.4091,14z?hl=en","Maplink2")</f>
        <v>Maplink2</v>
      </c>
      <c r="AU1372" s="20" t="str">
        <f aca="false">HYPERLINK("http://www.bing.com/maps/?lvl=14&amp;sty=h&amp;cp=36.9391~43.4091&amp;sp=point.36.9391_43.4091","Maplink3")</f>
        <v>Maplink3</v>
      </c>
    </row>
    <row r="1373" customFormat="false" ht="15" hidden="false" customHeight="true" outlineLevel="0" collapsed="false">
      <c r="A1373" s="15" t="n">
        <v>24920</v>
      </c>
      <c r="B1373" s="16" t="s">
        <v>19</v>
      </c>
      <c r="C1373" s="16" t="s">
        <v>2707</v>
      </c>
      <c r="D1373" s="16" t="s">
        <v>2719</v>
      </c>
      <c r="E1373" s="17" t="s">
        <v>2720</v>
      </c>
      <c r="F1373" s="16" t="n">
        <v>37.09365377</v>
      </c>
      <c r="G1373" s="16" t="n">
        <v>43.22686996</v>
      </c>
      <c r="H1373" s="18" t="n">
        <v>729</v>
      </c>
      <c r="I1373" s="18" t="n">
        <v>4374</v>
      </c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 t="n">
        <v>729</v>
      </c>
      <c r="W1373" s="19"/>
      <c r="X1373" s="19"/>
      <c r="Y1373" s="19"/>
      <c r="Z1373" s="19"/>
      <c r="AA1373" s="19"/>
      <c r="AB1373" s="19" t="n">
        <v>729</v>
      </c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 t="n">
        <v>8</v>
      </c>
      <c r="AN1373" s="19" t="n">
        <v>721</v>
      </c>
      <c r="AO1373" s="19"/>
      <c r="AP1373" s="19"/>
      <c r="AQ1373" s="19"/>
      <c r="AR1373" s="19"/>
      <c r="AS1373" s="20" t="str">
        <f aca="false">HYPERLINK("http://www.openstreetmap.org/?mlat=37.0937&amp;mlon=43.2269&amp;zoom=12#map=12/37.0937/43.2269","Maplink1")</f>
        <v>Maplink1</v>
      </c>
      <c r="AT1373" s="20" t="str">
        <f aca="false">HYPERLINK("https://www.google.iq/maps/search/+37.0937,43.2269/@37.0937,43.2269,14z?hl=en","Maplink2")</f>
        <v>Maplink2</v>
      </c>
      <c r="AU1373" s="20" t="str">
        <f aca="false">HYPERLINK("http://www.bing.com/maps/?lvl=14&amp;sty=h&amp;cp=37.0937~43.2269&amp;sp=point.37.0937_43.2269","Maplink3")</f>
        <v>Maplink3</v>
      </c>
    </row>
    <row r="1374" customFormat="false" ht="15" hidden="false" customHeight="true" outlineLevel="0" collapsed="false">
      <c r="A1374" s="15" t="n">
        <v>8229</v>
      </c>
      <c r="B1374" s="16" t="s">
        <v>19</v>
      </c>
      <c r="C1374" s="16" t="s">
        <v>2707</v>
      </c>
      <c r="D1374" s="16" t="s">
        <v>2721</v>
      </c>
      <c r="E1374" s="17" t="s">
        <v>2722</v>
      </c>
      <c r="F1374" s="16" t="n">
        <v>37.05527899</v>
      </c>
      <c r="G1374" s="16" t="n">
        <v>43.65219967</v>
      </c>
      <c r="H1374" s="18" t="n">
        <v>115</v>
      </c>
      <c r="I1374" s="18" t="n">
        <v>690</v>
      </c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 t="n">
        <v>115</v>
      </c>
      <c r="W1374" s="19"/>
      <c r="X1374" s="19"/>
      <c r="Y1374" s="19"/>
      <c r="Z1374" s="19"/>
      <c r="AA1374" s="19"/>
      <c r="AB1374" s="19"/>
      <c r="AC1374" s="19" t="n">
        <v>60</v>
      </c>
      <c r="AD1374" s="19"/>
      <c r="AE1374" s="19"/>
      <c r="AF1374" s="19"/>
      <c r="AG1374" s="19"/>
      <c r="AH1374" s="19" t="n">
        <v>49</v>
      </c>
      <c r="AI1374" s="19"/>
      <c r="AJ1374" s="19" t="n">
        <v>6</v>
      </c>
      <c r="AK1374" s="19"/>
      <c r="AL1374" s="19"/>
      <c r="AM1374" s="19" t="n">
        <v>55</v>
      </c>
      <c r="AN1374" s="19" t="n">
        <v>60</v>
      </c>
      <c r="AO1374" s="19"/>
      <c r="AP1374" s="19"/>
      <c r="AQ1374" s="19"/>
      <c r="AR1374" s="19"/>
      <c r="AS1374" s="20" t="str">
        <f aca="false">HYPERLINK("http://www.openstreetmap.org/?mlat=37.0553&amp;mlon=43.6522&amp;zoom=12#map=12/37.0553/43.6522","Maplink1")</f>
        <v>Maplink1</v>
      </c>
      <c r="AT1374" s="20" t="str">
        <f aca="false">HYPERLINK("https://www.google.iq/maps/search/+37.0553,43.6522/@37.0553,43.6522,14z?hl=en","Maplink2")</f>
        <v>Maplink2</v>
      </c>
      <c r="AU1374" s="20" t="str">
        <f aca="false">HYPERLINK("http://www.bing.com/maps/?lvl=14&amp;sty=h&amp;cp=37.0553~43.6522&amp;sp=point.37.0553_43.6522","Maplink3")</f>
        <v>Maplink3</v>
      </c>
    </row>
    <row r="1375" customFormat="false" ht="15" hidden="false" customHeight="true" outlineLevel="0" collapsed="false">
      <c r="A1375" s="15" t="n">
        <v>7860</v>
      </c>
      <c r="B1375" s="16" t="s">
        <v>19</v>
      </c>
      <c r="C1375" s="16" t="s">
        <v>2707</v>
      </c>
      <c r="D1375" s="16" t="s">
        <v>2723</v>
      </c>
      <c r="E1375" s="17" t="s">
        <v>2724</v>
      </c>
      <c r="F1375" s="16" t="n">
        <v>37.10708176</v>
      </c>
      <c r="G1375" s="16" t="n">
        <v>43.36073628</v>
      </c>
      <c r="H1375" s="18" t="n">
        <v>271</v>
      </c>
      <c r="I1375" s="18" t="n">
        <v>1626</v>
      </c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 t="n">
        <v>271</v>
      </c>
      <c r="W1375" s="19"/>
      <c r="X1375" s="19"/>
      <c r="Y1375" s="19"/>
      <c r="Z1375" s="19"/>
      <c r="AA1375" s="19"/>
      <c r="AB1375" s="19"/>
      <c r="AC1375" s="19" t="n">
        <v>15</v>
      </c>
      <c r="AD1375" s="19"/>
      <c r="AE1375" s="19"/>
      <c r="AF1375" s="19"/>
      <c r="AG1375" s="19" t="n">
        <v>8</v>
      </c>
      <c r="AH1375" s="19" t="n">
        <v>17</v>
      </c>
      <c r="AI1375" s="19"/>
      <c r="AJ1375" s="19" t="n">
        <v>231</v>
      </c>
      <c r="AK1375" s="19"/>
      <c r="AL1375" s="19"/>
      <c r="AM1375" s="19" t="n">
        <v>4</v>
      </c>
      <c r="AN1375" s="19" t="n">
        <v>267</v>
      </c>
      <c r="AO1375" s="19"/>
      <c r="AP1375" s="19"/>
      <c r="AQ1375" s="19"/>
      <c r="AR1375" s="19"/>
      <c r="AS1375" s="20" t="str">
        <f aca="false">HYPERLINK("http://www.openstreetmap.org/?mlat=37.1071&amp;mlon=43.3607&amp;zoom=12#map=12/37.1071/43.3607","Maplink1")</f>
        <v>Maplink1</v>
      </c>
      <c r="AT1375" s="20" t="str">
        <f aca="false">HYPERLINK("https://www.google.iq/maps/search/+37.1071,43.3607/@37.1071,43.3607,14z?hl=en","Maplink2")</f>
        <v>Maplink2</v>
      </c>
      <c r="AU1375" s="20" t="str">
        <f aca="false">HYPERLINK("http://www.bing.com/maps/?lvl=14&amp;sty=h&amp;cp=37.1071~43.3607&amp;sp=point.37.1071_43.3607","Maplink3")</f>
        <v>Maplink3</v>
      </c>
    </row>
    <row r="1376" customFormat="false" ht="15" hidden="false" customHeight="true" outlineLevel="0" collapsed="false">
      <c r="A1376" s="15" t="n">
        <v>29567</v>
      </c>
      <c r="B1376" s="16" t="s">
        <v>19</v>
      </c>
      <c r="C1376" s="16" t="s">
        <v>2707</v>
      </c>
      <c r="D1376" s="16" t="s">
        <v>2725</v>
      </c>
      <c r="E1376" s="17" t="s">
        <v>2726</v>
      </c>
      <c r="F1376" s="16" t="n">
        <v>37.08562847</v>
      </c>
      <c r="G1376" s="16" t="n">
        <v>43.52375437</v>
      </c>
      <c r="H1376" s="18" t="n">
        <v>49</v>
      </c>
      <c r="I1376" s="18" t="n">
        <v>294</v>
      </c>
      <c r="J1376" s="19" t="n">
        <v>2</v>
      </c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 t="n">
        <v>47</v>
      </c>
      <c r="W1376" s="19"/>
      <c r="X1376" s="19"/>
      <c r="Y1376" s="19"/>
      <c r="Z1376" s="19"/>
      <c r="AA1376" s="19"/>
      <c r="AB1376" s="19"/>
      <c r="AC1376" s="19" t="n">
        <v>16</v>
      </c>
      <c r="AD1376" s="19"/>
      <c r="AE1376" s="19"/>
      <c r="AF1376" s="19"/>
      <c r="AG1376" s="19" t="n">
        <v>3</v>
      </c>
      <c r="AH1376" s="19" t="n">
        <v>25</v>
      </c>
      <c r="AI1376" s="19"/>
      <c r="AJ1376" s="19" t="n">
        <v>5</v>
      </c>
      <c r="AK1376" s="19"/>
      <c r="AL1376" s="19" t="n">
        <v>2</v>
      </c>
      <c r="AM1376" s="19" t="n">
        <v>2</v>
      </c>
      <c r="AN1376" s="19" t="n">
        <v>45</v>
      </c>
      <c r="AO1376" s="19"/>
      <c r="AP1376" s="19"/>
      <c r="AQ1376" s="19"/>
      <c r="AR1376" s="19"/>
      <c r="AS1376" s="20" t="str">
        <f aca="false">HYPERLINK("http://www.openstreetmap.org/?mlat=37.0856&amp;mlon=43.5238&amp;zoom=12#map=12/37.0856/43.5238","Maplink1")</f>
        <v>Maplink1</v>
      </c>
      <c r="AT1376" s="20" t="str">
        <f aca="false">HYPERLINK("https://www.google.iq/maps/search/+37.0856,43.5238/@37.0856,43.5238,14z?hl=en","Maplink2")</f>
        <v>Maplink2</v>
      </c>
      <c r="AU1376" s="20" t="str">
        <f aca="false">HYPERLINK("http://www.bing.com/maps/?lvl=14&amp;sty=h&amp;cp=37.0856~43.5238&amp;sp=point.37.0856_43.5238","Maplink3")</f>
        <v>Maplink3</v>
      </c>
    </row>
    <row r="1377" customFormat="false" ht="15" hidden="false" customHeight="true" outlineLevel="0" collapsed="false">
      <c r="A1377" s="15" t="n">
        <v>8443</v>
      </c>
      <c r="B1377" s="16" t="s">
        <v>19</v>
      </c>
      <c r="C1377" s="16" t="s">
        <v>2707</v>
      </c>
      <c r="D1377" s="16" t="s">
        <v>2727</v>
      </c>
      <c r="E1377" s="17" t="s">
        <v>2728</v>
      </c>
      <c r="F1377" s="16" t="n">
        <v>37.22834343</v>
      </c>
      <c r="G1377" s="16" t="n">
        <v>43.43815503</v>
      </c>
      <c r="H1377" s="18" t="n">
        <v>50</v>
      </c>
      <c r="I1377" s="18" t="n">
        <v>300</v>
      </c>
      <c r="J1377" s="19" t="n">
        <v>1</v>
      </c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 t="n">
        <v>49</v>
      </c>
      <c r="W1377" s="19"/>
      <c r="X1377" s="19"/>
      <c r="Y1377" s="19"/>
      <c r="Z1377" s="19"/>
      <c r="AA1377" s="19"/>
      <c r="AB1377" s="19"/>
      <c r="AC1377" s="19" t="n">
        <v>50</v>
      </c>
      <c r="AD1377" s="19"/>
      <c r="AE1377" s="19"/>
      <c r="AF1377" s="19"/>
      <c r="AG1377" s="19"/>
      <c r="AH1377" s="19"/>
      <c r="AI1377" s="19"/>
      <c r="AJ1377" s="19"/>
      <c r="AK1377" s="19"/>
      <c r="AL1377" s="19" t="n">
        <v>1</v>
      </c>
      <c r="AM1377" s="19" t="n">
        <v>15</v>
      </c>
      <c r="AN1377" s="19" t="n">
        <v>34</v>
      </c>
      <c r="AO1377" s="19"/>
      <c r="AP1377" s="19"/>
      <c r="AQ1377" s="19"/>
      <c r="AR1377" s="19"/>
      <c r="AS1377" s="20" t="str">
        <f aca="false">HYPERLINK("http://www.openstreetmap.org/?mlat=37.2283&amp;mlon=43.4382&amp;zoom=12#map=12/37.2283/43.4382","Maplink1")</f>
        <v>Maplink1</v>
      </c>
      <c r="AT1377" s="20" t="str">
        <f aca="false">HYPERLINK("https://www.google.iq/maps/search/+37.2283,43.4382/@37.2283,43.4382,14z?hl=en","Maplink2")</f>
        <v>Maplink2</v>
      </c>
      <c r="AU1377" s="20" t="str">
        <f aca="false">HYPERLINK("http://www.bing.com/maps/?lvl=14&amp;sty=h&amp;cp=37.2283~43.4382&amp;sp=point.37.2283_43.4382","Maplink3")</f>
        <v>Maplink3</v>
      </c>
    </row>
    <row r="1378" customFormat="false" ht="15" hidden="false" customHeight="true" outlineLevel="0" collapsed="false">
      <c r="A1378" s="15" t="n">
        <v>23903</v>
      </c>
      <c r="B1378" s="16" t="s">
        <v>19</v>
      </c>
      <c r="C1378" s="16" t="s">
        <v>2707</v>
      </c>
      <c r="D1378" s="16" t="s">
        <v>2729</v>
      </c>
      <c r="E1378" s="17" t="s">
        <v>2730</v>
      </c>
      <c r="F1378" s="16" t="n">
        <v>37.10266479</v>
      </c>
      <c r="G1378" s="16" t="n">
        <v>43.48534587</v>
      </c>
      <c r="H1378" s="18" t="n">
        <v>175</v>
      </c>
      <c r="I1378" s="18" t="n">
        <v>1050</v>
      </c>
      <c r="J1378" s="19" t="n">
        <v>20</v>
      </c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 t="n">
        <v>153</v>
      </c>
      <c r="W1378" s="19"/>
      <c r="X1378" s="19" t="n">
        <v>2</v>
      </c>
      <c r="Y1378" s="19"/>
      <c r="Z1378" s="19"/>
      <c r="AA1378" s="19"/>
      <c r="AB1378" s="19"/>
      <c r="AC1378" s="19" t="n">
        <v>56</v>
      </c>
      <c r="AD1378" s="19" t="n">
        <v>31</v>
      </c>
      <c r="AE1378" s="19"/>
      <c r="AF1378" s="19"/>
      <c r="AG1378" s="19"/>
      <c r="AH1378" s="19" t="n">
        <v>47</v>
      </c>
      <c r="AI1378" s="19"/>
      <c r="AJ1378" s="19" t="n">
        <v>41</v>
      </c>
      <c r="AK1378" s="19"/>
      <c r="AL1378" s="19" t="n">
        <v>20</v>
      </c>
      <c r="AM1378" s="19" t="n">
        <v>27</v>
      </c>
      <c r="AN1378" s="19" t="n">
        <v>128</v>
      </c>
      <c r="AO1378" s="19"/>
      <c r="AP1378" s="19"/>
      <c r="AQ1378" s="19"/>
      <c r="AR1378" s="19"/>
      <c r="AS1378" s="20" t="str">
        <f aca="false">HYPERLINK("http://www.openstreetmap.org/?mlat=37.1027&amp;mlon=43.4853&amp;zoom=12#map=12/37.1027/43.4853","Maplink1")</f>
        <v>Maplink1</v>
      </c>
      <c r="AT1378" s="20" t="str">
        <f aca="false">HYPERLINK("https://www.google.iq/maps/search/+37.1027,43.4853/@37.1027,43.4853,14z?hl=en","Maplink2")</f>
        <v>Maplink2</v>
      </c>
      <c r="AU1378" s="20" t="str">
        <f aca="false">HYPERLINK("http://www.bing.com/maps/?lvl=14&amp;sty=h&amp;cp=37.1027~43.4853&amp;sp=point.37.1027_43.4853","Maplink3")</f>
        <v>Maplink3</v>
      </c>
    </row>
    <row r="1379" customFormat="false" ht="15" hidden="false" customHeight="true" outlineLevel="0" collapsed="false">
      <c r="A1379" s="15" t="n">
        <v>7768</v>
      </c>
      <c r="B1379" s="16" t="s">
        <v>19</v>
      </c>
      <c r="C1379" s="16" t="s">
        <v>2707</v>
      </c>
      <c r="D1379" s="16" t="s">
        <v>2731</v>
      </c>
      <c r="E1379" s="17" t="s">
        <v>2732</v>
      </c>
      <c r="F1379" s="16" t="n">
        <v>36.94503677</v>
      </c>
      <c r="G1379" s="16" t="n">
        <v>43.39186516</v>
      </c>
      <c r="H1379" s="18" t="n">
        <v>51</v>
      </c>
      <c r="I1379" s="18" t="n">
        <v>306</v>
      </c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 t="n">
        <v>51</v>
      </c>
      <c r="W1379" s="19"/>
      <c r="X1379" s="19"/>
      <c r="Y1379" s="19"/>
      <c r="Z1379" s="19"/>
      <c r="AA1379" s="19"/>
      <c r="AB1379" s="19"/>
      <c r="AC1379" s="19" t="n">
        <v>51</v>
      </c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 t="n">
        <v>3</v>
      </c>
      <c r="AN1379" s="19" t="n">
        <v>48</v>
      </c>
      <c r="AO1379" s="19"/>
      <c r="AP1379" s="19"/>
      <c r="AQ1379" s="19"/>
      <c r="AR1379" s="19"/>
      <c r="AS1379" s="20" t="str">
        <f aca="false">HYPERLINK("http://www.openstreetmap.org/?mlat=36.945&amp;mlon=43.3919&amp;zoom=12#map=12/36.945/43.3919","Maplink1")</f>
        <v>Maplink1</v>
      </c>
      <c r="AT1379" s="20" t="str">
        <f aca="false">HYPERLINK("https://www.google.iq/maps/search/+36.945,43.3919/@36.945,43.3919,14z?hl=en","Maplink2")</f>
        <v>Maplink2</v>
      </c>
      <c r="AU1379" s="20" t="str">
        <f aca="false">HYPERLINK("http://www.bing.com/maps/?lvl=14&amp;sty=h&amp;cp=36.945~43.3919&amp;sp=point.36.945_43.3919","Maplink3")</f>
        <v>Maplink3</v>
      </c>
    </row>
    <row r="1380" customFormat="false" ht="15" hidden="false" customHeight="true" outlineLevel="0" collapsed="false">
      <c r="A1380" s="15" t="n">
        <v>27120</v>
      </c>
      <c r="B1380" s="16" t="s">
        <v>19</v>
      </c>
      <c r="C1380" s="16" t="s">
        <v>2707</v>
      </c>
      <c r="D1380" s="16" t="s">
        <v>2733</v>
      </c>
      <c r="E1380" s="17" t="s">
        <v>2734</v>
      </c>
      <c r="F1380" s="16" t="n">
        <v>36.86370972</v>
      </c>
      <c r="G1380" s="16" t="n">
        <v>43.69317721</v>
      </c>
      <c r="H1380" s="18" t="n">
        <v>49</v>
      </c>
      <c r="I1380" s="18" t="n">
        <v>294</v>
      </c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 t="n">
        <v>49</v>
      </c>
      <c r="W1380" s="19"/>
      <c r="X1380" s="19"/>
      <c r="Y1380" s="19"/>
      <c r="Z1380" s="19"/>
      <c r="AA1380" s="19"/>
      <c r="AB1380" s="19"/>
      <c r="AC1380" s="19" t="n">
        <v>49</v>
      </c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 t="n">
        <v>49</v>
      </c>
      <c r="AO1380" s="19"/>
      <c r="AP1380" s="19"/>
      <c r="AQ1380" s="19"/>
      <c r="AR1380" s="19"/>
      <c r="AS1380" s="20" t="str">
        <f aca="false">HYPERLINK("http://www.openstreetmap.org/?mlat=36.8637&amp;mlon=43.6932&amp;zoom=12#map=12/36.8637/43.6932","Maplink1")</f>
        <v>Maplink1</v>
      </c>
      <c r="AT1380" s="20" t="str">
        <f aca="false">HYPERLINK("https://www.google.iq/maps/search/+36.8637,43.6932/@36.8637,43.6932,14z?hl=en","Maplink2")</f>
        <v>Maplink2</v>
      </c>
      <c r="AU1380" s="20" t="str">
        <f aca="false">HYPERLINK("http://www.bing.com/maps/?lvl=14&amp;sty=h&amp;cp=36.8637~43.6932&amp;sp=point.36.8637_43.6932","Maplink3")</f>
        <v>Maplink3</v>
      </c>
    </row>
    <row r="1381" customFormat="false" ht="15" hidden="false" customHeight="true" outlineLevel="0" collapsed="false">
      <c r="A1381" s="15" t="n">
        <v>7862</v>
      </c>
      <c r="B1381" s="16" t="s">
        <v>19</v>
      </c>
      <c r="C1381" s="16" t="s">
        <v>2707</v>
      </c>
      <c r="D1381" s="16" t="s">
        <v>2735</v>
      </c>
      <c r="E1381" s="17" t="s">
        <v>2736</v>
      </c>
      <c r="F1381" s="16" t="n">
        <v>37.09905534</v>
      </c>
      <c r="G1381" s="16" t="n">
        <v>43.38161216</v>
      </c>
      <c r="H1381" s="18" t="n">
        <v>211</v>
      </c>
      <c r="I1381" s="18" t="n">
        <v>1266</v>
      </c>
      <c r="J1381" s="19" t="n">
        <v>11</v>
      </c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 t="n">
        <v>200</v>
      </c>
      <c r="W1381" s="19"/>
      <c r="X1381" s="19"/>
      <c r="Y1381" s="19"/>
      <c r="Z1381" s="19"/>
      <c r="AA1381" s="19"/>
      <c r="AB1381" s="19"/>
      <c r="AC1381" s="19"/>
      <c r="AD1381" s="19" t="n">
        <v>17</v>
      </c>
      <c r="AE1381" s="19"/>
      <c r="AF1381" s="19"/>
      <c r="AG1381" s="19"/>
      <c r="AH1381" s="19" t="n">
        <v>164</v>
      </c>
      <c r="AI1381" s="19"/>
      <c r="AJ1381" s="19" t="n">
        <v>30</v>
      </c>
      <c r="AK1381" s="19"/>
      <c r="AL1381" s="19" t="n">
        <v>11</v>
      </c>
      <c r="AM1381" s="19" t="n">
        <v>6</v>
      </c>
      <c r="AN1381" s="19" t="n">
        <v>186</v>
      </c>
      <c r="AO1381" s="19"/>
      <c r="AP1381" s="19" t="n">
        <v>8</v>
      </c>
      <c r="AQ1381" s="19"/>
      <c r="AR1381" s="19"/>
      <c r="AS1381" s="20" t="str">
        <f aca="false">HYPERLINK("http://www.openstreetmap.org/?mlat=37.0991&amp;mlon=43.3816&amp;zoom=12#map=12/37.0991/43.3816","Maplink1")</f>
        <v>Maplink1</v>
      </c>
      <c r="AT1381" s="20" t="str">
        <f aca="false">HYPERLINK("https://www.google.iq/maps/search/+37.0991,43.3816/@37.0991,43.3816,14z?hl=en","Maplink2")</f>
        <v>Maplink2</v>
      </c>
      <c r="AU1381" s="20" t="str">
        <f aca="false">HYPERLINK("http://www.bing.com/maps/?lvl=14&amp;sty=h&amp;cp=37.0991~43.3816&amp;sp=point.37.0991_43.3816","Maplink3")</f>
        <v>Maplink3</v>
      </c>
    </row>
    <row r="1382" customFormat="false" ht="15" hidden="false" customHeight="true" outlineLevel="0" collapsed="false">
      <c r="A1382" s="15" t="n">
        <v>7835</v>
      </c>
      <c r="B1382" s="16" t="s">
        <v>19</v>
      </c>
      <c r="C1382" s="16" t="s">
        <v>2707</v>
      </c>
      <c r="D1382" s="16" t="s">
        <v>2737</v>
      </c>
      <c r="E1382" s="17" t="s">
        <v>2738</v>
      </c>
      <c r="F1382" s="16" t="n">
        <v>37.0390008</v>
      </c>
      <c r="G1382" s="16" t="n">
        <v>43.34615361</v>
      </c>
      <c r="H1382" s="18" t="n">
        <v>874</v>
      </c>
      <c r="I1382" s="18" t="n">
        <v>5244</v>
      </c>
      <c r="J1382" s="19" t="n">
        <v>63</v>
      </c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 t="n">
        <v>761</v>
      </c>
      <c r="W1382" s="19"/>
      <c r="X1382" s="19" t="n">
        <v>50</v>
      </c>
      <c r="Y1382" s="19"/>
      <c r="Z1382" s="19"/>
      <c r="AA1382" s="19"/>
      <c r="AB1382" s="19"/>
      <c r="AC1382" s="19" t="n">
        <v>55</v>
      </c>
      <c r="AD1382" s="19" t="n">
        <v>78</v>
      </c>
      <c r="AE1382" s="19"/>
      <c r="AF1382" s="19"/>
      <c r="AG1382" s="19" t="n">
        <v>5</v>
      </c>
      <c r="AH1382" s="19" t="n">
        <v>565</v>
      </c>
      <c r="AI1382" s="19"/>
      <c r="AJ1382" s="19" t="n">
        <v>171</v>
      </c>
      <c r="AK1382" s="19"/>
      <c r="AL1382" s="19" t="n">
        <v>63</v>
      </c>
      <c r="AM1382" s="19" t="n">
        <v>50</v>
      </c>
      <c r="AN1382" s="19" t="n">
        <v>761</v>
      </c>
      <c r="AO1382" s="19"/>
      <c r="AP1382" s="19"/>
      <c r="AQ1382" s="19"/>
      <c r="AR1382" s="19"/>
      <c r="AS1382" s="20" t="str">
        <f aca="false">HYPERLINK("http://www.openstreetmap.org/?mlat=37.039&amp;mlon=43.3462&amp;zoom=12#map=12/37.039/43.3462","Maplink1")</f>
        <v>Maplink1</v>
      </c>
      <c r="AT1382" s="20" t="str">
        <f aca="false">HYPERLINK("https://www.google.iq/maps/search/+37.039,43.3462/@37.039,43.3462,14z?hl=en","Maplink2")</f>
        <v>Maplink2</v>
      </c>
      <c r="AU1382" s="20" t="str">
        <f aca="false">HYPERLINK("http://www.bing.com/maps/?lvl=14&amp;sty=h&amp;cp=37.039~43.3462&amp;sp=point.37.039_43.3462","Maplink3")</f>
        <v>Maplink3</v>
      </c>
    </row>
    <row r="1383" customFormat="false" ht="15" hidden="false" customHeight="true" outlineLevel="0" collapsed="false">
      <c r="A1383" s="15" t="n">
        <v>7833</v>
      </c>
      <c r="B1383" s="16" t="s">
        <v>19</v>
      </c>
      <c r="C1383" s="16" t="s">
        <v>2707</v>
      </c>
      <c r="D1383" s="16" t="s">
        <v>2739</v>
      </c>
      <c r="E1383" s="17" t="s">
        <v>2740</v>
      </c>
      <c r="F1383" s="16" t="n">
        <v>37.03245994</v>
      </c>
      <c r="G1383" s="16" t="n">
        <v>43.77236224</v>
      </c>
      <c r="H1383" s="18" t="n">
        <v>52</v>
      </c>
      <c r="I1383" s="18" t="n">
        <v>312</v>
      </c>
      <c r="J1383" s="19" t="n">
        <v>4</v>
      </c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 t="n">
        <v>48</v>
      </c>
      <c r="W1383" s="19"/>
      <c r="X1383" s="19"/>
      <c r="Y1383" s="19"/>
      <c r="Z1383" s="19"/>
      <c r="AA1383" s="19"/>
      <c r="AB1383" s="19"/>
      <c r="AC1383" s="19" t="n">
        <v>17</v>
      </c>
      <c r="AD1383" s="19"/>
      <c r="AE1383" s="19"/>
      <c r="AF1383" s="19"/>
      <c r="AG1383" s="19"/>
      <c r="AH1383" s="19" t="n">
        <v>35</v>
      </c>
      <c r="AI1383" s="19"/>
      <c r="AJ1383" s="19"/>
      <c r="AK1383" s="19"/>
      <c r="AL1383" s="19" t="n">
        <v>4</v>
      </c>
      <c r="AM1383" s="19" t="n">
        <v>17</v>
      </c>
      <c r="AN1383" s="19" t="n">
        <v>31</v>
      </c>
      <c r="AO1383" s="19"/>
      <c r="AP1383" s="19"/>
      <c r="AQ1383" s="19"/>
      <c r="AR1383" s="19"/>
      <c r="AS1383" s="20" t="str">
        <f aca="false">HYPERLINK("http://www.openstreetmap.org/?mlat=37.0325&amp;mlon=43.7724&amp;zoom=12#map=12/37.0325/43.7724","Maplink1")</f>
        <v>Maplink1</v>
      </c>
      <c r="AT1383" s="20" t="str">
        <f aca="false">HYPERLINK("https://www.google.iq/maps/search/+37.0325,43.7724/@37.0325,43.7724,14z?hl=en","Maplink2")</f>
        <v>Maplink2</v>
      </c>
      <c r="AU1383" s="20" t="str">
        <f aca="false">HYPERLINK("http://www.bing.com/maps/?lvl=14&amp;sty=h&amp;cp=37.0325~43.7724&amp;sp=point.37.0325_43.7724","Maplink3")</f>
        <v>Maplink3</v>
      </c>
    </row>
    <row r="1384" customFormat="false" ht="15" hidden="false" customHeight="true" outlineLevel="0" collapsed="false">
      <c r="A1384" s="15" t="n">
        <v>7867</v>
      </c>
      <c r="B1384" s="16" t="s">
        <v>19</v>
      </c>
      <c r="C1384" s="16" t="s">
        <v>2707</v>
      </c>
      <c r="D1384" s="16" t="s">
        <v>2741</v>
      </c>
      <c r="E1384" s="17" t="s">
        <v>2742</v>
      </c>
      <c r="F1384" s="16" t="n">
        <v>37.03915817</v>
      </c>
      <c r="G1384" s="16" t="n">
        <v>43.27947716</v>
      </c>
      <c r="H1384" s="18" t="n">
        <v>42</v>
      </c>
      <c r="I1384" s="18" t="n">
        <v>252</v>
      </c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 t="n">
        <v>42</v>
      </c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 t="n">
        <v>34</v>
      </c>
      <c r="AI1384" s="19"/>
      <c r="AJ1384" s="19" t="n">
        <v>8</v>
      </c>
      <c r="AK1384" s="19"/>
      <c r="AL1384" s="19"/>
      <c r="AM1384" s="19" t="n">
        <v>23</v>
      </c>
      <c r="AN1384" s="19" t="n">
        <v>19</v>
      </c>
      <c r="AO1384" s="19"/>
      <c r="AP1384" s="19"/>
      <c r="AQ1384" s="19"/>
      <c r="AR1384" s="19"/>
      <c r="AS1384" s="20" t="str">
        <f aca="false">HYPERLINK("http://www.openstreetmap.org/?mlat=37.0392&amp;mlon=43.2795&amp;zoom=12#map=12/37.0392/43.2795","Maplink1")</f>
        <v>Maplink1</v>
      </c>
      <c r="AT1384" s="20" t="str">
        <f aca="false">HYPERLINK("https://www.google.iq/maps/search/+37.0392,43.2795/@37.0392,43.2795,14z?hl=en","Maplink2")</f>
        <v>Maplink2</v>
      </c>
      <c r="AU1384" s="20" t="str">
        <f aca="false">HYPERLINK("http://www.bing.com/maps/?lvl=14&amp;sty=h&amp;cp=37.0392~43.2795&amp;sp=point.37.0392_43.2795","Maplink3")</f>
        <v>Maplink3</v>
      </c>
    </row>
    <row r="1385" customFormat="false" ht="15" hidden="false" customHeight="true" outlineLevel="0" collapsed="false">
      <c r="A1385" s="15" t="n">
        <v>26044</v>
      </c>
      <c r="B1385" s="16" t="s">
        <v>19</v>
      </c>
      <c r="C1385" s="16" t="s">
        <v>2707</v>
      </c>
      <c r="D1385" s="16" t="s">
        <v>2743</v>
      </c>
      <c r="E1385" s="17" t="s">
        <v>2744</v>
      </c>
      <c r="F1385" s="16" t="n">
        <v>37.00970785</v>
      </c>
      <c r="G1385" s="16" t="n">
        <v>43.22315153</v>
      </c>
      <c r="H1385" s="18" t="n">
        <v>25</v>
      </c>
      <c r="I1385" s="18" t="n">
        <v>150</v>
      </c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 t="n">
        <v>25</v>
      </c>
      <c r="W1385" s="19"/>
      <c r="X1385" s="19"/>
      <c r="Y1385" s="19"/>
      <c r="Z1385" s="19"/>
      <c r="AA1385" s="19"/>
      <c r="AB1385" s="19"/>
      <c r="AC1385" s="19" t="n">
        <v>13</v>
      </c>
      <c r="AD1385" s="19"/>
      <c r="AE1385" s="19"/>
      <c r="AF1385" s="19"/>
      <c r="AG1385" s="19"/>
      <c r="AH1385" s="19" t="n">
        <v>6</v>
      </c>
      <c r="AI1385" s="19"/>
      <c r="AJ1385" s="19" t="n">
        <v>6</v>
      </c>
      <c r="AK1385" s="19"/>
      <c r="AL1385" s="19"/>
      <c r="AM1385" s="19"/>
      <c r="AN1385" s="19" t="n">
        <v>25</v>
      </c>
      <c r="AO1385" s="19"/>
      <c r="AP1385" s="19"/>
      <c r="AQ1385" s="19"/>
      <c r="AR1385" s="19"/>
      <c r="AS1385" s="20" t="str">
        <f aca="false">HYPERLINK("http://www.openstreetmap.org/?mlat=37.0097&amp;mlon=43.2232&amp;zoom=12#map=12/37.0097/43.2232","Maplink1")</f>
        <v>Maplink1</v>
      </c>
      <c r="AT1385" s="20" t="str">
        <f aca="false">HYPERLINK("https://www.google.iq/maps/search/+37.0097,43.2232/@37.0097,43.2232,14z?hl=en","Maplink2")</f>
        <v>Maplink2</v>
      </c>
      <c r="AU1385" s="20" t="str">
        <f aca="false">HYPERLINK("http://www.bing.com/maps/?lvl=14&amp;sty=h&amp;cp=37.0097~43.2232&amp;sp=point.37.0097_43.2232","Maplink3")</f>
        <v>Maplink3</v>
      </c>
    </row>
    <row r="1386" customFormat="false" ht="15" hidden="false" customHeight="true" outlineLevel="0" collapsed="false">
      <c r="A1386" s="15" t="n">
        <v>21971</v>
      </c>
      <c r="B1386" s="16" t="s">
        <v>19</v>
      </c>
      <c r="C1386" s="16" t="s">
        <v>19</v>
      </c>
      <c r="D1386" s="16" t="s">
        <v>2745</v>
      </c>
      <c r="E1386" s="17" t="s">
        <v>2746</v>
      </c>
      <c r="F1386" s="16" t="n">
        <v>36.87085609</v>
      </c>
      <c r="G1386" s="16" t="n">
        <v>42.98949484</v>
      </c>
      <c r="H1386" s="18" t="n">
        <v>154</v>
      </c>
      <c r="I1386" s="18" t="n">
        <v>924</v>
      </c>
      <c r="J1386" s="19" t="n">
        <v>6</v>
      </c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 t="n">
        <v>148</v>
      </c>
      <c r="W1386" s="19"/>
      <c r="X1386" s="19"/>
      <c r="Y1386" s="19"/>
      <c r="Z1386" s="19"/>
      <c r="AA1386" s="19"/>
      <c r="AB1386" s="19"/>
      <c r="AC1386" s="19"/>
      <c r="AD1386" s="19" t="n">
        <v>14</v>
      </c>
      <c r="AE1386" s="19"/>
      <c r="AF1386" s="19"/>
      <c r="AG1386" s="19"/>
      <c r="AH1386" s="19" t="n">
        <v>140</v>
      </c>
      <c r="AI1386" s="19"/>
      <c r="AJ1386" s="19"/>
      <c r="AK1386" s="19"/>
      <c r="AL1386" s="19" t="n">
        <v>6</v>
      </c>
      <c r="AM1386" s="19" t="n">
        <v>79</v>
      </c>
      <c r="AN1386" s="19" t="n">
        <v>69</v>
      </c>
      <c r="AO1386" s="19"/>
      <c r="AP1386" s="19"/>
      <c r="AQ1386" s="19"/>
      <c r="AR1386" s="19"/>
      <c r="AS1386" s="20" t="str">
        <f aca="false">HYPERLINK("http://www.openstreetmap.org/?mlat=36.8709&amp;mlon=42.9895&amp;zoom=12#map=12/36.8709/42.9895","Maplink1")</f>
        <v>Maplink1</v>
      </c>
      <c r="AT1386" s="20" t="str">
        <f aca="false">HYPERLINK("https://www.google.iq/maps/search/+36.8709,42.9895/@36.8709,42.9895,14z?hl=en","Maplink2")</f>
        <v>Maplink2</v>
      </c>
      <c r="AU1386" s="20" t="str">
        <f aca="false">HYPERLINK("http://www.bing.com/maps/?lvl=14&amp;sty=h&amp;cp=36.8709~42.9895&amp;sp=point.36.8709_42.9895","Maplink3")</f>
        <v>Maplink3</v>
      </c>
    </row>
    <row r="1387" customFormat="false" ht="15" hidden="false" customHeight="true" outlineLevel="0" collapsed="false">
      <c r="A1387" s="15" t="n">
        <v>23580</v>
      </c>
      <c r="B1387" s="16" t="s">
        <v>19</v>
      </c>
      <c r="C1387" s="16" t="s">
        <v>19</v>
      </c>
      <c r="D1387" s="16" t="s">
        <v>2747</v>
      </c>
      <c r="E1387" s="17" t="s">
        <v>2748</v>
      </c>
      <c r="F1387" s="16" t="n">
        <v>36.85341268</v>
      </c>
      <c r="G1387" s="16" t="n">
        <v>43.03836501</v>
      </c>
      <c r="H1387" s="18" t="n">
        <v>206</v>
      </c>
      <c r="I1387" s="18" t="n">
        <v>1236</v>
      </c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 t="n">
        <v>206</v>
      </c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 t="n">
        <v>206</v>
      </c>
      <c r="AI1387" s="19"/>
      <c r="AJ1387" s="19"/>
      <c r="AK1387" s="19"/>
      <c r="AL1387" s="19"/>
      <c r="AM1387" s="19" t="n">
        <v>108</v>
      </c>
      <c r="AN1387" s="19" t="n">
        <v>98</v>
      </c>
      <c r="AO1387" s="19"/>
      <c r="AP1387" s="19"/>
      <c r="AQ1387" s="19"/>
      <c r="AR1387" s="19"/>
      <c r="AS1387" s="20" t="str">
        <f aca="false">HYPERLINK("http://www.openstreetmap.org/?mlat=36.8534&amp;mlon=43.0384&amp;zoom=12#map=12/36.8534/43.0384","Maplink1")</f>
        <v>Maplink1</v>
      </c>
      <c r="AT1387" s="20" t="str">
        <f aca="false">HYPERLINK("https://www.google.iq/maps/search/+36.8534,43.0384/@36.8534,43.0384,14z?hl=en","Maplink2")</f>
        <v>Maplink2</v>
      </c>
      <c r="AU1387" s="20" t="str">
        <f aca="false">HYPERLINK("http://www.bing.com/maps/?lvl=14&amp;sty=h&amp;cp=36.8534~43.0384&amp;sp=point.36.8534_43.0384","Maplink3")</f>
        <v>Maplink3</v>
      </c>
    </row>
    <row r="1388" customFormat="false" ht="15" hidden="false" customHeight="true" outlineLevel="0" collapsed="false">
      <c r="A1388" s="15" t="n">
        <v>26054</v>
      </c>
      <c r="B1388" s="16" t="s">
        <v>19</v>
      </c>
      <c r="C1388" s="16" t="s">
        <v>19</v>
      </c>
      <c r="D1388" s="16" t="s">
        <v>2749</v>
      </c>
      <c r="E1388" s="17" t="s">
        <v>2750</v>
      </c>
      <c r="F1388" s="16" t="n">
        <v>36.87049385</v>
      </c>
      <c r="G1388" s="16" t="n">
        <v>42.98191977</v>
      </c>
      <c r="H1388" s="18" t="n">
        <v>145</v>
      </c>
      <c r="I1388" s="18" t="n">
        <v>870</v>
      </c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 t="n">
        <v>145</v>
      </c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 t="n">
        <v>145</v>
      </c>
      <c r="AI1388" s="19"/>
      <c r="AJ1388" s="19"/>
      <c r="AK1388" s="19"/>
      <c r="AL1388" s="19"/>
      <c r="AM1388" s="19" t="n">
        <v>55</v>
      </c>
      <c r="AN1388" s="19" t="n">
        <v>90</v>
      </c>
      <c r="AO1388" s="19"/>
      <c r="AP1388" s="19"/>
      <c r="AQ1388" s="19"/>
      <c r="AR1388" s="19"/>
      <c r="AS1388" s="20" t="str">
        <f aca="false">HYPERLINK("http://www.openstreetmap.org/?mlat=36.8705&amp;mlon=42.9819&amp;zoom=12#map=12/36.8705/42.9819","Maplink1")</f>
        <v>Maplink1</v>
      </c>
      <c r="AT1388" s="20" t="str">
        <f aca="false">HYPERLINK("https://www.google.iq/maps/search/+36.8705,42.9819/@36.8705,42.9819,14z?hl=en","Maplink2")</f>
        <v>Maplink2</v>
      </c>
      <c r="AU1388" s="20" t="str">
        <f aca="false">HYPERLINK("http://www.bing.com/maps/?lvl=14&amp;sty=h&amp;cp=36.8705~42.9819&amp;sp=point.36.8705_42.9819","Maplink3")</f>
        <v>Maplink3</v>
      </c>
    </row>
    <row r="1389" customFormat="false" ht="15" hidden="false" customHeight="true" outlineLevel="0" collapsed="false">
      <c r="A1389" s="15" t="n">
        <v>25898</v>
      </c>
      <c r="B1389" s="16" t="s">
        <v>19</v>
      </c>
      <c r="C1389" s="16" t="s">
        <v>19</v>
      </c>
      <c r="D1389" s="16" t="s">
        <v>2751</v>
      </c>
      <c r="E1389" s="17" t="s">
        <v>2752</v>
      </c>
      <c r="F1389" s="16" t="n">
        <v>36.8297383</v>
      </c>
      <c r="G1389" s="16" t="n">
        <v>43.11968921</v>
      </c>
      <c r="H1389" s="18" t="n">
        <v>180</v>
      </c>
      <c r="I1389" s="18" t="n">
        <v>1080</v>
      </c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 t="n">
        <v>180</v>
      </c>
      <c r="W1389" s="19"/>
      <c r="X1389" s="19"/>
      <c r="Y1389" s="19"/>
      <c r="Z1389" s="19"/>
      <c r="AA1389" s="19"/>
      <c r="AB1389" s="19"/>
      <c r="AC1389" s="19" t="n">
        <v>30</v>
      </c>
      <c r="AD1389" s="19"/>
      <c r="AE1389" s="19"/>
      <c r="AF1389" s="19"/>
      <c r="AG1389" s="19"/>
      <c r="AH1389" s="19" t="n">
        <v>104</v>
      </c>
      <c r="AI1389" s="19"/>
      <c r="AJ1389" s="19" t="n">
        <v>46</v>
      </c>
      <c r="AK1389" s="19"/>
      <c r="AL1389" s="19"/>
      <c r="AM1389" s="19" t="n">
        <v>104</v>
      </c>
      <c r="AN1389" s="19" t="n">
        <v>76</v>
      </c>
      <c r="AO1389" s="19"/>
      <c r="AP1389" s="19"/>
      <c r="AQ1389" s="19"/>
      <c r="AR1389" s="19"/>
      <c r="AS1389" s="20" t="str">
        <f aca="false">HYPERLINK("http://www.openstreetmap.org/?mlat=36.8297&amp;mlon=43.1197&amp;zoom=12#map=12/36.8297/43.1197","Maplink1")</f>
        <v>Maplink1</v>
      </c>
      <c r="AT1389" s="20" t="str">
        <f aca="false">HYPERLINK("https://www.google.iq/maps/search/+36.8297,43.1197/@36.8297,43.1197,14z?hl=en","Maplink2")</f>
        <v>Maplink2</v>
      </c>
      <c r="AU1389" s="20" t="str">
        <f aca="false">HYPERLINK("http://www.bing.com/maps/?lvl=14&amp;sty=h&amp;cp=36.8297~43.1197&amp;sp=point.36.8297_43.1197","Maplink3")</f>
        <v>Maplink3</v>
      </c>
    </row>
    <row r="1390" customFormat="false" ht="15" hidden="false" customHeight="true" outlineLevel="0" collapsed="false">
      <c r="A1390" s="15" t="n">
        <v>8687</v>
      </c>
      <c r="B1390" s="16" t="s">
        <v>19</v>
      </c>
      <c r="C1390" s="16" t="s">
        <v>19</v>
      </c>
      <c r="D1390" s="16" t="s">
        <v>2753</v>
      </c>
      <c r="E1390" s="17" t="s">
        <v>2754</v>
      </c>
      <c r="F1390" s="16" t="n">
        <v>36.88961663</v>
      </c>
      <c r="G1390" s="16" t="n">
        <v>43.13663815</v>
      </c>
      <c r="H1390" s="18" t="n">
        <v>139</v>
      </c>
      <c r="I1390" s="18" t="n">
        <v>834</v>
      </c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 t="n">
        <v>133</v>
      </c>
      <c r="W1390" s="19"/>
      <c r="X1390" s="19" t="n">
        <v>6</v>
      </c>
      <c r="Y1390" s="19"/>
      <c r="Z1390" s="19"/>
      <c r="AA1390" s="19"/>
      <c r="AB1390" s="19"/>
      <c r="AC1390" s="19" t="n">
        <v>14</v>
      </c>
      <c r="AD1390" s="19"/>
      <c r="AE1390" s="19" t="n">
        <v>51</v>
      </c>
      <c r="AF1390" s="19"/>
      <c r="AG1390" s="19" t="n">
        <v>6</v>
      </c>
      <c r="AH1390" s="19" t="n">
        <v>25</v>
      </c>
      <c r="AI1390" s="19"/>
      <c r="AJ1390" s="19" t="n">
        <v>43</v>
      </c>
      <c r="AK1390" s="19"/>
      <c r="AL1390" s="19"/>
      <c r="AM1390" s="19" t="n">
        <v>28</v>
      </c>
      <c r="AN1390" s="19" t="n">
        <v>111</v>
      </c>
      <c r="AO1390" s="19"/>
      <c r="AP1390" s="19"/>
      <c r="AQ1390" s="19"/>
      <c r="AR1390" s="19"/>
      <c r="AS1390" s="20" t="str">
        <f aca="false">HYPERLINK("http://www.openstreetmap.org/?mlat=36.8896&amp;mlon=43.1366&amp;zoom=12#map=12/36.8896/43.1366","Maplink1")</f>
        <v>Maplink1</v>
      </c>
      <c r="AT1390" s="20" t="str">
        <f aca="false">HYPERLINK("https://www.google.iq/maps/search/+36.8896,43.1366/@36.8896,43.1366,14z?hl=en","Maplink2")</f>
        <v>Maplink2</v>
      </c>
      <c r="AU1390" s="20" t="str">
        <f aca="false">HYPERLINK("http://www.bing.com/maps/?lvl=14&amp;sty=h&amp;cp=36.8896~43.1366&amp;sp=point.36.8896_43.1366","Maplink3")</f>
        <v>Maplink3</v>
      </c>
    </row>
    <row r="1391" customFormat="false" ht="15" hidden="false" customHeight="true" outlineLevel="0" collapsed="false">
      <c r="A1391" s="15" t="n">
        <v>24801</v>
      </c>
      <c r="B1391" s="16" t="s">
        <v>19</v>
      </c>
      <c r="C1391" s="16" t="s">
        <v>19</v>
      </c>
      <c r="D1391" s="16" t="s">
        <v>2755</v>
      </c>
      <c r="E1391" s="17" t="s">
        <v>2756</v>
      </c>
      <c r="F1391" s="16" t="n">
        <v>36.96583987</v>
      </c>
      <c r="G1391" s="16" t="n">
        <v>43.16975938</v>
      </c>
      <c r="H1391" s="18" t="n">
        <v>121</v>
      </c>
      <c r="I1391" s="18" t="n">
        <v>726</v>
      </c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 t="n">
        <v>112</v>
      </c>
      <c r="W1391" s="19"/>
      <c r="X1391" s="19" t="n">
        <v>9</v>
      </c>
      <c r="Y1391" s="19"/>
      <c r="Z1391" s="19"/>
      <c r="AA1391" s="19"/>
      <c r="AB1391" s="19"/>
      <c r="AC1391" s="19" t="n">
        <v>33</v>
      </c>
      <c r="AD1391" s="19" t="n">
        <v>3</v>
      </c>
      <c r="AE1391" s="19" t="n">
        <v>1</v>
      </c>
      <c r="AF1391" s="19"/>
      <c r="AG1391" s="19"/>
      <c r="AH1391" s="19" t="n">
        <v>69</v>
      </c>
      <c r="AI1391" s="19"/>
      <c r="AJ1391" s="19" t="n">
        <v>15</v>
      </c>
      <c r="AK1391" s="19"/>
      <c r="AL1391" s="19"/>
      <c r="AM1391" s="19" t="n">
        <v>30</v>
      </c>
      <c r="AN1391" s="19" t="n">
        <v>91</v>
      </c>
      <c r="AO1391" s="19"/>
      <c r="AP1391" s="19"/>
      <c r="AQ1391" s="19"/>
      <c r="AR1391" s="19"/>
      <c r="AS1391" s="20" t="str">
        <f aca="false">HYPERLINK("http://www.openstreetmap.org/?mlat=36.9658&amp;mlon=43.1698&amp;zoom=12#map=12/36.9658/43.1698","Maplink1")</f>
        <v>Maplink1</v>
      </c>
      <c r="AT1391" s="20" t="str">
        <f aca="false">HYPERLINK("https://www.google.iq/maps/search/+36.9658,43.1698/@36.9658,43.1698,14z?hl=en","Maplink2")</f>
        <v>Maplink2</v>
      </c>
      <c r="AU1391" s="20" t="str">
        <f aca="false">HYPERLINK("http://www.bing.com/maps/?lvl=14&amp;sty=h&amp;cp=36.9658~43.1698&amp;sp=point.36.9658_43.1698","Maplink3")</f>
        <v>Maplink3</v>
      </c>
    </row>
    <row r="1392" customFormat="false" ht="15" hidden="false" customHeight="true" outlineLevel="0" collapsed="false">
      <c r="A1392" s="15" t="n">
        <v>26048</v>
      </c>
      <c r="B1392" s="16" t="s">
        <v>19</v>
      </c>
      <c r="C1392" s="16" t="s">
        <v>19</v>
      </c>
      <c r="D1392" s="16" t="s">
        <v>2757</v>
      </c>
      <c r="E1392" s="17" t="s">
        <v>2758</v>
      </c>
      <c r="F1392" s="16" t="n">
        <v>36.86483266</v>
      </c>
      <c r="G1392" s="16" t="n">
        <v>42.96384216</v>
      </c>
      <c r="H1392" s="18" t="n">
        <v>99</v>
      </c>
      <c r="I1392" s="18" t="n">
        <v>594</v>
      </c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 t="n">
        <v>99</v>
      </c>
      <c r="W1392" s="19"/>
      <c r="X1392" s="19"/>
      <c r="Y1392" s="19"/>
      <c r="Z1392" s="19"/>
      <c r="AA1392" s="19"/>
      <c r="AB1392" s="19"/>
      <c r="AC1392" s="19"/>
      <c r="AD1392" s="19" t="n">
        <v>13</v>
      </c>
      <c r="AE1392" s="19"/>
      <c r="AF1392" s="19"/>
      <c r="AG1392" s="19"/>
      <c r="AH1392" s="19" t="n">
        <v>86</v>
      </c>
      <c r="AI1392" s="19"/>
      <c r="AJ1392" s="19"/>
      <c r="AK1392" s="19"/>
      <c r="AL1392" s="19"/>
      <c r="AM1392" s="19" t="n">
        <v>75</v>
      </c>
      <c r="AN1392" s="19" t="n">
        <v>24</v>
      </c>
      <c r="AO1392" s="19"/>
      <c r="AP1392" s="19"/>
      <c r="AQ1392" s="19"/>
      <c r="AR1392" s="19"/>
      <c r="AS1392" s="20" t="str">
        <f aca="false">HYPERLINK("http://www.openstreetmap.org/?mlat=36.8648&amp;mlon=42.9638&amp;zoom=12#map=12/36.8648/42.9638","Maplink1")</f>
        <v>Maplink1</v>
      </c>
      <c r="AT1392" s="20" t="str">
        <f aca="false">HYPERLINK("https://www.google.iq/maps/search/+36.8648,42.9638/@36.8648,42.9638,14z?hl=en","Maplink2")</f>
        <v>Maplink2</v>
      </c>
      <c r="AU1392" s="20" t="str">
        <f aca="false">HYPERLINK("http://www.bing.com/maps/?lvl=14&amp;sty=h&amp;cp=36.8648~42.9638&amp;sp=point.36.8648_42.9638","Maplink3")</f>
        <v>Maplink3</v>
      </c>
    </row>
    <row r="1393" customFormat="false" ht="15" hidden="false" customHeight="true" outlineLevel="0" collapsed="false">
      <c r="A1393" s="15" t="n">
        <v>8822</v>
      </c>
      <c r="B1393" s="16" t="s">
        <v>19</v>
      </c>
      <c r="C1393" s="16" t="s">
        <v>19</v>
      </c>
      <c r="D1393" s="16" t="s">
        <v>2759</v>
      </c>
      <c r="E1393" s="17" t="s">
        <v>2760</v>
      </c>
      <c r="F1393" s="16" t="n">
        <v>37.015595</v>
      </c>
      <c r="G1393" s="16" t="n">
        <v>43.016185</v>
      </c>
      <c r="H1393" s="18" t="n">
        <v>121</v>
      </c>
      <c r="I1393" s="18" t="n">
        <v>726</v>
      </c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 t="n">
        <v>121</v>
      </c>
      <c r="W1393" s="19"/>
      <c r="X1393" s="19"/>
      <c r="Y1393" s="19"/>
      <c r="Z1393" s="19"/>
      <c r="AA1393" s="19"/>
      <c r="AB1393" s="19"/>
      <c r="AC1393" s="19" t="n">
        <v>87</v>
      </c>
      <c r="AD1393" s="19"/>
      <c r="AE1393" s="19"/>
      <c r="AF1393" s="19"/>
      <c r="AG1393" s="19"/>
      <c r="AH1393" s="19" t="n">
        <v>2</v>
      </c>
      <c r="AI1393" s="19"/>
      <c r="AJ1393" s="19" t="n">
        <v>32</v>
      </c>
      <c r="AK1393" s="19"/>
      <c r="AL1393" s="19"/>
      <c r="AM1393" s="19" t="n">
        <v>3</v>
      </c>
      <c r="AN1393" s="19" t="n">
        <v>118</v>
      </c>
      <c r="AO1393" s="19"/>
      <c r="AP1393" s="19"/>
      <c r="AQ1393" s="19"/>
      <c r="AR1393" s="19"/>
      <c r="AS1393" s="20" t="str">
        <f aca="false">HYPERLINK("http://www.openstreetmap.org/?mlat=37.0156&amp;mlon=43.0162&amp;zoom=12#map=12/37.0156/43.0162","Maplink1")</f>
        <v>Maplink1</v>
      </c>
      <c r="AT1393" s="20" t="str">
        <f aca="false">HYPERLINK("https://www.google.iq/maps/search/+37.0156,43.0162/@37.0156,43.0162,14z?hl=en","Maplink2")</f>
        <v>Maplink2</v>
      </c>
      <c r="AU1393" s="20" t="str">
        <f aca="false">HYPERLINK("http://www.bing.com/maps/?lvl=14&amp;sty=h&amp;cp=37.0156~43.0162&amp;sp=point.37.0156_43.0162","Maplink3")</f>
        <v>Maplink3</v>
      </c>
    </row>
    <row r="1394" customFormat="false" ht="15" hidden="false" customHeight="true" outlineLevel="0" collapsed="false">
      <c r="A1394" s="15" t="n">
        <v>8538</v>
      </c>
      <c r="B1394" s="16" t="s">
        <v>19</v>
      </c>
      <c r="C1394" s="16" t="s">
        <v>19</v>
      </c>
      <c r="D1394" s="16" t="s">
        <v>2761</v>
      </c>
      <c r="E1394" s="17" t="s">
        <v>2762</v>
      </c>
      <c r="F1394" s="16" t="n">
        <v>36.90999072</v>
      </c>
      <c r="G1394" s="16" t="n">
        <v>43.23621531</v>
      </c>
      <c r="H1394" s="18" t="n">
        <v>27</v>
      </c>
      <c r="I1394" s="18" t="n">
        <v>162</v>
      </c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 t="n">
        <v>27</v>
      </c>
      <c r="W1394" s="19"/>
      <c r="X1394" s="19"/>
      <c r="Y1394" s="19"/>
      <c r="Z1394" s="19"/>
      <c r="AA1394" s="19"/>
      <c r="AB1394" s="19"/>
      <c r="AC1394" s="19" t="n">
        <v>4</v>
      </c>
      <c r="AD1394" s="19"/>
      <c r="AE1394" s="19" t="n">
        <v>1</v>
      </c>
      <c r="AF1394" s="19"/>
      <c r="AG1394" s="19"/>
      <c r="AH1394" s="19"/>
      <c r="AI1394" s="19"/>
      <c r="AJ1394" s="19" t="n">
        <v>22</v>
      </c>
      <c r="AK1394" s="19"/>
      <c r="AL1394" s="19"/>
      <c r="AM1394" s="19"/>
      <c r="AN1394" s="19" t="n">
        <v>27</v>
      </c>
      <c r="AO1394" s="19"/>
      <c r="AP1394" s="19"/>
      <c r="AQ1394" s="19"/>
      <c r="AR1394" s="19"/>
      <c r="AS1394" s="20" t="str">
        <f aca="false">HYPERLINK("http://www.openstreetmap.org/?mlat=36.91&amp;mlon=43.2362&amp;zoom=12#map=12/36.91/43.2362","Maplink1")</f>
        <v>Maplink1</v>
      </c>
      <c r="AT1394" s="20" t="str">
        <f aca="false">HYPERLINK("https://www.google.iq/maps/search/+36.91,43.2362/@36.91,43.2362,14z?hl=en","Maplink2")</f>
        <v>Maplink2</v>
      </c>
      <c r="AU1394" s="20" t="str">
        <f aca="false">HYPERLINK("http://www.bing.com/maps/?lvl=14&amp;sty=h&amp;cp=36.91~43.2362&amp;sp=point.36.91_43.2362","Maplink3")</f>
        <v>Maplink3</v>
      </c>
    </row>
    <row r="1395" customFormat="false" ht="15" hidden="false" customHeight="true" outlineLevel="0" collapsed="false">
      <c r="A1395" s="15" t="n">
        <v>8193</v>
      </c>
      <c r="B1395" s="16" t="s">
        <v>19</v>
      </c>
      <c r="C1395" s="16" t="s">
        <v>19</v>
      </c>
      <c r="D1395" s="16" t="s">
        <v>2763</v>
      </c>
      <c r="E1395" s="17" t="s">
        <v>2764</v>
      </c>
      <c r="F1395" s="16" t="n">
        <v>37.066121</v>
      </c>
      <c r="G1395" s="16" t="n">
        <v>43.080865</v>
      </c>
      <c r="H1395" s="18" t="n">
        <v>58</v>
      </c>
      <c r="I1395" s="18" t="n">
        <v>348</v>
      </c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 t="n">
        <v>58</v>
      </c>
      <c r="W1395" s="19"/>
      <c r="X1395" s="19"/>
      <c r="Y1395" s="19"/>
      <c r="Z1395" s="19"/>
      <c r="AA1395" s="19"/>
      <c r="AB1395" s="19"/>
      <c r="AC1395" s="19" t="n">
        <v>58</v>
      </c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 t="n">
        <v>58</v>
      </c>
      <c r="AO1395" s="19"/>
      <c r="AP1395" s="19"/>
      <c r="AQ1395" s="19"/>
      <c r="AR1395" s="19"/>
      <c r="AS1395" s="20" t="str">
        <f aca="false">HYPERLINK("http://www.openstreetmap.org/?mlat=37.0661&amp;mlon=43.0809&amp;zoom=12#map=12/37.0661/43.0809","Maplink1")</f>
        <v>Maplink1</v>
      </c>
      <c r="AT1395" s="20" t="str">
        <f aca="false">HYPERLINK("https://www.google.iq/maps/search/+37.0661,43.0809/@37.0661,43.0809,14z?hl=en","Maplink2")</f>
        <v>Maplink2</v>
      </c>
      <c r="AU1395" s="20" t="str">
        <f aca="false">HYPERLINK("http://www.bing.com/maps/?lvl=14&amp;sty=h&amp;cp=37.0661~43.0809&amp;sp=point.37.0661_43.0809","Maplink3")</f>
        <v>Maplink3</v>
      </c>
    </row>
    <row r="1396" customFormat="false" ht="15" hidden="false" customHeight="true" outlineLevel="0" collapsed="false">
      <c r="A1396" s="15" t="n">
        <v>7945</v>
      </c>
      <c r="B1396" s="16" t="s">
        <v>19</v>
      </c>
      <c r="C1396" s="16" t="s">
        <v>19</v>
      </c>
      <c r="D1396" s="16" t="s">
        <v>2765</v>
      </c>
      <c r="E1396" s="17" t="s">
        <v>2766</v>
      </c>
      <c r="F1396" s="16" t="n">
        <v>36.85652237</v>
      </c>
      <c r="G1396" s="16" t="n">
        <v>43.02298875</v>
      </c>
      <c r="H1396" s="18" t="n">
        <v>320</v>
      </c>
      <c r="I1396" s="18" t="n">
        <v>1920</v>
      </c>
      <c r="J1396" s="19" t="n">
        <v>5</v>
      </c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 t="n">
        <v>315</v>
      </c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 t="n">
        <v>320</v>
      </c>
      <c r="AI1396" s="19"/>
      <c r="AJ1396" s="19"/>
      <c r="AK1396" s="19"/>
      <c r="AL1396" s="19" t="n">
        <v>5</v>
      </c>
      <c r="AM1396" s="19" t="n">
        <v>158</v>
      </c>
      <c r="AN1396" s="19" t="n">
        <v>157</v>
      </c>
      <c r="AO1396" s="19"/>
      <c r="AP1396" s="19"/>
      <c r="AQ1396" s="19"/>
      <c r="AR1396" s="19"/>
      <c r="AS1396" s="20" t="str">
        <f aca="false">HYPERLINK("http://www.openstreetmap.org/?mlat=36.8565&amp;mlon=43.023&amp;zoom=12#map=12/36.8565/43.023","Maplink1")</f>
        <v>Maplink1</v>
      </c>
      <c r="AT1396" s="20" t="str">
        <f aca="false">HYPERLINK("https://www.google.iq/maps/search/+36.8565,43.023/@36.8565,43.023,14z?hl=en","Maplink2")</f>
        <v>Maplink2</v>
      </c>
      <c r="AU1396" s="20" t="str">
        <f aca="false">HYPERLINK("http://www.bing.com/maps/?lvl=14&amp;sty=h&amp;cp=36.8565~43.023&amp;sp=point.36.8565_43.023","Maplink3")</f>
        <v>Maplink3</v>
      </c>
    </row>
    <row r="1397" customFormat="false" ht="15" hidden="false" customHeight="true" outlineLevel="0" collapsed="false">
      <c r="A1397" s="15" t="n">
        <v>26051</v>
      </c>
      <c r="B1397" s="16" t="s">
        <v>19</v>
      </c>
      <c r="C1397" s="16" t="s">
        <v>19</v>
      </c>
      <c r="D1397" s="16" t="s">
        <v>2767</v>
      </c>
      <c r="E1397" s="17" t="s">
        <v>2768</v>
      </c>
      <c r="F1397" s="16" t="n">
        <v>36.85071281</v>
      </c>
      <c r="G1397" s="16" t="n">
        <v>43.03585862</v>
      </c>
      <c r="H1397" s="18" t="n">
        <v>74</v>
      </c>
      <c r="I1397" s="18" t="n">
        <v>444</v>
      </c>
      <c r="J1397" s="19" t="n">
        <v>10</v>
      </c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 t="n">
        <v>64</v>
      </c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 t="n">
        <v>74</v>
      </c>
      <c r="AI1397" s="19"/>
      <c r="AJ1397" s="19"/>
      <c r="AK1397" s="19"/>
      <c r="AL1397" s="19" t="n">
        <v>10</v>
      </c>
      <c r="AM1397" s="19" t="n">
        <v>47</v>
      </c>
      <c r="AN1397" s="19" t="n">
        <v>17</v>
      </c>
      <c r="AO1397" s="19"/>
      <c r="AP1397" s="19"/>
      <c r="AQ1397" s="19"/>
      <c r="AR1397" s="19"/>
      <c r="AS1397" s="20" t="str">
        <f aca="false">HYPERLINK("http://www.openstreetmap.org/?mlat=36.8507&amp;mlon=43.0359&amp;zoom=12#map=12/36.8507/43.0359","Maplink1")</f>
        <v>Maplink1</v>
      </c>
      <c r="AT1397" s="20" t="str">
        <f aca="false">HYPERLINK("https://www.google.iq/maps/search/+36.8507,43.0359/@36.8507,43.0359,14z?hl=en","Maplink2")</f>
        <v>Maplink2</v>
      </c>
      <c r="AU1397" s="20" t="str">
        <f aca="false">HYPERLINK("http://www.bing.com/maps/?lvl=14&amp;sty=h&amp;cp=36.8507~43.0359&amp;sp=point.36.8507_43.0359","Maplink3")</f>
        <v>Maplink3</v>
      </c>
    </row>
    <row r="1398" customFormat="false" ht="15" hidden="false" customHeight="true" outlineLevel="0" collapsed="false">
      <c r="A1398" s="15" t="n">
        <v>23710</v>
      </c>
      <c r="B1398" s="16" t="s">
        <v>19</v>
      </c>
      <c r="C1398" s="16" t="s">
        <v>19</v>
      </c>
      <c r="D1398" s="16" t="s">
        <v>2769</v>
      </c>
      <c r="E1398" s="17" t="s">
        <v>2770</v>
      </c>
      <c r="F1398" s="16" t="n">
        <v>36.86168073</v>
      </c>
      <c r="G1398" s="16" t="n">
        <v>42.99740424</v>
      </c>
      <c r="H1398" s="18" t="n">
        <v>106</v>
      </c>
      <c r="I1398" s="18" t="n">
        <v>636</v>
      </c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 t="n">
        <v>105</v>
      </c>
      <c r="W1398" s="19"/>
      <c r="X1398" s="19" t="n">
        <v>1</v>
      </c>
      <c r="Y1398" s="19"/>
      <c r="Z1398" s="19"/>
      <c r="AA1398" s="19"/>
      <c r="AB1398" s="19"/>
      <c r="AC1398" s="19"/>
      <c r="AD1398" s="19" t="n">
        <v>25</v>
      </c>
      <c r="AE1398" s="19"/>
      <c r="AF1398" s="19"/>
      <c r="AG1398" s="19"/>
      <c r="AH1398" s="19" t="n">
        <v>81</v>
      </c>
      <c r="AI1398" s="19"/>
      <c r="AJ1398" s="19"/>
      <c r="AK1398" s="19"/>
      <c r="AL1398" s="19"/>
      <c r="AM1398" s="19" t="n">
        <v>55</v>
      </c>
      <c r="AN1398" s="19" t="n">
        <v>51</v>
      </c>
      <c r="AO1398" s="19"/>
      <c r="AP1398" s="19"/>
      <c r="AQ1398" s="19"/>
      <c r="AR1398" s="19"/>
      <c r="AS1398" s="20" t="str">
        <f aca="false">HYPERLINK("http://www.openstreetmap.org/?mlat=36.8617&amp;mlon=42.9974&amp;zoom=12#map=12/36.8617/42.9974","Maplink1")</f>
        <v>Maplink1</v>
      </c>
      <c r="AT1398" s="20" t="str">
        <f aca="false">HYPERLINK("https://www.google.iq/maps/search/+36.8617,42.9974/@36.8617,42.9974,14z?hl=en","Maplink2")</f>
        <v>Maplink2</v>
      </c>
      <c r="AU1398" s="20" t="str">
        <f aca="false">HYPERLINK("http://www.bing.com/maps/?lvl=14&amp;sty=h&amp;cp=36.8617~42.9974&amp;sp=point.36.8617_42.9974","Maplink3")</f>
        <v>Maplink3</v>
      </c>
    </row>
    <row r="1399" customFormat="false" ht="15" hidden="false" customHeight="true" outlineLevel="0" collapsed="false">
      <c r="A1399" s="15" t="n">
        <v>25899</v>
      </c>
      <c r="B1399" s="16" t="s">
        <v>19</v>
      </c>
      <c r="C1399" s="16" t="s">
        <v>19</v>
      </c>
      <c r="D1399" s="16" t="s">
        <v>2771</v>
      </c>
      <c r="E1399" s="17" t="s">
        <v>2772</v>
      </c>
      <c r="F1399" s="16" t="n">
        <v>36.82158758</v>
      </c>
      <c r="G1399" s="16" t="n">
        <v>43.11832289</v>
      </c>
      <c r="H1399" s="18" t="n">
        <v>27</v>
      </c>
      <c r="I1399" s="18" t="n">
        <v>162</v>
      </c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 t="n">
        <v>27</v>
      </c>
      <c r="W1399" s="19"/>
      <c r="X1399" s="19"/>
      <c r="Y1399" s="19"/>
      <c r="Z1399" s="19"/>
      <c r="AA1399" s="19"/>
      <c r="AB1399" s="19"/>
      <c r="AC1399" s="19" t="n">
        <v>6</v>
      </c>
      <c r="AD1399" s="19"/>
      <c r="AE1399" s="19"/>
      <c r="AF1399" s="19"/>
      <c r="AG1399" s="19"/>
      <c r="AH1399" s="19" t="n">
        <v>12</v>
      </c>
      <c r="AI1399" s="19"/>
      <c r="AJ1399" s="19" t="n">
        <v>9</v>
      </c>
      <c r="AK1399" s="19"/>
      <c r="AL1399" s="19"/>
      <c r="AM1399" s="19" t="n">
        <v>7</v>
      </c>
      <c r="AN1399" s="19" t="n">
        <v>20</v>
      </c>
      <c r="AO1399" s="19"/>
      <c r="AP1399" s="19"/>
      <c r="AQ1399" s="19"/>
      <c r="AR1399" s="19"/>
      <c r="AS1399" s="20" t="str">
        <f aca="false">HYPERLINK("http://www.openstreetmap.org/?mlat=36.8216&amp;mlon=43.1183&amp;zoom=12#map=12/36.8216/43.1183","Maplink1")</f>
        <v>Maplink1</v>
      </c>
      <c r="AT1399" s="20" t="str">
        <f aca="false">HYPERLINK("https://www.google.iq/maps/search/+36.8216,43.1183/@36.8216,43.1183,14z?hl=en","Maplink2")</f>
        <v>Maplink2</v>
      </c>
      <c r="AU1399" s="20" t="str">
        <f aca="false">HYPERLINK("http://www.bing.com/maps/?lvl=14&amp;sty=h&amp;cp=36.8216~43.1183&amp;sp=point.36.8216_43.1183","Maplink3")</f>
        <v>Maplink3</v>
      </c>
    </row>
    <row r="1400" customFormat="false" ht="15" hidden="false" customHeight="true" outlineLevel="0" collapsed="false">
      <c r="A1400" s="15" t="n">
        <v>26052</v>
      </c>
      <c r="B1400" s="16" t="s">
        <v>19</v>
      </c>
      <c r="C1400" s="16" t="s">
        <v>19</v>
      </c>
      <c r="D1400" s="16" t="s">
        <v>2773</v>
      </c>
      <c r="E1400" s="17" t="s">
        <v>2774</v>
      </c>
      <c r="F1400" s="16" t="n">
        <v>36.84584633</v>
      </c>
      <c r="G1400" s="16" t="n">
        <v>43.01010837</v>
      </c>
      <c r="H1400" s="18" t="n">
        <v>80</v>
      </c>
      <c r="I1400" s="18" t="n">
        <v>480</v>
      </c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 t="n">
        <v>80</v>
      </c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 t="n">
        <v>80</v>
      </c>
      <c r="AI1400" s="19"/>
      <c r="AJ1400" s="19"/>
      <c r="AK1400" s="19"/>
      <c r="AL1400" s="19"/>
      <c r="AM1400" s="19" t="n">
        <v>21</v>
      </c>
      <c r="AN1400" s="19" t="n">
        <v>59</v>
      </c>
      <c r="AO1400" s="19"/>
      <c r="AP1400" s="19"/>
      <c r="AQ1400" s="19"/>
      <c r="AR1400" s="19"/>
      <c r="AS1400" s="20" t="str">
        <f aca="false">HYPERLINK("http://www.openstreetmap.org/?mlat=36.8458&amp;mlon=43.0101&amp;zoom=12#map=12/36.8458/43.0101","Maplink1")</f>
        <v>Maplink1</v>
      </c>
      <c r="AT1400" s="20" t="str">
        <f aca="false">HYPERLINK("https://www.google.iq/maps/search/+36.8458,43.0101/@36.8458,43.0101,14z?hl=en","Maplink2")</f>
        <v>Maplink2</v>
      </c>
      <c r="AU1400" s="20" t="str">
        <f aca="false">HYPERLINK("http://www.bing.com/maps/?lvl=14&amp;sty=h&amp;cp=36.8458~43.0101&amp;sp=point.36.8458_43.0101","Maplink3")</f>
        <v>Maplink3</v>
      </c>
    </row>
    <row r="1401" customFormat="false" ht="15" hidden="false" customHeight="true" outlineLevel="0" collapsed="false">
      <c r="A1401" s="15" t="n">
        <v>26047</v>
      </c>
      <c r="B1401" s="16" t="s">
        <v>19</v>
      </c>
      <c r="C1401" s="16" t="s">
        <v>19</v>
      </c>
      <c r="D1401" s="16" t="s">
        <v>2775</v>
      </c>
      <c r="E1401" s="17" t="s">
        <v>2776</v>
      </c>
      <c r="F1401" s="16" t="n">
        <v>36.86335397</v>
      </c>
      <c r="G1401" s="16" t="n">
        <v>42.96851179</v>
      </c>
      <c r="H1401" s="18" t="n">
        <v>145</v>
      </c>
      <c r="I1401" s="18" t="n">
        <v>870</v>
      </c>
      <c r="J1401" s="19" t="n">
        <v>7</v>
      </c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 t="n">
        <v>138</v>
      </c>
      <c r="W1401" s="19"/>
      <c r="X1401" s="19"/>
      <c r="Y1401" s="19"/>
      <c r="Z1401" s="19"/>
      <c r="AA1401" s="19"/>
      <c r="AB1401" s="19"/>
      <c r="AC1401" s="19"/>
      <c r="AD1401" s="19" t="n">
        <v>51</v>
      </c>
      <c r="AE1401" s="19"/>
      <c r="AF1401" s="19"/>
      <c r="AG1401" s="19"/>
      <c r="AH1401" s="19" t="n">
        <v>86</v>
      </c>
      <c r="AI1401" s="19"/>
      <c r="AJ1401" s="19" t="n">
        <v>8</v>
      </c>
      <c r="AK1401" s="19"/>
      <c r="AL1401" s="19" t="n">
        <v>7</v>
      </c>
      <c r="AM1401" s="19" t="n">
        <v>48</v>
      </c>
      <c r="AN1401" s="19" t="n">
        <v>90</v>
      </c>
      <c r="AO1401" s="19"/>
      <c r="AP1401" s="19"/>
      <c r="AQ1401" s="19"/>
      <c r="AR1401" s="19"/>
      <c r="AS1401" s="20" t="str">
        <f aca="false">HYPERLINK("http://www.openstreetmap.org/?mlat=36.8634&amp;mlon=42.9685&amp;zoom=12#map=12/36.8634/42.9685","Maplink1")</f>
        <v>Maplink1</v>
      </c>
      <c r="AT1401" s="20" t="str">
        <f aca="false">HYPERLINK("https://www.google.iq/maps/search/+36.8634,42.9685/@36.8634,42.9685,14z?hl=en","Maplink2")</f>
        <v>Maplink2</v>
      </c>
      <c r="AU1401" s="20" t="str">
        <f aca="false">HYPERLINK("http://www.bing.com/maps/?lvl=14&amp;sty=h&amp;cp=36.8634~42.9685&amp;sp=point.36.8634_42.9685","Maplink3")</f>
        <v>Maplink3</v>
      </c>
    </row>
    <row r="1402" customFormat="false" ht="15" hidden="false" customHeight="true" outlineLevel="0" collapsed="false">
      <c r="A1402" s="15" t="n">
        <v>23763</v>
      </c>
      <c r="B1402" s="16" t="s">
        <v>19</v>
      </c>
      <c r="C1402" s="16" t="s">
        <v>19</v>
      </c>
      <c r="D1402" s="16" t="s">
        <v>2777</v>
      </c>
      <c r="E1402" s="17" t="s">
        <v>2778</v>
      </c>
      <c r="F1402" s="16" t="n">
        <v>36.86547898</v>
      </c>
      <c r="G1402" s="16" t="n">
        <v>42.97862174</v>
      </c>
      <c r="H1402" s="18" t="n">
        <v>10</v>
      </c>
      <c r="I1402" s="18" t="n">
        <v>60</v>
      </c>
      <c r="J1402" s="19"/>
      <c r="K1402" s="19"/>
      <c r="L1402" s="19" t="n">
        <v>1</v>
      </c>
      <c r="M1402" s="19"/>
      <c r="N1402" s="19"/>
      <c r="O1402" s="19"/>
      <c r="P1402" s="19"/>
      <c r="Q1402" s="19"/>
      <c r="R1402" s="19"/>
      <c r="S1402" s="19"/>
      <c r="T1402" s="19"/>
      <c r="U1402" s="19"/>
      <c r="V1402" s="19" t="n">
        <v>9</v>
      </c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 t="n">
        <v>10</v>
      </c>
      <c r="AI1402" s="19"/>
      <c r="AJ1402" s="19"/>
      <c r="AK1402" s="19"/>
      <c r="AL1402" s="19" t="n">
        <v>1</v>
      </c>
      <c r="AM1402" s="19" t="n">
        <v>2</v>
      </c>
      <c r="AN1402" s="19" t="n">
        <v>7</v>
      </c>
      <c r="AO1402" s="19"/>
      <c r="AP1402" s="19"/>
      <c r="AQ1402" s="19"/>
      <c r="AR1402" s="19"/>
      <c r="AS1402" s="20" t="str">
        <f aca="false">HYPERLINK("http://www.openstreetmap.org/?mlat=36.8655&amp;mlon=42.9786&amp;zoom=12#map=12/36.8655/42.9786","Maplink1")</f>
        <v>Maplink1</v>
      </c>
      <c r="AT1402" s="20" t="str">
        <f aca="false">HYPERLINK("https://www.google.iq/maps/search/+36.8655,42.9786/@36.8655,42.9786,14z?hl=en","Maplink2")</f>
        <v>Maplink2</v>
      </c>
      <c r="AU1402" s="20" t="str">
        <f aca="false">HYPERLINK("http://www.bing.com/maps/?lvl=14&amp;sty=h&amp;cp=36.8655~42.9786&amp;sp=point.36.8655_42.9786","Maplink3")</f>
        <v>Maplink3</v>
      </c>
    </row>
    <row r="1403" customFormat="false" ht="15" hidden="false" customHeight="true" outlineLevel="0" collapsed="false">
      <c r="A1403" s="15" t="n">
        <v>24302</v>
      </c>
      <c r="B1403" s="16" t="s">
        <v>19</v>
      </c>
      <c r="C1403" s="16" t="s">
        <v>19</v>
      </c>
      <c r="D1403" s="16" t="s">
        <v>2779</v>
      </c>
      <c r="E1403" s="17" t="s">
        <v>2780</v>
      </c>
      <c r="F1403" s="16" t="n">
        <v>36.851021</v>
      </c>
      <c r="G1403" s="16" t="n">
        <v>43.048212</v>
      </c>
      <c r="H1403" s="18" t="n">
        <v>630</v>
      </c>
      <c r="I1403" s="18" t="n">
        <v>3780</v>
      </c>
      <c r="J1403" s="19" t="n">
        <v>6</v>
      </c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 t="n">
        <v>624</v>
      </c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 t="n">
        <v>630</v>
      </c>
      <c r="AI1403" s="19"/>
      <c r="AJ1403" s="19"/>
      <c r="AK1403" s="19"/>
      <c r="AL1403" s="19" t="n">
        <v>6</v>
      </c>
      <c r="AM1403" s="19" t="n">
        <v>490</v>
      </c>
      <c r="AN1403" s="19" t="n">
        <v>134</v>
      </c>
      <c r="AO1403" s="19"/>
      <c r="AP1403" s="19"/>
      <c r="AQ1403" s="19"/>
      <c r="AR1403" s="19"/>
      <c r="AS1403" s="20" t="str">
        <f aca="false">HYPERLINK("http://www.openstreetmap.org/?mlat=36.851&amp;mlon=43.0482&amp;zoom=12#map=12/36.851/43.0482","Maplink1")</f>
        <v>Maplink1</v>
      </c>
      <c r="AT1403" s="20" t="str">
        <f aca="false">HYPERLINK("https://www.google.iq/maps/search/+36.851,43.0482/@36.851,43.0482,14z?hl=en","Maplink2")</f>
        <v>Maplink2</v>
      </c>
      <c r="AU1403" s="20" t="str">
        <f aca="false">HYPERLINK("http://www.bing.com/maps/?lvl=14&amp;sty=h&amp;cp=36.851~43.0482&amp;sp=point.36.851_43.0482","Maplink3")</f>
        <v>Maplink3</v>
      </c>
    </row>
    <row r="1404" customFormat="false" ht="15" hidden="false" customHeight="true" outlineLevel="0" collapsed="false">
      <c r="A1404" s="15" t="n">
        <v>24185</v>
      </c>
      <c r="B1404" s="16" t="s">
        <v>19</v>
      </c>
      <c r="C1404" s="16" t="s">
        <v>19</v>
      </c>
      <c r="D1404" s="16" t="s">
        <v>2781</v>
      </c>
      <c r="E1404" s="17" t="s">
        <v>2782</v>
      </c>
      <c r="F1404" s="16" t="n">
        <v>36.84801411</v>
      </c>
      <c r="G1404" s="16" t="n">
        <v>43.02434435</v>
      </c>
      <c r="H1404" s="18" t="n">
        <v>25</v>
      </c>
      <c r="I1404" s="18" t="n">
        <v>150</v>
      </c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 t="n">
        <v>25</v>
      </c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 t="n">
        <v>25</v>
      </c>
      <c r="AI1404" s="19"/>
      <c r="AJ1404" s="19"/>
      <c r="AK1404" s="19"/>
      <c r="AL1404" s="19"/>
      <c r="AM1404" s="19" t="n">
        <v>11</v>
      </c>
      <c r="AN1404" s="19" t="n">
        <v>14</v>
      </c>
      <c r="AO1404" s="19"/>
      <c r="AP1404" s="19"/>
      <c r="AQ1404" s="19"/>
      <c r="AR1404" s="19"/>
      <c r="AS1404" s="20" t="str">
        <f aca="false">HYPERLINK("http://www.openstreetmap.org/?mlat=36.848&amp;mlon=43.0243&amp;zoom=12#map=12/36.848/43.0243","Maplink1")</f>
        <v>Maplink1</v>
      </c>
      <c r="AT1404" s="20" t="str">
        <f aca="false">HYPERLINK("https://www.google.iq/maps/search/+36.848,43.0243/@36.848,43.0243,14z?hl=en","Maplink2")</f>
        <v>Maplink2</v>
      </c>
      <c r="AU1404" s="20" t="str">
        <f aca="false">HYPERLINK("http://www.bing.com/maps/?lvl=14&amp;sty=h&amp;cp=36.848~43.0243&amp;sp=point.36.848_43.0243","Maplink3")</f>
        <v>Maplink3</v>
      </c>
    </row>
    <row r="1405" customFormat="false" ht="15" hidden="false" customHeight="true" outlineLevel="0" collapsed="false">
      <c r="A1405" s="15" t="n">
        <v>7949</v>
      </c>
      <c r="B1405" s="16" t="s">
        <v>19</v>
      </c>
      <c r="C1405" s="16" t="s">
        <v>19</v>
      </c>
      <c r="D1405" s="16" t="s">
        <v>2783</v>
      </c>
      <c r="E1405" s="17" t="s">
        <v>2784</v>
      </c>
      <c r="F1405" s="16" t="n">
        <v>36.85937818</v>
      </c>
      <c r="G1405" s="16" t="n">
        <v>43.09546258</v>
      </c>
      <c r="H1405" s="18" t="n">
        <v>155</v>
      </c>
      <c r="I1405" s="18" t="n">
        <v>930</v>
      </c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 t="n">
        <v>155</v>
      </c>
      <c r="W1405" s="19"/>
      <c r="X1405" s="19"/>
      <c r="Y1405" s="19"/>
      <c r="Z1405" s="19"/>
      <c r="AA1405" s="19"/>
      <c r="AB1405" s="19"/>
      <c r="AC1405" s="19" t="n">
        <v>14</v>
      </c>
      <c r="AD1405" s="19"/>
      <c r="AE1405" s="19"/>
      <c r="AF1405" s="19"/>
      <c r="AG1405" s="19"/>
      <c r="AH1405" s="19" t="n">
        <v>27</v>
      </c>
      <c r="AI1405" s="19"/>
      <c r="AJ1405" s="19" t="n">
        <v>114</v>
      </c>
      <c r="AK1405" s="19"/>
      <c r="AL1405" s="19"/>
      <c r="AM1405" s="19" t="n">
        <v>40</v>
      </c>
      <c r="AN1405" s="19" t="n">
        <v>115</v>
      </c>
      <c r="AO1405" s="19"/>
      <c r="AP1405" s="19"/>
      <c r="AQ1405" s="19"/>
      <c r="AR1405" s="19"/>
      <c r="AS1405" s="20" t="str">
        <f aca="false">HYPERLINK("http://www.openstreetmap.org/?mlat=36.8594&amp;mlon=43.0955&amp;zoom=12#map=12/36.8594/43.0955","Maplink1")</f>
        <v>Maplink1</v>
      </c>
      <c r="AT1405" s="20" t="str">
        <f aca="false">HYPERLINK("https://www.google.iq/maps/search/+36.8594,43.0955/@36.8594,43.0955,14z?hl=en","Maplink2")</f>
        <v>Maplink2</v>
      </c>
      <c r="AU1405" s="20" t="str">
        <f aca="false">HYPERLINK("http://www.bing.com/maps/?lvl=14&amp;sty=h&amp;cp=36.8594~43.0955&amp;sp=point.36.8594_43.0955","Maplink3")</f>
        <v>Maplink3</v>
      </c>
    </row>
    <row r="1406" customFormat="false" ht="15" hidden="false" customHeight="true" outlineLevel="0" collapsed="false">
      <c r="A1406" s="15" t="n">
        <v>24628</v>
      </c>
      <c r="B1406" s="16" t="s">
        <v>19</v>
      </c>
      <c r="C1406" s="16" t="s">
        <v>19</v>
      </c>
      <c r="D1406" s="16" t="s">
        <v>2785</v>
      </c>
      <c r="E1406" s="17" t="s">
        <v>2786</v>
      </c>
      <c r="F1406" s="16" t="n">
        <v>36.84458797</v>
      </c>
      <c r="G1406" s="16" t="n">
        <v>43.08229135</v>
      </c>
      <c r="H1406" s="18" t="n">
        <v>750</v>
      </c>
      <c r="I1406" s="18" t="n">
        <v>4500</v>
      </c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 t="n">
        <v>750</v>
      </c>
      <c r="W1406" s="19"/>
      <c r="X1406" s="19"/>
      <c r="Y1406" s="19"/>
      <c r="Z1406" s="19"/>
      <c r="AA1406" s="19"/>
      <c r="AB1406" s="19"/>
      <c r="AC1406" s="19" t="n">
        <v>40</v>
      </c>
      <c r="AD1406" s="19"/>
      <c r="AE1406" s="19"/>
      <c r="AF1406" s="19"/>
      <c r="AG1406" s="19"/>
      <c r="AH1406" s="19" t="n">
        <v>600</v>
      </c>
      <c r="AI1406" s="19"/>
      <c r="AJ1406" s="19" t="n">
        <v>110</v>
      </c>
      <c r="AK1406" s="19"/>
      <c r="AL1406" s="19"/>
      <c r="AM1406" s="19" t="n">
        <v>253</v>
      </c>
      <c r="AN1406" s="19" t="n">
        <v>497</v>
      </c>
      <c r="AO1406" s="19"/>
      <c r="AP1406" s="19"/>
      <c r="AQ1406" s="19"/>
      <c r="AR1406" s="19"/>
      <c r="AS1406" s="20" t="str">
        <f aca="false">HYPERLINK("http://www.openstreetmap.org/?mlat=36.8446&amp;mlon=43.0823&amp;zoom=12#map=12/36.8446/43.0823","Maplink1")</f>
        <v>Maplink1</v>
      </c>
      <c r="AT1406" s="20" t="str">
        <f aca="false">HYPERLINK("https://www.google.iq/maps/search/+36.8446,43.0823/@36.8446,43.0823,14z?hl=en","Maplink2")</f>
        <v>Maplink2</v>
      </c>
      <c r="AU1406" s="20" t="str">
        <f aca="false">HYPERLINK("http://www.bing.com/maps/?lvl=14&amp;sty=h&amp;cp=36.8446~43.0823&amp;sp=point.36.8446_43.0823","Maplink3")</f>
        <v>Maplink3</v>
      </c>
    </row>
    <row r="1407" customFormat="false" ht="15" hidden="false" customHeight="true" outlineLevel="0" collapsed="false">
      <c r="A1407" s="15" t="n">
        <v>23711</v>
      </c>
      <c r="B1407" s="16" t="s">
        <v>19</v>
      </c>
      <c r="C1407" s="16" t="s">
        <v>19</v>
      </c>
      <c r="D1407" s="16" t="s">
        <v>2787</v>
      </c>
      <c r="E1407" s="17" t="s">
        <v>2788</v>
      </c>
      <c r="F1407" s="16" t="n">
        <v>36.86428391</v>
      </c>
      <c r="G1407" s="16" t="n">
        <v>43.00491547</v>
      </c>
      <c r="H1407" s="18" t="n">
        <v>67</v>
      </c>
      <c r="I1407" s="18" t="n">
        <v>402</v>
      </c>
      <c r="J1407" s="19" t="n">
        <v>1</v>
      </c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 t="n">
        <v>66</v>
      </c>
      <c r="W1407" s="19"/>
      <c r="X1407" s="19"/>
      <c r="Y1407" s="19"/>
      <c r="Z1407" s="19"/>
      <c r="AA1407" s="19"/>
      <c r="AB1407" s="19"/>
      <c r="AC1407" s="19" t="n">
        <v>3</v>
      </c>
      <c r="AD1407" s="19" t="n">
        <v>3</v>
      </c>
      <c r="AE1407" s="19"/>
      <c r="AF1407" s="19"/>
      <c r="AG1407" s="19"/>
      <c r="AH1407" s="19" t="n">
        <v>61</v>
      </c>
      <c r="AI1407" s="19"/>
      <c r="AJ1407" s="19"/>
      <c r="AK1407" s="19"/>
      <c r="AL1407" s="19" t="n">
        <v>1</v>
      </c>
      <c r="AM1407" s="19"/>
      <c r="AN1407" s="19" t="n">
        <v>66</v>
      </c>
      <c r="AO1407" s="19"/>
      <c r="AP1407" s="19"/>
      <c r="AQ1407" s="19"/>
      <c r="AR1407" s="19"/>
      <c r="AS1407" s="20" t="str">
        <f aca="false">HYPERLINK("http://www.openstreetmap.org/?mlat=36.8643&amp;mlon=43.0049&amp;zoom=12#map=12/36.8643/43.0049","Maplink1")</f>
        <v>Maplink1</v>
      </c>
      <c r="AT1407" s="20" t="str">
        <f aca="false">HYPERLINK("https://www.google.iq/maps/search/+36.8643,43.0049/@36.8643,43.0049,14z?hl=en","Maplink2")</f>
        <v>Maplink2</v>
      </c>
      <c r="AU1407" s="20" t="str">
        <f aca="false">HYPERLINK("http://www.bing.com/maps/?lvl=14&amp;sty=h&amp;cp=36.8643~43.0049&amp;sp=point.36.8643_43.0049","Maplink3")</f>
        <v>Maplink3</v>
      </c>
    </row>
    <row r="1408" customFormat="false" ht="15" hidden="false" customHeight="true" outlineLevel="0" collapsed="false">
      <c r="A1408" s="15" t="n">
        <v>8371</v>
      </c>
      <c r="B1408" s="16" t="s">
        <v>19</v>
      </c>
      <c r="C1408" s="16" t="s">
        <v>19</v>
      </c>
      <c r="D1408" s="16" t="s">
        <v>2789</v>
      </c>
      <c r="E1408" s="17" t="s">
        <v>2790</v>
      </c>
      <c r="F1408" s="16" t="n">
        <v>36.84818791</v>
      </c>
      <c r="G1408" s="16" t="n">
        <v>42.94155302</v>
      </c>
      <c r="H1408" s="18" t="n">
        <v>39</v>
      </c>
      <c r="I1408" s="18" t="n">
        <v>234</v>
      </c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 t="n">
        <v>39</v>
      </c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 t="n">
        <v>27</v>
      </c>
      <c r="AI1408" s="19"/>
      <c r="AJ1408" s="19" t="n">
        <v>12</v>
      </c>
      <c r="AK1408" s="19"/>
      <c r="AL1408" s="19"/>
      <c r="AM1408" s="19" t="n">
        <v>7</v>
      </c>
      <c r="AN1408" s="19" t="n">
        <v>32</v>
      </c>
      <c r="AO1408" s="19"/>
      <c r="AP1408" s="19"/>
      <c r="AQ1408" s="19"/>
      <c r="AR1408" s="19"/>
      <c r="AS1408" s="20" t="str">
        <f aca="false">HYPERLINK("http://www.openstreetmap.org/?mlat=36.8482&amp;mlon=42.9416&amp;zoom=12#map=12/36.8482/42.9416","Maplink1")</f>
        <v>Maplink1</v>
      </c>
      <c r="AT1408" s="20" t="str">
        <f aca="false">HYPERLINK("https://www.google.iq/maps/search/+36.8482,42.9416/@36.8482,42.9416,14z?hl=en","Maplink2")</f>
        <v>Maplink2</v>
      </c>
      <c r="AU1408" s="20" t="str">
        <f aca="false">HYPERLINK("http://www.bing.com/maps/?lvl=14&amp;sty=h&amp;cp=36.8482~42.9416&amp;sp=point.36.8482_42.9416","Maplink3")</f>
        <v>Maplink3</v>
      </c>
    </row>
    <row r="1409" customFormat="false" ht="15" hidden="false" customHeight="true" outlineLevel="0" collapsed="false">
      <c r="A1409" s="15" t="n">
        <v>21509</v>
      </c>
      <c r="B1409" s="16" t="s">
        <v>19</v>
      </c>
      <c r="C1409" s="16" t="s">
        <v>19</v>
      </c>
      <c r="D1409" s="16" t="s">
        <v>2791</v>
      </c>
      <c r="E1409" s="17" t="s">
        <v>2792</v>
      </c>
      <c r="F1409" s="16" t="n">
        <v>36.86776086</v>
      </c>
      <c r="G1409" s="16" t="n">
        <v>42.98979315</v>
      </c>
      <c r="H1409" s="18" t="n">
        <v>201</v>
      </c>
      <c r="I1409" s="18" t="n">
        <v>1206</v>
      </c>
      <c r="J1409" s="19" t="n">
        <v>4</v>
      </c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 t="n">
        <v>197</v>
      </c>
      <c r="W1409" s="19"/>
      <c r="X1409" s="19"/>
      <c r="Y1409" s="19"/>
      <c r="Z1409" s="19"/>
      <c r="AA1409" s="19"/>
      <c r="AB1409" s="19"/>
      <c r="AC1409" s="19"/>
      <c r="AD1409" s="19" t="n">
        <v>60</v>
      </c>
      <c r="AE1409" s="19"/>
      <c r="AF1409" s="19"/>
      <c r="AG1409" s="19"/>
      <c r="AH1409" s="19" t="n">
        <v>141</v>
      </c>
      <c r="AI1409" s="19"/>
      <c r="AJ1409" s="19"/>
      <c r="AK1409" s="19"/>
      <c r="AL1409" s="19" t="n">
        <v>4</v>
      </c>
      <c r="AM1409" s="19" t="n">
        <v>107</v>
      </c>
      <c r="AN1409" s="19" t="n">
        <v>90</v>
      </c>
      <c r="AO1409" s="19"/>
      <c r="AP1409" s="19"/>
      <c r="AQ1409" s="19"/>
      <c r="AR1409" s="19"/>
      <c r="AS1409" s="20" t="str">
        <f aca="false">HYPERLINK("http://www.openstreetmap.org/?mlat=36.8678&amp;mlon=42.9898&amp;zoom=12#map=12/36.8678/42.9898","Maplink1")</f>
        <v>Maplink1</v>
      </c>
      <c r="AT1409" s="20" t="str">
        <f aca="false">HYPERLINK("https://www.google.iq/maps/search/+36.8678,42.9898/@36.8678,42.9898,14z?hl=en","Maplink2")</f>
        <v>Maplink2</v>
      </c>
      <c r="AU1409" s="20" t="str">
        <f aca="false">HYPERLINK("http://www.bing.com/maps/?lvl=14&amp;sty=h&amp;cp=36.8678~42.9898&amp;sp=point.36.8678_42.9898","Maplink3")</f>
        <v>Maplink3</v>
      </c>
    </row>
    <row r="1410" customFormat="false" ht="15" hidden="false" customHeight="true" outlineLevel="0" collapsed="false">
      <c r="A1410" s="15" t="n">
        <v>7984</v>
      </c>
      <c r="B1410" s="16" t="s">
        <v>19</v>
      </c>
      <c r="C1410" s="16" t="s">
        <v>19</v>
      </c>
      <c r="D1410" s="16" t="s">
        <v>2793</v>
      </c>
      <c r="E1410" s="17" t="s">
        <v>2794</v>
      </c>
      <c r="F1410" s="16" t="n">
        <v>36.88975864</v>
      </c>
      <c r="G1410" s="16" t="n">
        <v>42.9150758</v>
      </c>
      <c r="H1410" s="18" t="n">
        <v>125</v>
      </c>
      <c r="I1410" s="18" t="n">
        <v>750</v>
      </c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 t="n">
        <v>125</v>
      </c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 t="n">
        <v>20</v>
      </c>
      <c r="AI1410" s="19"/>
      <c r="AJ1410" s="19" t="n">
        <v>105</v>
      </c>
      <c r="AK1410" s="19"/>
      <c r="AL1410" s="19"/>
      <c r="AM1410" s="19" t="n">
        <v>5</v>
      </c>
      <c r="AN1410" s="19" t="n">
        <v>120</v>
      </c>
      <c r="AO1410" s="19"/>
      <c r="AP1410" s="19"/>
      <c r="AQ1410" s="19"/>
      <c r="AR1410" s="19"/>
      <c r="AS1410" s="20" t="str">
        <f aca="false">HYPERLINK("http://www.openstreetmap.org/?mlat=36.8898&amp;mlon=42.9151&amp;zoom=12#map=12/36.8898/42.9151","Maplink1")</f>
        <v>Maplink1</v>
      </c>
      <c r="AT1410" s="20" t="str">
        <f aca="false">HYPERLINK("https://www.google.iq/maps/search/+36.8898,42.9151/@36.8898,42.9151,14z?hl=en","Maplink2")</f>
        <v>Maplink2</v>
      </c>
      <c r="AU1410" s="20" t="str">
        <f aca="false">HYPERLINK("http://www.bing.com/maps/?lvl=14&amp;sty=h&amp;cp=36.8898~42.9151&amp;sp=point.36.8898_42.9151","Maplink3")</f>
        <v>Maplink3</v>
      </c>
    </row>
    <row r="1411" customFormat="false" ht="15" hidden="false" customHeight="true" outlineLevel="0" collapsed="false">
      <c r="A1411" s="15" t="n">
        <v>24184</v>
      </c>
      <c r="B1411" s="16" t="s">
        <v>19</v>
      </c>
      <c r="C1411" s="16" t="s">
        <v>19</v>
      </c>
      <c r="D1411" s="16" t="s">
        <v>2795</v>
      </c>
      <c r="E1411" s="17" t="s">
        <v>2796</v>
      </c>
      <c r="F1411" s="16" t="n">
        <v>36.85654349</v>
      </c>
      <c r="G1411" s="16" t="n">
        <v>43.00157231</v>
      </c>
      <c r="H1411" s="18" t="n">
        <v>156</v>
      </c>
      <c r="I1411" s="18" t="n">
        <v>936</v>
      </c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 t="n">
        <v>156</v>
      </c>
      <c r="W1411" s="19"/>
      <c r="X1411" s="19"/>
      <c r="Y1411" s="19"/>
      <c r="Z1411" s="19"/>
      <c r="AA1411" s="19"/>
      <c r="AB1411" s="19"/>
      <c r="AC1411" s="19" t="n">
        <v>6</v>
      </c>
      <c r="AD1411" s="19" t="n">
        <v>60</v>
      </c>
      <c r="AE1411" s="19"/>
      <c r="AF1411" s="19"/>
      <c r="AG1411" s="19"/>
      <c r="AH1411" s="19" t="n">
        <v>90</v>
      </c>
      <c r="AI1411" s="19"/>
      <c r="AJ1411" s="19"/>
      <c r="AK1411" s="19"/>
      <c r="AL1411" s="19"/>
      <c r="AM1411" s="19" t="n">
        <v>70</v>
      </c>
      <c r="AN1411" s="19" t="n">
        <v>86</v>
      </c>
      <c r="AO1411" s="19"/>
      <c r="AP1411" s="19"/>
      <c r="AQ1411" s="19"/>
      <c r="AR1411" s="19"/>
      <c r="AS1411" s="20" t="str">
        <f aca="false">HYPERLINK("http://www.openstreetmap.org/?mlat=36.8565&amp;mlon=43.0016&amp;zoom=12#map=12/36.8565/43.0016","Maplink1")</f>
        <v>Maplink1</v>
      </c>
      <c r="AT1411" s="20" t="str">
        <f aca="false">HYPERLINK("https://www.google.iq/maps/search/+36.8565,43.0016/@36.8565,43.0016,14z?hl=en","Maplink2")</f>
        <v>Maplink2</v>
      </c>
      <c r="AU1411" s="20" t="str">
        <f aca="false">HYPERLINK("http://www.bing.com/maps/?lvl=14&amp;sty=h&amp;cp=36.8565~43.0016&amp;sp=point.36.8565_43.0016","Maplink3")</f>
        <v>Maplink3</v>
      </c>
    </row>
    <row r="1412" customFormat="false" ht="15" hidden="false" customHeight="true" outlineLevel="0" collapsed="false">
      <c r="A1412" s="15" t="n">
        <v>8871</v>
      </c>
      <c r="B1412" s="16" t="s">
        <v>19</v>
      </c>
      <c r="C1412" s="16" t="s">
        <v>19</v>
      </c>
      <c r="D1412" s="16" t="s">
        <v>2797</v>
      </c>
      <c r="E1412" s="17" t="s">
        <v>2798</v>
      </c>
      <c r="F1412" s="16" t="n">
        <v>36.93307613</v>
      </c>
      <c r="G1412" s="16" t="n">
        <v>43.1448103</v>
      </c>
      <c r="H1412" s="18" t="n">
        <v>129</v>
      </c>
      <c r="I1412" s="18" t="n">
        <v>774</v>
      </c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 t="n">
        <v>129</v>
      </c>
      <c r="W1412" s="19"/>
      <c r="X1412" s="19"/>
      <c r="Y1412" s="19"/>
      <c r="Z1412" s="19"/>
      <c r="AA1412" s="19"/>
      <c r="AB1412" s="19"/>
      <c r="AC1412" s="19" t="n">
        <v>75</v>
      </c>
      <c r="AD1412" s="19"/>
      <c r="AE1412" s="19" t="n">
        <v>6</v>
      </c>
      <c r="AF1412" s="19"/>
      <c r="AG1412" s="19" t="n">
        <v>1</v>
      </c>
      <c r="AH1412" s="19" t="n">
        <v>26</v>
      </c>
      <c r="AI1412" s="19"/>
      <c r="AJ1412" s="19" t="n">
        <v>21</v>
      </c>
      <c r="AK1412" s="19"/>
      <c r="AL1412" s="19"/>
      <c r="AM1412" s="19" t="n">
        <v>15</v>
      </c>
      <c r="AN1412" s="19" t="n">
        <v>114</v>
      </c>
      <c r="AO1412" s="19"/>
      <c r="AP1412" s="19"/>
      <c r="AQ1412" s="19"/>
      <c r="AR1412" s="19"/>
      <c r="AS1412" s="20" t="str">
        <f aca="false">HYPERLINK("http://www.openstreetmap.org/?mlat=36.9331&amp;mlon=43.1448&amp;zoom=12#map=12/36.9331/43.1448","Maplink1")</f>
        <v>Maplink1</v>
      </c>
      <c r="AT1412" s="20" t="str">
        <f aca="false">HYPERLINK("https://www.google.iq/maps/search/+36.9331,43.1448/@36.9331,43.1448,14z?hl=en","Maplink2")</f>
        <v>Maplink2</v>
      </c>
      <c r="AU1412" s="20" t="str">
        <f aca="false">HYPERLINK("http://www.bing.com/maps/?lvl=14&amp;sty=h&amp;cp=36.9331~43.1448&amp;sp=point.36.9331_43.1448","Maplink3")</f>
        <v>Maplink3</v>
      </c>
    </row>
    <row r="1413" customFormat="false" ht="15" hidden="false" customHeight="true" outlineLevel="0" collapsed="false">
      <c r="A1413" s="15" t="n">
        <v>8238</v>
      </c>
      <c r="B1413" s="16" t="s">
        <v>19</v>
      </c>
      <c r="C1413" s="16" t="s">
        <v>19</v>
      </c>
      <c r="D1413" s="16" t="s">
        <v>2799</v>
      </c>
      <c r="E1413" s="17" t="s">
        <v>2800</v>
      </c>
      <c r="F1413" s="16" t="n">
        <v>37.044347</v>
      </c>
      <c r="G1413" s="16" t="n">
        <v>43.139995</v>
      </c>
      <c r="H1413" s="18" t="n">
        <v>23</v>
      </c>
      <c r="I1413" s="18" t="n">
        <v>138</v>
      </c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 t="n">
        <v>23</v>
      </c>
      <c r="W1413" s="19"/>
      <c r="X1413" s="19"/>
      <c r="Y1413" s="19"/>
      <c r="Z1413" s="19"/>
      <c r="AA1413" s="19"/>
      <c r="AB1413" s="19"/>
      <c r="AC1413" s="19" t="n">
        <v>19</v>
      </c>
      <c r="AD1413" s="19"/>
      <c r="AE1413" s="19"/>
      <c r="AF1413" s="19"/>
      <c r="AG1413" s="19" t="n">
        <v>2</v>
      </c>
      <c r="AH1413" s="19"/>
      <c r="AI1413" s="19"/>
      <c r="AJ1413" s="19" t="n">
        <v>2</v>
      </c>
      <c r="AK1413" s="19"/>
      <c r="AL1413" s="19"/>
      <c r="AM1413" s="19"/>
      <c r="AN1413" s="19" t="n">
        <v>23</v>
      </c>
      <c r="AO1413" s="19"/>
      <c r="AP1413" s="19"/>
      <c r="AQ1413" s="19"/>
      <c r="AR1413" s="19"/>
      <c r="AS1413" s="20" t="str">
        <f aca="false">HYPERLINK("http://www.openstreetmap.org/?mlat=37.0443&amp;mlon=43.14&amp;zoom=12#map=12/37.0443/43.14","Maplink1")</f>
        <v>Maplink1</v>
      </c>
      <c r="AT1413" s="20" t="str">
        <f aca="false">HYPERLINK("https://www.google.iq/maps/search/+37.0443,43.14/@37.0443,43.14,14z?hl=en","Maplink2")</f>
        <v>Maplink2</v>
      </c>
      <c r="AU1413" s="20" t="str">
        <f aca="false">HYPERLINK("http://www.bing.com/maps/?lvl=14&amp;sty=h&amp;cp=37.0443~43.14&amp;sp=point.37.0443_43.14","Maplink3")</f>
        <v>Maplink3</v>
      </c>
    </row>
    <row r="1414" customFormat="false" ht="15" hidden="false" customHeight="true" outlineLevel="0" collapsed="false">
      <c r="A1414" s="15" t="n">
        <v>26045</v>
      </c>
      <c r="B1414" s="16" t="s">
        <v>19</v>
      </c>
      <c r="C1414" s="16" t="s">
        <v>19</v>
      </c>
      <c r="D1414" s="16" t="s">
        <v>2801</v>
      </c>
      <c r="E1414" s="17" t="s">
        <v>2802</v>
      </c>
      <c r="F1414" s="16" t="n">
        <v>36.85374496</v>
      </c>
      <c r="G1414" s="16" t="n">
        <v>42.9331509</v>
      </c>
      <c r="H1414" s="18" t="n">
        <v>160</v>
      </c>
      <c r="I1414" s="18" t="n">
        <v>960</v>
      </c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 t="n">
        <v>160</v>
      </c>
      <c r="W1414" s="19"/>
      <c r="X1414" s="19"/>
      <c r="Y1414" s="19"/>
      <c r="Z1414" s="19"/>
      <c r="AA1414" s="19"/>
      <c r="AB1414" s="19"/>
      <c r="AC1414" s="19"/>
      <c r="AD1414" s="19" t="n">
        <v>40</v>
      </c>
      <c r="AE1414" s="19"/>
      <c r="AF1414" s="19"/>
      <c r="AG1414" s="19"/>
      <c r="AH1414" s="19" t="n">
        <v>120</v>
      </c>
      <c r="AI1414" s="19"/>
      <c r="AJ1414" s="19"/>
      <c r="AK1414" s="19"/>
      <c r="AL1414" s="19"/>
      <c r="AM1414" s="19" t="n">
        <v>18</v>
      </c>
      <c r="AN1414" s="19" t="n">
        <v>142</v>
      </c>
      <c r="AO1414" s="19"/>
      <c r="AP1414" s="19"/>
      <c r="AQ1414" s="19"/>
      <c r="AR1414" s="19"/>
      <c r="AS1414" s="20" t="str">
        <f aca="false">HYPERLINK("http://www.openstreetmap.org/?mlat=36.8537&amp;mlon=42.9332&amp;zoom=12#map=12/36.8537/42.9332","Maplink1")</f>
        <v>Maplink1</v>
      </c>
      <c r="AT1414" s="20" t="str">
        <f aca="false">HYPERLINK("https://www.google.iq/maps/search/+36.8537,42.9332/@36.8537,42.9332,14z?hl=en","Maplink2")</f>
        <v>Maplink2</v>
      </c>
      <c r="AU1414" s="20" t="str">
        <f aca="false">HYPERLINK("http://www.bing.com/maps/?lvl=14&amp;sty=h&amp;cp=36.8537~42.9332&amp;sp=point.36.8537_42.9332","Maplink3")</f>
        <v>Maplink3</v>
      </c>
    </row>
    <row r="1415" customFormat="false" ht="15" hidden="false" customHeight="true" outlineLevel="0" collapsed="false">
      <c r="A1415" s="15" t="n">
        <v>7964</v>
      </c>
      <c r="B1415" s="16" t="s">
        <v>19</v>
      </c>
      <c r="C1415" s="16" t="s">
        <v>19</v>
      </c>
      <c r="D1415" s="16" t="s">
        <v>2803</v>
      </c>
      <c r="E1415" s="17" t="s">
        <v>2804</v>
      </c>
      <c r="F1415" s="16" t="n">
        <v>37.03579703</v>
      </c>
      <c r="G1415" s="16" t="n">
        <v>43.09655244</v>
      </c>
      <c r="H1415" s="18" t="n">
        <v>128</v>
      </c>
      <c r="I1415" s="18" t="n">
        <v>768</v>
      </c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 t="n">
        <v>128</v>
      </c>
      <c r="W1415" s="19"/>
      <c r="X1415" s="19"/>
      <c r="Y1415" s="19"/>
      <c r="Z1415" s="19"/>
      <c r="AA1415" s="19"/>
      <c r="AB1415" s="19"/>
      <c r="AC1415" s="19" t="n">
        <v>86</v>
      </c>
      <c r="AD1415" s="19"/>
      <c r="AE1415" s="19"/>
      <c r="AF1415" s="19"/>
      <c r="AG1415" s="19" t="n">
        <v>29</v>
      </c>
      <c r="AH1415" s="19" t="n">
        <v>13</v>
      </c>
      <c r="AI1415" s="19"/>
      <c r="AJ1415" s="19"/>
      <c r="AK1415" s="19"/>
      <c r="AL1415" s="19"/>
      <c r="AM1415" s="19"/>
      <c r="AN1415" s="19" t="n">
        <v>128</v>
      </c>
      <c r="AO1415" s="19"/>
      <c r="AP1415" s="19"/>
      <c r="AQ1415" s="19"/>
      <c r="AR1415" s="19"/>
      <c r="AS1415" s="20" t="str">
        <f aca="false">HYPERLINK("http://www.openstreetmap.org/?mlat=37.0358&amp;mlon=43.0966&amp;zoom=12#map=12/37.0358/43.0966","Maplink1")</f>
        <v>Maplink1</v>
      </c>
      <c r="AT1415" s="20" t="str">
        <f aca="false">HYPERLINK("https://www.google.iq/maps/search/+37.0358,43.0966/@37.0358,43.0966,14z?hl=en","Maplink2")</f>
        <v>Maplink2</v>
      </c>
      <c r="AU1415" s="20" t="str">
        <f aca="false">HYPERLINK("http://www.bing.com/maps/?lvl=14&amp;sty=h&amp;cp=37.0358~43.0966&amp;sp=point.37.0358_43.0966","Maplink3")</f>
        <v>Maplink3</v>
      </c>
    </row>
    <row r="1416" customFormat="false" ht="15" hidden="false" customHeight="true" outlineLevel="0" collapsed="false">
      <c r="A1416" s="15" t="n">
        <v>24092</v>
      </c>
      <c r="B1416" s="16" t="s">
        <v>19</v>
      </c>
      <c r="C1416" s="16" t="s">
        <v>19</v>
      </c>
      <c r="D1416" s="16" t="s">
        <v>2805</v>
      </c>
      <c r="E1416" s="17" t="s">
        <v>2806</v>
      </c>
      <c r="F1416" s="16" t="n">
        <v>36.87450181</v>
      </c>
      <c r="G1416" s="16" t="n">
        <v>42.95502743</v>
      </c>
      <c r="H1416" s="18" t="n">
        <v>180</v>
      </c>
      <c r="I1416" s="18" t="n">
        <v>1080</v>
      </c>
      <c r="J1416" s="19" t="n">
        <v>3</v>
      </c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 t="n">
        <v>177</v>
      </c>
      <c r="W1416" s="19"/>
      <c r="X1416" s="19"/>
      <c r="Y1416" s="19"/>
      <c r="Z1416" s="19"/>
      <c r="AA1416" s="19"/>
      <c r="AB1416" s="19"/>
      <c r="AC1416" s="19" t="n">
        <v>12</v>
      </c>
      <c r="AD1416" s="19"/>
      <c r="AE1416" s="19"/>
      <c r="AF1416" s="19"/>
      <c r="AG1416" s="19"/>
      <c r="AH1416" s="19" t="n">
        <v>143</v>
      </c>
      <c r="AI1416" s="19"/>
      <c r="AJ1416" s="19" t="n">
        <v>25</v>
      </c>
      <c r="AK1416" s="19"/>
      <c r="AL1416" s="19" t="n">
        <v>3</v>
      </c>
      <c r="AM1416" s="19" t="n">
        <v>92</v>
      </c>
      <c r="AN1416" s="19" t="n">
        <v>85</v>
      </c>
      <c r="AO1416" s="19"/>
      <c r="AP1416" s="19"/>
      <c r="AQ1416" s="19"/>
      <c r="AR1416" s="19"/>
      <c r="AS1416" s="20" t="str">
        <f aca="false">HYPERLINK("http://www.openstreetmap.org/?mlat=36.8745&amp;mlon=42.955&amp;zoom=12#map=12/36.8745/42.955","Maplink1")</f>
        <v>Maplink1</v>
      </c>
      <c r="AT1416" s="20" t="str">
        <f aca="false">HYPERLINK("https://www.google.iq/maps/search/+36.8745,42.955/@36.8745,42.955,14z?hl=en","Maplink2")</f>
        <v>Maplink2</v>
      </c>
      <c r="AU1416" s="20" t="str">
        <f aca="false">HYPERLINK("http://www.bing.com/maps/?lvl=14&amp;sty=h&amp;cp=36.8745~42.955&amp;sp=point.36.8745_42.955","Maplink3")</f>
        <v>Maplink3</v>
      </c>
    </row>
    <row r="1417" customFormat="false" ht="15" hidden="false" customHeight="true" outlineLevel="0" collapsed="false">
      <c r="A1417" s="15" t="n">
        <v>24093</v>
      </c>
      <c r="B1417" s="16" t="s">
        <v>19</v>
      </c>
      <c r="C1417" s="16" t="s">
        <v>19</v>
      </c>
      <c r="D1417" s="16" t="s">
        <v>2807</v>
      </c>
      <c r="E1417" s="17" t="s">
        <v>2808</v>
      </c>
      <c r="F1417" s="16" t="n">
        <v>36.87602809</v>
      </c>
      <c r="G1417" s="16" t="n">
        <v>42.94098452</v>
      </c>
      <c r="H1417" s="18" t="n">
        <v>295</v>
      </c>
      <c r="I1417" s="18" t="n">
        <v>1770</v>
      </c>
      <c r="J1417" s="19" t="n">
        <v>30</v>
      </c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 t="n">
        <v>265</v>
      </c>
      <c r="W1417" s="19"/>
      <c r="X1417" s="19"/>
      <c r="Y1417" s="19"/>
      <c r="Z1417" s="19"/>
      <c r="AA1417" s="19"/>
      <c r="AB1417" s="19"/>
      <c r="AC1417" s="19" t="n">
        <v>11</v>
      </c>
      <c r="AD1417" s="19"/>
      <c r="AE1417" s="19"/>
      <c r="AF1417" s="19"/>
      <c r="AG1417" s="19" t="n">
        <v>20</v>
      </c>
      <c r="AH1417" s="19" t="n">
        <v>214</v>
      </c>
      <c r="AI1417" s="19"/>
      <c r="AJ1417" s="19" t="n">
        <v>50</v>
      </c>
      <c r="AK1417" s="19"/>
      <c r="AL1417" s="19" t="n">
        <v>30</v>
      </c>
      <c r="AM1417" s="19" t="n">
        <v>70</v>
      </c>
      <c r="AN1417" s="19" t="n">
        <v>195</v>
      </c>
      <c r="AO1417" s="19"/>
      <c r="AP1417" s="19"/>
      <c r="AQ1417" s="19"/>
      <c r="AR1417" s="19"/>
      <c r="AS1417" s="20" t="str">
        <f aca="false">HYPERLINK("http://www.openstreetmap.org/?mlat=36.876&amp;mlon=42.941&amp;zoom=12#map=12/36.876/42.941","Maplink1")</f>
        <v>Maplink1</v>
      </c>
      <c r="AT1417" s="20" t="str">
        <f aca="false">HYPERLINK("https://www.google.iq/maps/search/+36.876,42.941/@36.876,42.941,14z?hl=en","Maplink2")</f>
        <v>Maplink2</v>
      </c>
      <c r="AU1417" s="20" t="str">
        <f aca="false">HYPERLINK("http://www.bing.com/maps/?lvl=14&amp;sty=h&amp;cp=36.876~42.941&amp;sp=point.36.876_42.941","Maplink3")</f>
        <v>Maplink3</v>
      </c>
    </row>
    <row r="1418" customFormat="false" ht="15" hidden="false" customHeight="true" outlineLevel="0" collapsed="false">
      <c r="A1418" s="15" t="n">
        <v>24802</v>
      </c>
      <c r="B1418" s="16" t="s">
        <v>19</v>
      </c>
      <c r="C1418" s="16" t="s">
        <v>19</v>
      </c>
      <c r="D1418" s="16" t="s">
        <v>2809</v>
      </c>
      <c r="E1418" s="17" t="s">
        <v>2810</v>
      </c>
      <c r="F1418" s="16" t="n">
        <v>36.85547522</v>
      </c>
      <c r="G1418" s="16" t="n">
        <v>42.97992429</v>
      </c>
      <c r="H1418" s="18" t="n">
        <v>130</v>
      </c>
      <c r="I1418" s="18" t="n">
        <v>780</v>
      </c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 t="n">
        <v>130</v>
      </c>
      <c r="W1418" s="19"/>
      <c r="X1418" s="19"/>
      <c r="Y1418" s="19"/>
      <c r="Z1418" s="19"/>
      <c r="AA1418" s="19"/>
      <c r="AB1418" s="19"/>
      <c r="AC1418" s="19"/>
      <c r="AD1418" s="19" t="n">
        <v>12</v>
      </c>
      <c r="AE1418" s="19"/>
      <c r="AF1418" s="19"/>
      <c r="AG1418" s="19"/>
      <c r="AH1418" s="19" t="n">
        <v>106</v>
      </c>
      <c r="AI1418" s="19"/>
      <c r="AJ1418" s="19" t="n">
        <v>12</v>
      </c>
      <c r="AK1418" s="19"/>
      <c r="AL1418" s="19"/>
      <c r="AM1418" s="19" t="n">
        <v>76</v>
      </c>
      <c r="AN1418" s="19" t="n">
        <v>54</v>
      </c>
      <c r="AO1418" s="19"/>
      <c r="AP1418" s="19"/>
      <c r="AQ1418" s="19"/>
      <c r="AR1418" s="19"/>
      <c r="AS1418" s="20" t="str">
        <f aca="false">HYPERLINK("http://www.openstreetmap.org/?mlat=36.8555&amp;mlon=42.9799&amp;zoom=12#map=12/36.8555/42.9799","Maplink1")</f>
        <v>Maplink1</v>
      </c>
      <c r="AT1418" s="20" t="str">
        <f aca="false">HYPERLINK("https://www.google.iq/maps/search/+36.8555,42.9799/@36.8555,42.9799,14z?hl=en","Maplink2")</f>
        <v>Maplink2</v>
      </c>
      <c r="AU1418" s="20" t="str">
        <f aca="false">HYPERLINK("http://www.bing.com/maps/?lvl=14&amp;sty=h&amp;cp=36.8555~42.9799&amp;sp=point.36.8555_42.9799","Maplink3")</f>
        <v>Maplink3</v>
      </c>
    </row>
    <row r="1419" customFormat="false" ht="15" hidden="false" customHeight="true" outlineLevel="0" collapsed="false">
      <c r="A1419" s="15" t="n">
        <v>24803</v>
      </c>
      <c r="B1419" s="16" t="s">
        <v>19</v>
      </c>
      <c r="C1419" s="16" t="s">
        <v>19</v>
      </c>
      <c r="D1419" s="16" t="s">
        <v>2811</v>
      </c>
      <c r="E1419" s="17" t="s">
        <v>2812</v>
      </c>
      <c r="F1419" s="16" t="n">
        <v>36.85262145</v>
      </c>
      <c r="G1419" s="16" t="n">
        <v>42.94128316</v>
      </c>
      <c r="H1419" s="18" t="n">
        <v>110</v>
      </c>
      <c r="I1419" s="18" t="n">
        <v>660</v>
      </c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 t="n">
        <v>110</v>
      </c>
      <c r="W1419" s="19"/>
      <c r="X1419" s="19"/>
      <c r="Y1419" s="19"/>
      <c r="Z1419" s="19"/>
      <c r="AA1419" s="19"/>
      <c r="AB1419" s="19"/>
      <c r="AC1419" s="19" t="n">
        <v>13</v>
      </c>
      <c r="AD1419" s="19" t="n">
        <v>8</v>
      </c>
      <c r="AE1419" s="19"/>
      <c r="AF1419" s="19"/>
      <c r="AG1419" s="19"/>
      <c r="AH1419" s="19" t="n">
        <v>83</v>
      </c>
      <c r="AI1419" s="19"/>
      <c r="AJ1419" s="19" t="n">
        <v>6</v>
      </c>
      <c r="AK1419" s="19"/>
      <c r="AL1419" s="19"/>
      <c r="AM1419" s="19" t="n">
        <v>25</v>
      </c>
      <c r="AN1419" s="19" t="n">
        <v>85</v>
      </c>
      <c r="AO1419" s="19"/>
      <c r="AP1419" s="19"/>
      <c r="AQ1419" s="19"/>
      <c r="AR1419" s="19"/>
      <c r="AS1419" s="20" t="str">
        <f aca="false">HYPERLINK("http://www.openstreetmap.org/?mlat=36.8526&amp;mlon=42.9413&amp;zoom=12#map=12/36.8526/42.9413","Maplink1")</f>
        <v>Maplink1</v>
      </c>
      <c r="AT1419" s="20" t="str">
        <f aca="false">HYPERLINK("https://www.google.iq/maps/search/+36.8526,42.9413/@36.8526,42.9413,14z?hl=en","Maplink2")</f>
        <v>Maplink2</v>
      </c>
      <c r="AU1419" s="20" t="str">
        <f aca="false">HYPERLINK("http://www.bing.com/maps/?lvl=14&amp;sty=h&amp;cp=36.8526~42.9413&amp;sp=point.36.8526_42.9413","Maplink3")</f>
        <v>Maplink3</v>
      </c>
    </row>
    <row r="1420" customFormat="false" ht="15" hidden="false" customHeight="true" outlineLevel="0" collapsed="false">
      <c r="A1420" s="15" t="n">
        <v>8460</v>
      </c>
      <c r="B1420" s="16" t="s">
        <v>19</v>
      </c>
      <c r="C1420" s="16" t="s">
        <v>19</v>
      </c>
      <c r="D1420" s="16" t="s">
        <v>2813</v>
      </c>
      <c r="E1420" s="17" t="s">
        <v>2814</v>
      </c>
      <c r="F1420" s="16" t="n">
        <v>37.018883</v>
      </c>
      <c r="G1420" s="16" t="n">
        <v>43.164562</v>
      </c>
      <c r="H1420" s="18" t="n">
        <v>38</v>
      </c>
      <c r="I1420" s="18" t="n">
        <v>228</v>
      </c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 t="n">
        <v>38</v>
      </c>
      <c r="W1420" s="19"/>
      <c r="X1420" s="19"/>
      <c r="Y1420" s="19"/>
      <c r="Z1420" s="19"/>
      <c r="AA1420" s="19"/>
      <c r="AB1420" s="19"/>
      <c r="AC1420" s="19" t="n">
        <v>36</v>
      </c>
      <c r="AD1420" s="19"/>
      <c r="AE1420" s="19"/>
      <c r="AF1420" s="19"/>
      <c r="AG1420" s="19"/>
      <c r="AH1420" s="19"/>
      <c r="AI1420" s="19"/>
      <c r="AJ1420" s="19" t="n">
        <v>2</v>
      </c>
      <c r="AK1420" s="19"/>
      <c r="AL1420" s="19"/>
      <c r="AM1420" s="19"/>
      <c r="AN1420" s="19" t="n">
        <v>38</v>
      </c>
      <c r="AO1420" s="19"/>
      <c r="AP1420" s="19"/>
      <c r="AQ1420" s="19"/>
      <c r="AR1420" s="19"/>
      <c r="AS1420" s="20" t="str">
        <f aca="false">HYPERLINK("http://www.openstreetmap.org/?mlat=37.0189&amp;mlon=43.1646&amp;zoom=12#map=12/37.0189/43.1646","Maplink1")</f>
        <v>Maplink1</v>
      </c>
      <c r="AT1420" s="20" t="str">
        <f aca="false">HYPERLINK("https://www.google.iq/maps/search/+37.0189,43.1646/@37.0189,43.1646,14z?hl=en","Maplink2")</f>
        <v>Maplink2</v>
      </c>
      <c r="AU1420" s="20" t="str">
        <f aca="false">HYPERLINK("http://www.bing.com/maps/?lvl=14&amp;sty=h&amp;cp=37.0189~43.1646&amp;sp=point.37.0189_43.1646","Maplink3")</f>
        <v>Maplink3</v>
      </c>
    </row>
    <row r="1421" customFormat="false" ht="15" hidden="false" customHeight="true" outlineLevel="0" collapsed="false">
      <c r="A1421" s="15" t="n">
        <v>24644</v>
      </c>
      <c r="B1421" s="16" t="s">
        <v>19</v>
      </c>
      <c r="C1421" s="16" t="s">
        <v>19</v>
      </c>
      <c r="D1421" s="16" t="s">
        <v>2815</v>
      </c>
      <c r="E1421" s="17" t="s">
        <v>2816</v>
      </c>
      <c r="F1421" s="16" t="n">
        <v>36.8503711</v>
      </c>
      <c r="G1421" s="16" t="n">
        <v>43.03039273</v>
      </c>
      <c r="H1421" s="18" t="n">
        <v>58</v>
      </c>
      <c r="I1421" s="18" t="n">
        <v>348</v>
      </c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 t="n">
        <v>58</v>
      </c>
      <c r="W1421" s="19"/>
      <c r="X1421" s="19"/>
      <c r="Y1421" s="19"/>
      <c r="Z1421" s="19"/>
      <c r="AA1421" s="19"/>
      <c r="AB1421" s="19"/>
      <c r="AC1421" s="19" t="n">
        <v>1</v>
      </c>
      <c r="AD1421" s="19"/>
      <c r="AE1421" s="19"/>
      <c r="AF1421" s="19"/>
      <c r="AG1421" s="19"/>
      <c r="AH1421" s="19" t="n">
        <v>57</v>
      </c>
      <c r="AI1421" s="19"/>
      <c r="AJ1421" s="19"/>
      <c r="AK1421" s="19"/>
      <c r="AL1421" s="19"/>
      <c r="AM1421" s="19" t="n">
        <v>5</v>
      </c>
      <c r="AN1421" s="19" t="n">
        <v>53</v>
      </c>
      <c r="AO1421" s="19"/>
      <c r="AP1421" s="19"/>
      <c r="AQ1421" s="19"/>
      <c r="AR1421" s="19"/>
      <c r="AS1421" s="20" t="str">
        <f aca="false">HYPERLINK("http://www.openstreetmap.org/?mlat=36.8504&amp;mlon=43.0304&amp;zoom=12#map=12/36.8504/43.0304","Maplink1")</f>
        <v>Maplink1</v>
      </c>
      <c r="AT1421" s="20" t="str">
        <f aca="false">HYPERLINK("https://www.google.iq/maps/search/+36.8504,43.0304/@36.8504,43.0304,14z?hl=en","Maplink2")</f>
        <v>Maplink2</v>
      </c>
      <c r="AU1421" s="20" t="str">
        <f aca="false">HYPERLINK("http://www.bing.com/maps/?lvl=14&amp;sty=h&amp;cp=36.8504~43.0304&amp;sp=point.36.8504_43.0304","Maplink3")</f>
        <v>Maplink3</v>
      </c>
    </row>
    <row r="1422" customFormat="false" ht="15" hidden="false" customHeight="true" outlineLevel="0" collapsed="false">
      <c r="A1422" s="15" t="n">
        <v>23905</v>
      </c>
      <c r="B1422" s="16" t="s">
        <v>19</v>
      </c>
      <c r="C1422" s="16" t="s">
        <v>19</v>
      </c>
      <c r="D1422" s="16" t="s">
        <v>2817</v>
      </c>
      <c r="E1422" s="17" t="s">
        <v>2818</v>
      </c>
      <c r="F1422" s="16" t="n">
        <v>36.85488664</v>
      </c>
      <c r="G1422" s="16" t="n">
        <v>43.01236385</v>
      </c>
      <c r="H1422" s="18" t="n">
        <v>70</v>
      </c>
      <c r="I1422" s="18" t="n">
        <v>420</v>
      </c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 t="n">
        <v>70</v>
      </c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 t="n">
        <v>70</v>
      </c>
      <c r="AI1422" s="19"/>
      <c r="AJ1422" s="19"/>
      <c r="AK1422" s="19"/>
      <c r="AL1422" s="19"/>
      <c r="AM1422" s="19" t="n">
        <v>16</v>
      </c>
      <c r="AN1422" s="19" t="n">
        <v>54</v>
      </c>
      <c r="AO1422" s="19"/>
      <c r="AP1422" s="19"/>
      <c r="AQ1422" s="19"/>
      <c r="AR1422" s="19"/>
      <c r="AS1422" s="20" t="str">
        <f aca="false">HYPERLINK("http://www.openstreetmap.org/?mlat=36.8549&amp;mlon=43.0124&amp;zoom=12#map=12/36.8549/43.0124","Maplink1")</f>
        <v>Maplink1</v>
      </c>
      <c r="AT1422" s="20" t="str">
        <f aca="false">HYPERLINK("https://www.google.iq/maps/search/+36.8549,43.0124/@36.8549,43.0124,14z?hl=en","Maplink2")</f>
        <v>Maplink2</v>
      </c>
      <c r="AU1422" s="20" t="str">
        <f aca="false">HYPERLINK("http://www.bing.com/maps/?lvl=14&amp;sty=h&amp;cp=36.8549~43.0124&amp;sp=point.36.8549_43.0124","Maplink3")</f>
        <v>Maplink3</v>
      </c>
    </row>
    <row r="1423" customFormat="false" ht="15" hidden="false" customHeight="true" outlineLevel="0" collapsed="false">
      <c r="A1423" s="15" t="n">
        <v>29698</v>
      </c>
      <c r="B1423" s="16" t="s">
        <v>19</v>
      </c>
      <c r="C1423" s="16" t="s">
        <v>19</v>
      </c>
      <c r="D1423" s="16" t="s">
        <v>2819</v>
      </c>
      <c r="E1423" s="17" t="s">
        <v>2820</v>
      </c>
      <c r="F1423" s="16" t="n">
        <v>36.865832</v>
      </c>
      <c r="G1423" s="16" t="n">
        <v>42.990118</v>
      </c>
      <c r="H1423" s="18" t="n">
        <v>10</v>
      </c>
      <c r="I1423" s="18" t="n">
        <v>60</v>
      </c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 t="n">
        <v>10</v>
      </c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 t="n">
        <v>10</v>
      </c>
      <c r="AI1423" s="19"/>
      <c r="AJ1423" s="19"/>
      <c r="AK1423" s="19"/>
      <c r="AL1423" s="19"/>
      <c r="AM1423" s="19"/>
      <c r="AN1423" s="19" t="n">
        <v>10</v>
      </c>
      <c r="AO1423" s="19"/>
      <c r="AP1423" s="19"/>
      <c r="AQ1423" s="19"/>
      <c r="AR1423" s="19"/>
      <c r="AS1423" s="20" t="str">
        <f aca="false">HYPERLINK("http://www.openstreetmap.org/?mlat=36.8658&amp;mlon=42.9901&amp;zoom=12#map=12/36.8658/42.9901","Maplink1")</f>
        <v>Maplink1</v>
      </c>
      <c r="AT1423" s="20" t="str">
        <f aca="false">HYPERLINK("https://www.google.iq/maps/search/+36.8658,42.9901/@36.8658,42.9901,14z?hl=en","Maplink2")</f>
        <v>Maplink2</v>
      </c>
      <c r="AU1423" s="20" t="str">
        <f aca="false">HYPERLINK("http://www.bing.com/maps/?lvl=14&amp;sty=h&amp;cp=36.8658~42.9901&amp;sp=point.36.8658_42.9901","Maplink3")</f>
        <v>Maplink3</v>
      </c>
    </row>
    <row r="1424" customFormat="false" ht="15" hidden="false" customHeight="true" outlineLevel="0" collapsed="false">
      <c r="A1424" s="15" t="n">
        <v>7946</v>
      </c>
      <c r="B1424" s="16" t="s">
        <v>19</v>
      </c>
      <c r="C1424" s="16" t="s">
        <v>19</v>
      </c>
      <c r="D1424" s="16" t="s">
        <v>2821</v>
      </c>
      <c r="E1424" s="17" t="s">
        <v>2822</v>
      </c>
      <c r="F1424" s="16" t="n">
        <v>36.84205868</v>
      </c>
      <c r="G1424" s="16" t="n">
        <v>43.05418183</v>
      </c>
      <c r="H1424" s="18" t="n">
        <v>845</v>
      </c>
      <c r="I1424" s="18" t="n">
        <v>5070</v>
      </c>
      <c r="J1424" s="19" t="n">
        <v>25</v>
      </c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 t="n">
        <v>800</v>
      </c>
      <c r="W1424" s="19"/>
      <c r="X1424" s="19" t="n">
        <v>20</v>
      </c>
      <c r="Y1424" s="19"/>
      <c r="Z1424" s="19"/>
      <c r="AA1424" s="19"/>
      <c r="AB1424" s="19"/>
      <c r="AC1424" s="19" t="n">
        <v>85</v>
      </c>
      <c r="AD1424" s="19"/>
      <c r="AE1424" s="19"/>
      <c r="AF1424" s="19"/>
      <c r="AG1424" s="19"/>
      <c r="AH1424" s="19" t="n">
        <v>560</v>
      </c>
      <c r="AI1424" s="19"/>
      <c r="AJ1424" s="19" t="n">
        <v>200</v>
      </c>
      <c r="AK1424" s="19"/>
      <c r="AL1424" s="19" t="n">
        <v>25</v>
      </c>
      <c r="AM1424" s="19" t="n">
        <v>339</v>
      </c>
      <c r="AN1424" s="19" t="n">
        <v>481</v>
      </c>
      <c r="AO1424" s="19"/>
      <c r="AP1424" s="19"/>
      <c r="AQ1424" s="19"/>
      <c r="AR1424" s="19"/>
      <c r="AS1424" s="20" t="str">
        <f aca="false">HYPERLINK("http://www.openstreetmap.org/?mlat=36.8421&amp;mlon=43.0542&amp;zoom=12#map=12/36.8421/43.0542","Maplink1")</f>
        <v>Maplink1</v>
      </c>
      <c r="AT1424" s="20" t="str">
        <f aca="false">HYPERLINK("https://www.google.iq/maps/search/+36.8421,43.0542/@36.8421,43.0542,14z?hl=en","Maplink2")</f>
        <v>Maplink2</v>
      </c>
      <c r="AU1424" s="20" t="str">
        <f aca="false">HYPERLINK("http://www.bing.com/maps/?lvl=14&amp;sty=h&amp;cp=36.8421~43.0542&amp;sp=point.36.8421_43.0542","Maplink3")</f>
        <v>Maplink3</v>
      </c>
    </row>
    <row r="1425" customFormat="false" ht="15" hidden="false" customHeight="true" outlineLevel="0" collapsed="false">
      <c r="A1425" s="15" t="n">
        <v>24188</v>
      </c>
      <c r="B1425" s="16" t="s">
        <v>19</v>
      </c>
      <c r="C1425" s="16" t="s">
        <v>19</v>
      </c>
      <c r="D1425" s="16" t="s">
        <v>2823</v>
      </c>
      <c r="E1425" s="17" t="s">
        <v>2824</v>
      </c>
      <c r="F1425" s="16" t="n">
        <v>36.84096246</v>
      </c>
      <c r="G1425" s="16" t="n">
        <v>42.93430318</v>
      </c>
      <c r="H1425" s="18" t="n">
        <v>310</v>
      </c>
      <c r="I1425" s="18" t="n">
        <v>1860</v>
      </c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 t="n">
        <v>310</v>
      </c>
      <c r="W1425" s="19"/>
      <c r="X1425" s="19"/>
      <c r="Y1425" s="19"/>
      <c r="Z1425" s="19"/>
      <c r="AA1425" s="19"/>
      <c r="AB1425" s="19"/>
      <c r="AC1425" s="19" t="n">
        <v>18</v>
      </c>
      <c r="AD1425" s="19"/>
      <c r="AE1425" s="19"/>
      <c r="AF1425" s="19"/>
      <c r="AG1425" s="19"/>
      <c r="AH1425" s="19" t="n">
        <v>65</v>
      </c>
      <c r="AI1425" s="19"/>
      <c r="AJ1425" s="19" t="n">
        <v>227</v>
      </c>
      <c r="AK1425" s="19"/>
      <c r="AL1425" s="19"/>
      <c r="AM1425" s="19" t="n">
        <v>48</v>
      </c>
      <c r="AN1425" s="19" t="n">
        <v>262</v>
      </c>
      <c r="AO1425" s="19"/>
      <c r="AP1425" s="19"/>
      <c r="AQ1425" s="19"/>
      <c r="AR1425" s="19"/>
      <c r="AS1425" s="20" t="str">
        <f aca="false">HYPERLINK("http://www.openstreetmap.org/?mlat=36.841&amp;mlon=42.9343&amp;zoom=12#map=12/36.841/42.9343","Maplink1")</f>
        <v>Maplink1</v>
      </c>
      <c r="AT1425" s="20" t="str">
        <f aca="false">HYPERLINK("https://www.google.iq/maps/search/+36.841,42.9343/@36.841,42.9343,14z?hl=en","Maplink2")</f>
        <v>Maplink2</v>
      </c>
      <c r="AU1425" s="20" t="str">
        <f aca="false">HYPERLINK("http://www.bing.com/maps/?lvl=14&amp;sty=h&amp;cp=36.841~42.9343&amp;sp=point.36.841_42.9343","Maplink3")</f>
        <v>Maplink3</v>
      </c>
    </row>
    <row r="1426" customFormat="false" ht="15" hidden="false" customHeight="true" outlineLevel="0" collapsed="false">
      <c r="A1426" s="15" t="n">
        <v>8468</v>
      </c>
      <c r="B1426" s="16" t="s">
        <v>19</v>
      </c>
      <c r="C1426" s="16" t="s">
        <v>19</v>
      </c>
      <c r="D1426" s="16" t="s">
        <v>2825</v>
      </c>
      <c r="E1426" s="17" t="s">
        <v>2826</v>
      </c>
      <c r="F1426" s="16" t="n">
        <v>36.92889358</v>
      </c>
      <c r="G1426" s="16" t="n">
        <v>43.19625112</v>
      </c>
      <c r="H1426" s="18" t="n">
        <v>73</v>
      </c>
      <c r="I1426" s="18" t="n">
        <v>438</v>
      </c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 t="n">
        <v>73</v>
      </c>
      <c r="W1426" s="19"/>
      <c r="X1426" s="19"/>
      <c r="Y1426" s="19"/>
      <c r="Z1426" s="19"/>
      <c r="AA1426" s="19"/>
      <c r="AB1426" s="19"/>
      <c r="AC1426" s="19" t="n">
        <v>13</v>
      </c>
      <c r="AD1426" s="19"/>
      <c r="AE1426" s="19" t="n">
        <v>24</v>
      </c>
      <c r="AF1426" s="19"/>
      <c r="AG1426" s="19"/>
      <c r="AH1426" s="19" t="n">
        <v>5</v>
      </c>
      <c r="AI1426" s="19"/>
      <c r="AJ1426" s="19" t="n">
        <v>31</v>
      </c>
      <c r="AK1426" s="19"/>
      <c r="AL1426" s="19"/>
      <c r="AM1426" s="19"/>
      <c r="AN1426" s="19" t="n">
        <v>73</v>
      </c>
      <c r="AO1426" s="19"/>
      <c r="AP1426" s="19"/>
      <c r="AQ1426" s="19"/>
      <c r="AR1426" s="19"/>
      <c r="AS1426" s="20" t="str">
        <f aca="false">HYPERLINK("http://www.openstreetmap.org/?mlat=36.9289&amp;mlon=43.1963&amp;zoom=12#map=12/36.9289/43.1963","Maplink1")</f>
        <v>Maplink1</v>
      </c>
      <c r="AT1426" s="20" t="str">
        <f aca="false">HYPERLINK("https://www.google.iq/maps/search/+36.9289,43.1963/@36.9289,43.1963,14z?hl=en","Maplink2")</f>
        <v>Maplink2</v>
      </c>
      <c r="AU1426" s="20" t="str">
        <f aca="false">HYPERLINK("http://www.bing.com/maps/?lvl=14&amp;sty=h&amp;cp=36.9289~43.1963&amp;sp=point.36.9289_43.1963","Maplink3")</f>
        <v>Maplink3</v>
      </c>
    </row>
    <row r="1427" customFormat="false" ht="15" hidden="false" customHeight="true" outlineLevel="0" collapsed="false">
      <c r="A1427" s="15" t="n">
        <v>23712</v>
      </c>
      <c r="B1427" s="16" t="s">
        <v>19</v>
      </c>
      <c r="C1427" s="16" t="s">
        <v>19</v>
      </c>
      <c r="D1427" s="16" t="s">
        <v>2827</v>
      </c>
      <c r="E1427" s="17" t="s">
        <v>2828</v>
      </c>
      <c r="F1427" s="16" t="n">
        <v>36.8452809</v>
      </c>
      <c r="G1427" s="16" t="n">
        <v>42.98763606</v>
      </c>
      <c r="H1427" s="18" t="n">
        <v>285</v>
      </c>
      <c r="I1427" s="18" t="n">
        <v>1710</v>
      </c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 t="n">
        <v>285</v>
      </c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 t="n">
        <v>285</v>
      </c>
      <c r="AI1427" s="19"/>
      <c r="AJ1427" s="19"/>
      <c r="AK1427" s="19"/>
      <c r="AL1427" s="19"/>
      <c r="AM1427" s="19" t="n">
        <v>135</v>
      </c>
      <c r="AN1427" s="19" t="n">
        <v>150</v>
      </c>
      <c r="AO1427" s="19"/>
      <c r="AP1427" s="19"/>
      <c r="AQ1427" s="19"/>
      <c r="AR1427" s="19"/>
      <c r="AS1427" s="20" t="str">
        <f aca="false">HYPERLINK("http://www.openstreetmap.org/?mlat=36.8453&amp;mlon=42.9876&amp;zoom=12#map=12/36.8453/42.9876","Maplink1")</f>
        <v>Maplink1</v>
      </c>
      <c r="AT1427" s="20" t="str">
        <f aca="false">HYPERLINK("https://www.google.iq/maps/search/+36.8453,42.9876/@36.8453,42.9876,14z?hl=en","Maplink2")</f>
        <v>Maplink2</v>
      </c>
      <c r="AU1427" s="20" t="str">
        <f aca="false">HYPERLINK("http://www.bing.com/maps/?lvl=14&amp;sty=h&amp;cp=36.8453~42.9876&amp;sp=point.36.8453_42.9876","Maplink3")</f>
        <v>Maplink3</v>
      </c>
    </row>
    <row r="1428" customFormat="false" ht="15" hidden="false" customHeight="true" outlineLevel="0" collapsed="false">
      <c r="A1428" s="15" t="n">
        <v>26049</v>
      </c>
      <c r="B1428" s="16" t="s">
        <v>19</v>
      </c>
      <c r="C1428" s="16" t="s">
        <v>19</v>
      </c>
      <c r="D1428" s="16" t="s">
        <v>2829</v>
      </c>
      <c r="E1428" s="17" t="s">
        <v>2830</v>
      </c>
      <c r="F1428" s="16" t="n">
        <v>36.84970784</v>
      </c>
      <c r="G1428" s="16" t="n">
        <v>43.00862074</v>
      </c>
      <c r="H1428" s="18" t="n">
        <v>25</v>
      </c>
      <c r="I1428" s="18" t="n">
        <v>150</v>
      </c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 t="n">
        <v>25</v>
      </c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 t="n">
        <v>25</v>
      </c>
      <c r="AI1428" s="19"/>
      <c r="AJ1428" s="19"/>
      <c r="AK1428" s="19"/>
      <c r="AL1428" s="19"/>
      <c r="AM1428" s="19" t="n">
        <v>9</v>
      </c>
      <c r="AN1428" s="19" t="n">
        <v>16</v>
      </c>
      <c r="AO1428" s="19"/>
      <c r="AP1428" s="19"/>
      <c r="AQ1428" s="19"/>
      <c r="AR1428" s="19"/>
      <c r="AS1428" s="20" t="str">
        <f aca="false">HYPERLINK("http://www.openstreetmap.org/?mlat=36.8497&amp;mlon=43.0086&amp;zoom=12#map=12/36.8497/43.0086","Maplink1")</f>
        <v>Maplink1</v>
      </c>
      <c r="AT1428" s="20" t="str">
        <f aca="false">HYPERLINK("https://www.google.iq/maps/search/+36.8497,43.0086/@36.8497,43.0086,14z?hl=en","Maplink2")</f>
        <v>Maplink2</v>
      </c>
      <c r="AU1428" s="20" t="str">
        <f aca="false">HYPERLINK("http://www.bing.com/maps/?lvl=14&amp;sty=h&amp;cp=36.8497~43.0086&amp;sp=point.36.8497_43.0086","Maplink3")</f>
        <v>Maplink3</v>
      </c>
    </row>
    <row r="1429" customFormat="false" ht="15" hidden="false" customHeight="true" outlineLevel="0" collapsed="false">
      <c r="A1429" s="15" t="n">
        <v>23902</v>
      </c>
      <c r="B1429" s="16" t="s">
        <v>19</v>
      </c>
      <c r="C1429" s="16" t="s">
        <v>19</v>
      </c>
      <c r="D1429" s="16" t="s">
        <v>2831</v>
      </c>
      <c r="E1429" s="17" t="s">
        <v>2832</v>
      </c>
      <c r="F1429" s="16" t="n">
        <v>36.85501715</v>
      </c>
      <c r="G1429" s="16" t="n">
        <v>43.02542914</v>
      </c>
      <c r="H1429" s="18" t="n">
        <v>202</v>
      </c>
      <c r="I1429" s="18" t="n">
        <v>1212</v>
      </c>
      <c r="J1429" s="19" t="n">
        <v>1</v>
      </c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 t="n">
        <v>199</v>
      </c>
      <c r="W1429" s="19"/>
      <c r="X1429" s="19" t="n">
        <v>2</v>
      </c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 t="n">
        <v>202</v>
      </c>
      <c r="AI1429" s="19"/>
      <c r="AJ1429" s="19"/>
      <c r="AK1429" s="19"/>
      <c r="AL1429" s="19" t="n">
        <v>1</v>
      </c>
      <c r="AM1429" s="19" t="n">
        <v>128</v>
      </c>
      <c r="AN1429" s="19" t="n">
        <v>73</v>
      </c>
      <c r="AO1429" s="19"/>
      <c r="AP1429" s="19"/>
      <c r="AQ1429" s="19"/>
      <c r="AR1429" s="19"/>
      <c r="AS1429" s="20" t="str">
        <f aca="false">HYPERLINK("http://www.openstreetmap.org/?mlat=36.855&amp;mlon=43.0254&amp;zoom=12#map=12/36.855/43.0254","Maplink1")</f>
        <v>Maplink1</v>
      </c>
      <c r="AT1429" s="20" t="str">
        <f aca="false">HYPERLINK("https://www.google.iq/maps/search/+36.855,43.0254/@36.855,43.0254,14z?hl=en","Maplink2")</f>
        <v>Maplink2</v>
      </c>
      <c r="AU1429" s="20" t="str">
        <f aca="false">HYPERLINK("http://www.bing.com/maps/?lvl=14&amp;sty=h&amp;cp=36.855~43.0254&amp;sp=point.36.855_43.0254","Maplink3")</f>
        <v>Maplink3</v>
      </c>
    </row>
    <row r="1430" customFormat="false" ht="15" hidden="false" customHeight="true" outlineLevel="0" collapsed="false">
      <c r="A1430" s="15" t="n">
        <v>26053</v>
      </c>
      <c r="B1430" s="16" t="s">
        <v>19</v>
      </c>
      <c r="C1430" s="16" t="s">
        <v>19</v>
      </c>
      <c r="D1430" s="16" t="s">
        <v>2833</v>
      </c>
      <c r="E1430" s="17" t="s">
        <v>2834</v>
      </c>
      <c r="F1430" s="16" t="n">
        <v>36.8697728</v>
      </c>
      <c r="G1430" s="16" t="n">
        <v>42.99668657</v>
      </c>
      <c r="H1430" s="18" t="n">
        <v>75</v>
      </c>
      <c r="I1430" s="18" t="n">
        <v>450</v>
      </c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 t="n">
        <v>75</v>
      </c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 t="n">
        <v>75</v>
      </c>
      <c r="AI1430" s="19"/>
      <c r="AJ1430" s="19"/>
      <c r="AK1430" s="19"/>
      <c r="AL1430" s="19"/>
      <c r="AM1430" s="19" t="n">
        <v>6</v>
      </c>
      <c r="AN1430" s="19" t="n">
        <v>69</v>
      </c>
      <c r="AO1430" s="19"/>
      <c r="AP1430" s="19"/>
      <c r="AQ1430" s="19"/>
      <c r="AR1430" s="19"/>
      <c r="AS1430" s="20" t="str">
        <f aca="false">HYPERLINK("http://www.openstreetmap.org/?mlat=36.8698&amp;mlon=42.9967&amp;zoom=12#map=12/36.8698/42.9967","Maplink1")</f>
        <v>Maplink1</v>
      </c>
      <c r="AT1430" s="20" t="str">
        <f aca="false">HYPERLINK("https://www.google.iq/maps/search/+36.8698,42.9967/@36.8698,42.9967,14z?hl=en","Maplink2")</f>
        <v>Maplink2</v>
      </c>
      <c r="AU1430" s="20" t="str">
        <f aca="false">HYPERLINK("http://www.bing.com/maps/?lvl=14&amp;sty=h&amp;cp=36.8698~42.9967&amp;sp=point.36.8698_42.9967","Maplink3")</f>
        <v>Maplink3</v>
      </c>
    </row>
    <row r="1431" customFormat="false" ht="15" hidden="false" customHeight="true" outlineLevel="0" collapsed="false">
      <c r="A1431" s="15" t="n">
        <v>8373</v>
      </c>
      <c r="B1431" s="16" t="s">
        <v>19</v>
      </c>
      <c r="C1431" s="16" t="s">
        <v>19</v>
      </c>
      <c r="D1431" s="16" t="s">
        <v>2835</v>
      </c>
      <c r="E1431" s="17" t="s">
        <v>2836</v>
      </c>
      <c r="F1431" s="16" t="n">
        <v>36.87586177</v>
      </c>
      <c r="G1431" s="16" t="n">
        <v>42.97883103</v>
      </c>
      <c r="H1431" s="18" t="n">
        <v>260</v>
      </c>
      <c r="I1431" s="18" t="n">
        <v>1560</v>
      </c>
      <c r="J1431" s="19" t="n">
        <v>12</v>
      </c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 t="n">
        <v>245</v>
      </c>
      <c r="W1431" s="19"/>
      <c r="X1431" s="19" t="n">
        <v>3</v>
      </c>
      <c r="Y1431" s="19"/>
      <c r="Z1431" s="19"/>
      <c r="AA1431" s="19"/>
      <c r="AB1431" s="19"/>
      <c r="AC1431" s="19"/>
      <c r="AD1431" s="19" t="n">
        <v>54</v>
      </c>
      <c r="AE1431" s="19"/>
      <c r="AF1431" s="19"/>
      <c r="AG1431" s="19"/>
      <c r="AH1431" s="19" t="n">
        <v>206</v>
      </c>
      <c r="AI1431" s="19"/>
      <c r="AJ1431" s="19"/>
      <c r="AK1431" s="19"/>
      <c r="AL1431" s="19" t="n">
        <v>12</v>
      </c>
      <c r="AM1431" s="19" t="n">
        <v>101</v>
      </c>
      <c r="AN1431" s="19" t="n">
        <v>147</v>
      </c>
      <c r="AO1431" s="19"/>
      <c r="AP1431" s="19"/>
      <c r="AQ1431" s="19"/>
      <c r="AR1431" s="19"/>
      <c r="AS1431" s="20" t="str">
        <f aca="false">HYPERLINK("http://www.openstreetmap.org/?mlat=36.8759&amp;mlon=42.9788&amp;zoom=12#map=12/36.8759/42.9788","Maplink1")</f>
        <v>Maplink1</v>
      </c>
      <c r="AT1431" s="20" t="str">
        <f aca="false">HYPERLINK("https://www.google.iq/maps/search/+36.8759,42.9788/@36.8759,42.9788,14z?hl=en","Maplink2")</f>
        <v>Maplink2</v>
      </c>
      <c r="AU1431" s="20" t="str">
        <f aca="false">HYPERLINK("http://www.bing.com/maps/?lvl=14&amp;sty=h&amp;cp=36.8759~42.9788&amp;sp=point.36.8759_42.9788","Maplink3")</f>
        <v>Maplink3</v>
      </c>
    </row>
    <row r="1432" customFormat="false" ht="15" hidden="false" customHeight="true" outlineLevel="0" collapsed="false">
      <c r="A1432" s="15" t="n">
        <v>21979</v>
      </c>
      <c r="B1432" s="16" t="s">
        <v>19</v>
      </c>
      <c r="C1432" s="16" t="s">
        <v>19</v>
      </c>
      <c r="D1432" s="16" t="s">
        <v>2837</v>
      </c>
      <c r="E1432" s="17" t="s">
        <v>2838</v>
      </c>
      <c r="F1432" s="16" t="n">
        <v>36.85795844</v>
      </c>
      <c r="G1432" s="16" t="n">
        <v>42.99620647</v>
      </c>
      <c r="H1432" s="18" t="n">
        <v>230</v>
      </c>
      <c r="I1432" s="18" t="n">
        <v>1380</v>
      </c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 t="n">
        <v>224</v>
      </c>
      <c r="W1432" s="19"/>
      <c r="X1432" s="19" t="n">
        <v>6</v>
      </c>
      <c r="Y1432" s="19"/>
      <c r="Z1432" s="19"/>
      <c r="AA1432" s="19"/>
      <c r="AB1432" s="19"/>
      <c r="AC1432" s="19"/>
      <c r="AD1432" s="19" t="n">
        <v>90</v>
      </c>
      <c r="AE1432" s="19"/>
      <c r="AF1432" s="19"/>
      <c r="AG1432" s="19"/>
      <c r="AH1432" s="19" t="n">
        <v>140</v>
      </c>
      <c r="AI1432" s="19"/>
      <c r="AJ1432" s="19"/>
      <c r="AK1432" s="19"/>
      <c r="AL1432" s="19"/>
      <c r="AM1432" s="19" t="n">
        <v>100</v>
      </c>
      <c r="AN1432" s="19" t="n">
        <v>130</v>
      </c>
      <c r="AO1432" s="19"/>
      <c r="AP1432" s="19"/>
      <c r="AQ1432" s="19"/>
      <c r="AR1432" s="19"/>
      <c r="AS1432" s="20" t="str">
        <f aca="false">HYPERLINK("http://www.openstreetmap.org/?mlat=36.858&amp;mlon=42.9962&amp;zoom=12#map=12/36.858/42.9962","Maplink1")</f>
        <v>Maplink1</v>
      </c>
      <c r="AT1432" s="20" t="str">
        <f aca="false">HYPERLINK("https://www.google.iq/maps/search/+36.858,42.9962/@36.858,42.9962,14z?hl=en","Maplink2")</f>
        <v>Maplink2</v>
      </c>
      <c r="AU1432" s="20" t="str">
        <f aca="false">HYPERLINK("http://www.bing.com/maps/?lvl=14&amp;sty=h&amp;cp=36.858~42.9962&amp;sp=point.36.858_42.9962","Maplink3")</f>
        <v>Maplink3</v>
      </c>
    </row>
    <row r="1433" customFormat="false" ht="15" hidden="false" customHeight="true" outlineLevel="0" collapsed="false">
      <c r="A1433" s="15" t="n">
        <v>8372</v>
      </c>
      <c r="B1433" s="16" t="s">
        <v>19</v>
      </c>
      <c r="C1433" s="16" t="s">
        <v>19</v>
      </c>
      <c r="D1433" s="16" t="s">
        <v>2839</v>
      </c>
      <c r="E1433" s="17" t="s">
        <v>2840</v>
      </c>
      <c r="F1433" s="16" t="n">
        <v>36.84471717</v>
      </c>
      <c r="G1433" s="16" t="n">
        <v>42.96990944</v>
      </c>
      <c r="H1433" s="18" t="n">
        <v>90</v>
      </c>
      <c r="I1433" s="18" t="n">
        <v>540</v>
      </c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 t="n">
        <v>90</v>
      </c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 t="n">
        <v>71</v>
      </c>
      <c r="AI1433" s="19"/>
      <c r="AJ1433" s="19" t="n">
        <v>19</v>
      </c>
      <c r="AK1433" s="19"/>
      <c r="AL1433" s="19"/>
      <c r="AM1433" s="19" t="n">
        <v>24</v>
      </c>
      <c r="AN1433" s="19" t="n">
        <v>66</v>
      </c>
      <c r="AO1433" s="19"/>
      <c r="AP1433" s="19"/>
      <c r="AQ1433" s="19"/>
      <c r="AR1433" s="19"/>
      <c r="AS1433" s="20" t="str">
        <f aca="false">HYPERLINK("http://www.openstreetmap.org/?mlat=36.8447&amp;mlon=42.9699&amp;zoom=12#map=12/36.8447/42.9699","Maplink1")</f>
        <v>Maplink1</v>
      </c>
      <c r="AT1433" s="20" t="str">
        <f aca="false">HYPERLINK("https://www.google.iq/maps/search/+36.8447,42.9699/@36.8447,42.9699,14z?hl=en","Maplink2")</f>
        <v>Maplink2</v>
      </c>
      <c r="AU1433" s="20" t="str">
        <f aca="false">HYPERLINK("http://www.bing.com/maps/?lvl=14&amp;sty=h&amp;cp=36.8447~42.9699&amp;sp=point.36.8447_42.9699","Maplink3")</f>
        <v>Maplink3</v>
      </c>
    </row>
    <row r="1434" customFormat="false" ht="15" hidden="false" customHeight="true" outlineLevel="0" collapsed="false">
      <c r="A1434" s="15" t="n">
        <v>26046</v>
      </c>
      <c r="B1434" s="16" t="s">
        <v>19</v>
      </c>
      <c r="C1434" s="16" t="s">
        <v>19</v>
      </c>
      <c r="D1434" s="16" t="s">
        <v>2841</v>
      </c>
      <c r="E1434" s="17" t="s">
        <v>2842</v>
      </c>
      <c r="F1434" s="16" t="n">
        <v>36.86053221</v>
      </c>
      <c r="G1434" s="16" t="n">
        <v>42.94080157</v>
      </c>
      <c r="H1434" s="18" t="n">
        <v>445</v>
      </c>
      <c r="I1434" s="18" t="n">
        <v>2670</v>
      </c>
      <c r="J1434" s="19" t="n">
        <v>9</v>
      </c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 t="n">
        <v>431</v>
      </c>
      <c r="W1434" s="19"/>
      <c r="X1434" s="19" t="n">
        <v>5</v>
      </c>
      <c r="Y1434" s="19"/>
      <c r="Z1434" s="19"/>
      <c r="AA1434" s="19"/>
      <c r="AB1434" s="19"/>
      <c r="AC1434" s="19"/>
      <c r="AD1434" s="19" t="n">
        <v>35</v>
      </c>
      <c r="AE1434" s="19"/>
      <c r="AF1434" s="19"/>
      <c r="AG1434" s="19"/>
      <c r="AH1434" s="19" t="n">
        <v>409</v>
      </c>
      <c r="AI1434" s="19"/>
      <c r="AJ1434" s="19" t="n">
        <v>1</v>
      </c>
      <c r="AK1434" s="19"/>
      <c r="AL1434" s="19" t="n">
        <v>9</v>
      </c>
      <c r="AM1434" s="19" t="n">
        <v>267</v>
      </c>
      <c r="AN1434" s="19" t="n">
        <v>169</v>
      </c>
      <c r="AO1434" s="19"/>
      <c r="AP1434" s="19"/>
      <c r="AQ1434" s="19"/>
      <c r="AR1434" s="19"/>
      <c r="AS1434" s="20" t="str">
        <f aca="false">HYPERLINK("http://www.openstreetmap.org/?mlat=36.8605&amp;mlon=42.9408&amp;zoom=12#map=12/36.8605/42.9408","Maplink1")</f>
        <v>Maplink1</v>
      </c>
      <c r="AT1434" s="20" t="str">
        <f aca="false">HYPERLINK("https://www.google.iq/maps/search/+36.8605,42.9408/@36.8605,42.9408,14z?hl=en","Maplink2")</f>
        <v>Maplink2</v>
      </c>
      <c r="AU1434" s="20" t="str">
        <f aca="false">HYPERLINK("http://www.bing.com/maps/?lvl=14&amp;sty=h&amp;cp=36.8605~42.9408&amp;sp=point.36.8605_42.9408","Maplink3")</f>
        <v>Maplink3</v>
      </c>
    </row>
    <row r="1435" customFormat="false" ht="15" hidden="false" customHeight="true" outlineLevel="0" collapsed="false">
      <c r="A1435" s="15" t="n">
        <v>7921</v>
      </c>
      <c r="B1435" s="16" t="s">
        <v>19</v>
      </c>
      <c r="C1435" s="16" t="s">
        <v>19</v>
      </c>
      <c r="D1435" s="16" t="s">
        <v>2843</v>
      </c>
      <c r="E1435" s="17" t="s">
        <v>2844</v>
      </c>
      <c r="F1435" s="16" t="n">
        <v>36.90434518</v>
      </c>
      <c r="G1435" s="16" t="n">
        <v>43.13520461</v>
      </c>
      <c r="H1435" s="18" t="n">
        <v>94</v>
      </c>
      <c r="I1435" s="18" t="n">
        <v>564</v>
      </c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 t="n">
        <v>94</v>
      </c>
      <c r="W1435" s="19"/>
      <c r="X1435" s="19"/>
      <c r="Y1435" s="19"/>
      <c r="Z1435" s="19"/>
      <c r="AA1435" s="19"/>
      <c r="AB1435" s="19"/>
      <c r="AC1435" s="19" t="n">
        <v>20</v>
      </c>
      <c r="AD1435" s="19" t="n">
        <v>6</v>
      </c>
      <c r="AE1435" s="19" t="n">
        <v>1</v>
      </c>
      <c r="AF1435" s="19"/>
      <c r="AG1435" s="19"/>
      <c r="AH1435" s="19" t="n">
        <v>37</v>
      </c>
      <c r="AI1435" s="19"/>
      <c r="AJ1435" s="19" t="n">
        <v>30</v>
      </c>
      <c r="AK1435" s="19"/>
      <c r="AL1435" s="19"/>
      <c r="AM1435" s="19" t="n">
        <v>28</v>
      </c>
      <c r="AN1435" s="19" t="n">
        <v>66</v>
      </c>
      <c r="AO1435" s="19"/>
      <c r="AP1435" s="19"/>
      <c r="AQ1435" s="19"/>
      <c r="AR1435" s="19"/>
      <c r="AS1435" s="20" t="str">
        <f aca="false">HYPERLINK("http://www.openstreetmap.org/?mlat=36.9043&amp;mlon=43.1352&amp;zoom=12#map=12/36.9043/43.1352","Maplink1")</f>
        <v>Maplink1</v>
      </c>
      <c r="AT1435" s="20" t="str">
        <f aca="false">HYPERLINK("https://www.google.iq/maps/search/+36.9043,43.1352/@36.9043,43.1352,14z?hl=en","Maplink2")</f>
        <v>Maplink2</v>
      </c>
      <c r="AU1435" s="20" t="str">
        <f aca="false">HYPERLINK("http://www.bing.com/maps/?lvl=14&amp;sty=h&amp;cp=36.9043~43.1352&amp;sp=point.36.9043_43.1352","Maplink3")</f>
        <v>Maplink3</v>
      </c>
    </row>
    <row r="1436" customFormat="false" ht="15" hidden="false" customHeight="true" outlineLevel="0" collapsed="false">
      <c r="A1436" s="15" t="n">
        <v>8867</v>
      </c>
      <c r="B1436" s="16" t="s">
        <v>19</v>
      </c>
      <c r="C1436" s="16" t="s">
        <v>19</v>
      </c>
      <c r="D1436" s="16" t="s">
        <v>2845</v>
      </c>
      <c r="E1436" s="17" t="s">
        <v>2846</v>
      </c>
      <c r="F1436" s="16" t="n">
        <v>36.86929035</v>
      </c>
      <c r="G1436" s="16" t="n">
        <v>42.95762507</v>
      </c>
      <c r="H1436" s="18" t="n">
        <v>395</v>
      </c>
      <c r="I1436" s="18" t="n">
        <v>2370</v>
      </c>
      <c r="J1436" s="19" t="n">
        <v>9</v>
      </c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 t="n">
        <v>384</v>
      </c>
      <c r="W1436" s="19"/>
      <c r="X1436" s="19" t="n">
        <v>2</v>
      </c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 t="n">
        <v>395</v>
      </c>
      <c r="AI1436" s="19"/>
      <c r="AJ1436" s="19"/>
      <c r="AK1436" s="19"/>
      <c r="AL1436" s="19" t="n">
        <v>9</v>
      </c>
      <c r="AM1436" s="19" t="n">
        <v>277</v>
      </c>
      <c r="AN1436" s="19" t="n">
        <v>109</v>
      </c>
      <c r="AO1436" s="19"/>
      <c r="AP1436" s="19"/>
      <c r="AQ1436" s="19"/>
      <c r="AR1436" s="19"/>
      <c r="AS1436" s="20" t="str">
        <f aca="false">HYPERLINK("http://www.openstreetmap.org/?mlat=36.8693&amp;mlon=42.9576&amp;zoom=12#map=12/36.8693/42.9576","Maplink1")</f>
        <v>Maplink1</v>
      </c>
      <c r="AT1436" s="20" t="str">
        <f aca="false">HYPERLINK("https://www.google.iq/maps/search/+36.8693,42.9576/@36.8693,42.9576,14z?hl=en","Maplink2")</f>
        <v>Maplink2</v>
      </c>
      <c r="AU1436" s="20" t="str">
        <f aca="false">HYPERLINK("http://www.bing.com/maps/?lvl=14&amp;sty=h&amp;cp=36.8693~42.9576&amp;sp=point.36.8693_42.9576","Maplink3")</f>
        <v>Maplink3</v>
      </c>
    </row>
    <row r="1437" customFormat="false" ht="15" hidden="false" customHeight="true" outlineLevel="0" collapsed="false">
      <c r="A1437" s="15" t="n">
        <v>24186</v>
      </c>
      <c r="B1437" s="16" t="s">
        <v>19</v>
      </c>
      <c r="C1437" s="16" t="s">
        <v>19</v>
      </c>
      <c r="D1437" s="16" t="s">
        <v>2847</v>
      </c>
      <c r="E1437" s="17" t="s">
        <v>2848</v>
      </c>
      <c r="F1437" s="16" t="n">
        <v>36.87434172</v>
      </c>
      <c r="G1437" s="16" t="n">
        <v>42.92879243</v>
      </c>
      <c r="H1437" s="18" t="n">
        <v>82</v>
      </c>
      <c r="I1437" s="18" t="n">
        <v>492</v>
      </c>
      <c r="J1437" s="19" t="n">
        <v>5</v>
      </c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 t="n">
        <v>77</v>
      </c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 t="n">
        <v>61</v>
      </c>
      <c r="AI1437" s="19"/>
      <c r="AJ1437" s="19" t="n">
        <v>21</v>
      </c>
      <c r="AK1437" s="19"/>
      <c r="AL1437" s="19" t="n">
        <v>5</v>
      </c>
      <c r="AM1437" s="19" t="n">
        <v>19</v>
      </c>
      <c r="AN1437" s="19" t="n">
        <v>58</v>
      </c>
      <c r="AO1437" s="19"/>
      <c r="AP1437" s="19"/>
      <c r="AQ1437" s="19"/>
      <c r="AR1437" s="19"/>
      <c r="AS1437" s="20" t="str">
        <f aca="false">HYPERLINK("http://www.openstreetmap.org/?mlat=36.8743&amp;mlon=42.9288&amp;zoom=12#map=12/36.8743/42.9288","Maplink1")</f>
        <v>Maplink1</v>
      </c>
      <c r="AT1437" s="20" t="str">
        <f aca="false">HYPERLINK("https://www.google.iq/maps/search/+36.8743,42.9288/@36.8743,42.9288,14z?hl=en","Maplink2")</f>
        <v>Maplink2</v>
      </c>
      <c r="AU1437" s="20" t="str">
        <f aca="false">HYPERLINK("http://www.bing.com/maps/?lvl=14&amp;sty=h&amp;cp=36.8743~42.9288&amp;sp=point.36.8743_42.9288","Maplink3")</f>
        <v>Maplink3</v>
      </c>
    </row>
    <row r="1438" customFormat="false" ht="15" hidden="false" customHeight="true" outlineLevel="0" collapsed="false">
      <c r="A1438" s="15" t="n">
        <v>24187</v>
      </c>
      <c r="B1438" s="16" t="s">
        <v>19</v>
      </c>
      <c r="C1438" s="16" t="s">
        <v>19</v>
      </c>
      <c r="D1438" s="16" t="s">
        <v>2849</v>
      </c>
      <c r="E1438" s="17" t="s">
        <v>2850</v>
      </c>
      <c r="F1438" s="16" t="n">
        <v>36.85955719</v>
      </c>
      <c r="G1438" s="16" t="n">
        <v>43.00569891</v>
      </c>
      <c r="H1438" s="18" t="n">
        <v>70</v>
      </c>
      <c r="I1438" s="18" t="n">
        <v>420</v>
      </c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 t="n">
        <v>70</v>
      </c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 t="n">
        <v>70</v>
      </c>
      <c r="AI1438" s="19"/>
      <c r="AJ1438" s="19"/>
      <c r="AK1438" s="19"/>
      <c r="AL1438" s="19"/>
      <c r="AM1438" s="19" t="n">
        <v>30</v>
      </c>
      <c r="AN1438" s="19" t="n">
        <v>40</v>
      </c>
      <c r="AO1438" s="19"/>
      <c r="AP1438" s="19"/>
      <c r="AQ1438" s="19"/>
      <c r="AR1438" s="19"/>
      <c r="AS1438" s="20" t="str">
        <f aca="false">HYPERLINK("http://www.openstreetmap.org/?mlat=36.8596&amp;mlon=43.0057&amp;zoom=12#map=12/36.8596/43.0057","Maplink1")</f>
        <v>Maplink1</v>
      </c>
      <c r="AT1438" s="20" t="str">
        <f aca="false">HYPERLINK("https://www.google.iq/maps/search/+36.8596,43.0057/@36.8596,43.0057,14z?hl=en","Maplink2")</f>
        <v>Maplink2</v>
      </c>
      <c r="AU1438" s="20" t="str">
        <f aca="false">HYPERLINK("http://www.bing.com/maps/?lvl=14&amp;sty=h&amp;cp=36.8596~43.0057&amp;sp=point.36.8596_43.0057","Maplink3")</f>
        <v>Maplink3</v>
      </c>
    </row>
    <row r="1439" customFormat="false" ht="15" hidden="false" customHeight="true" outlineLevel="0" collapsed="false">
      <c r="A1439" s="15" t="n">
        <v>29503</v>
      </c>
      <c r="B1439" s="16" t="s">
        <v>19</v>
      </c>
      <c r="C1439" s="16" t="s">
        <v>2851</v>
      </c>
      <c r="D1439" s="16" t="s">
        <v>2852</v>
      </c>
      <c r="E1439" s="17" t="s">
        <v>2853</v>
      </c>
      <c r="F1439" s="16" t="n">
        <v>36.90970017</v>
      </c>
      <c r="G1439" s="16" t="n">
        <v>42.8809373</v>
      </c>
      <c r="H1439" s="18" t="n">
        <v>42</v>
      </c>
      <c r="I1439" s="18" t="n">
        <v>252</v>
      </c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 t="n">
        <v>42</v>
      </c>
      <c r="W1439" s="19"/>
      <c r="X1439" s="19"/>
      <c r="Y1439" s="19"/>
      <c r="Z1439" s="19"/>
      <c r="AA1439" s="19"/>
      <c r="AB1439" s="19"/>
      <c r="AC1439" s="19"/>
      <c r="AD1439" s="19"/>
      <c r="AE1439" s="19" t="n">
        <v>42</v>
      </c>
      <c r="AF1439" s="19"/>
      <c r="AG1439" s="19"/>
      <c r="AH1439" s="19"/>
      <c r="AI1439" s="19"/>
      <c r="AJ1439" s="19"/>
      <c r="AK1439" s="19"/>
      <c r="AL1439" s="19"/>
      <c r="AM1439" s="19" t="n">
        <v>18</v>
      </c>
      <c r="AN1439" s="19" t="n">
        <v>24</v>
      </c>
      <c r="AO1439" s="19"/>
      <c r="AP1439" s="19"/>
      <c r="AQ1439" s="19"/>
      <c r="AR1439" s="19"/>
      <c r="AS1439" s="20" t="str">
        <f aca="false">HYPERLINK("http://www.openstreetmap.org/?mlat=36.9097&amp;mlon=42.8809&amp;zoom=12#map=12/36.9097/42.8809","Maplink1")</f>
        <v>Maplink1</v>
      </c>
      <c r="AT1439" s="20" t="str">
        <f aca="false">HYPERLINK("https://www.google.iq/maps/search/+36.9097,42.8809/@36.9097,42.8809,14z?hl=en","Maplink2")</f>
        <v>Maplink2</v>
      </c>
      <c r="AU1439" s="20" t="str">
        <f aca="false">HYPERLINK("http://www.bing.com/maps/?lvl=14&amp;sty=h&amp;cp=36.9097~42.8809&amp;sp=point.36.9097_42.8809","Maplink3")</f>
        <v>Maplink3</v>
      </c>
    </row>
    <row r="1440" customFormat="false" ht="15" hidden="false" customHeight="true" outlineLevel="0" collapsed="false">
      <c r="A1440" s="15" t="n">
        <v>28474</v>
      </c>
      <c r="B1440" s="16" t="s">
        <v>19</v>
      </c>
      <c r="C1440" s="16" t="s">
        <v>2851</v>
      </c>
      <c r="D1440" s="16" t="s">
        <v>2854</v>
      </c>
      <c r="E1440" s="17" t="s">
        <v>2855</v>
      </c>
      <c r="F1440" s="16" t="n">
        <v>36.930195</v>
      </c>
      <c r="G1440" s="16" t="n">
        <v>42.873632</v>
      </c>
      <c r="H1440" s="18" t="n">
        <v>19</v>
      </c>
      <c r="I1440" s="18" t="n">
        <v>114</v>
      </c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 t="n">
        <v>19</v>
      </c>
      <c r="W1440" s="19"/>
      <c r="X1440" s="19"/>
      <c r="Y1440" s="19"/>
      <c r="Z1440" s="19"/>
      <c r="AA1440" s="19"/>
      <c r="AB1440" s="19"/>
      <c r="AC1440" s="19"/>
      <c r="AD1440" s="19"/>
      <c r="AE1440" s="19" t="n">
        <v>19</v>
      </c>
      <c r="AF1440" s="19"/>
      <c r="AG1440" s="19"/>
      <c r="AH1440" s="19"/>
      <c r="AI1440" s="19"/>
      <c r="AJ1440" s="19"/>
      <c r="AK1440" s="19"/>
      <c r="AL1440" s="19"/>
      <c r="AM1440" s="19" t="n">
        <v>3</v>
      </c>
      <c r="AN1440" s="19" t="n">
        <v>16</v>
      </c>
      <c r="AO1440" s="19"/>
      <c r="AP1440" s="19"/>
      <c r="AQ1440" s="19"/>
      <c r="AR1440" s="19"/>
      <c r="AS1440" s="20" t="str">
        <f aca="false">HYPERLINK("http://www.openstreetmap.org/?mlat=36.9302&amp;mlon=42.8736&amp;zoom=12#map=12/36.9302/42.8736","Maplink1")</f>
        <v>Maplink1</v>
      </c>
      <c r="AT1440" s="20" t="str">
        <f aca="false">HYPERLINK("https://www.google.iq/maps/search/+36.9302,42.8736/@36.9302,42.8736,14z?hl=en","Maplink2")</f>
        <v>Maplink2</v>
      </c>
      <c r="AU1440" s="20" t="str">
        <f aca="false">HYPERLINK("http://www.bing.com/maps/?lvl=14&amp;sty=h&amp;cp=36.9302~42.8736&amp;sp=point.36.9302_42.8736","Maplink3")</f>
        <v>Maplink3</v>
      </c>
    </row>
    <row r="1441" customFormat="false" ht="15" hidden="false" customHeight="true" outlineLevel="0" collapsed="false">
      <c r="A1441" s="15" t="n">
        <v>24800</v>
      </c>
      <c r="B1441" s="16" t="s">
        <v>19</v>
      </c>
      <c r="C1441" s="16" t="s">
        <v>2851</v>
      </c>
      <c r="D1441" s="16" t="s">
        <v>2856</v>
      </c>
      <c r="E1441" s="17" t="s">
        <v>2857</v>
      </c>
      <c r="F1441" s="16" t="n">
        <v>36.85466323</v>
      </c>
      <c r="G1441" s="16" t="n">
        <v>42.90753599</v>
      </c>
      <c r="H1441" s="18" t="n">
        <v>1592</v>
      </c>
      <c r="I1441" s="18" t="n">
        <v>9552</v>
      </c>
      <c r="J1441" s="19" t="n">
        <v>2</v>
      </c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 t="n">
        <v>1583</v>
      </c>
      <c r="W1441" s="19"/>
      <c r="X1441" s="19" t="n">
        <v>7</v>
      </c>
      <c r="Y1441" s="19"/>
      <c r="Z1441" s="19"/>
      <c r="AA1441" s="19"/>
      <c r="AB1441" s="19"/>
      <c r="AC1441" s="19" t="n">
        <v>186</v>
      </c>
      <c r="AD1441" s="19"/>
      <c r="AE1441" s="19"/>
      <c r="AF1441" s="19"/>
      <c r="AG1441" s="19"/>
      <c r="AH1441" s="19" t="n">
        <v>1406</v>
      </c>
      <c r="AI1441" s="19"/>
      <c r="AJ1441" s="19"/>
      <c r="AK1441" s="19"/>
      <c r="AL1441" s="19" t="n">
        <v>2</v>
      </c>
      <c r="AM1441" s="19" t="n">
        <v>1211</v>
      </c>
      <c r="AN1441" s="19" t="n">
        <v>379</v>
      </c>
      <c r="AO1441" s="19"/>
      <c r="AP1441" s="19"/>
      <c r="AQ1441" s="19"/>
      <c r="AR1441" s="19"/>
      <c r="AS1441" s="20" t="str">
        <f aca="false">HYPERLINK("http://www.openstreetmap.org/?mlat=36.8547&amp;mlon=42.9075&amp;zoom=12#map=12/36.8547/42.9075","Maplink1")</f>
        <v>Maplink1</v>
      </c>
      <c r="AT1441" s="20" t="str">
        <f aca="false">HYPERLINK("https://www.google.iq/maps/search/+36.8547,42.9075/@36.8547,42.9075,14z?hl=en","Maplink2")</f>
        <v>Maplink2</v>
      </c>
      <c r="AU1441" s="20" t="str">
        <f aca="false">HYPERLINK("http://www.bing.com/maps/?lvl=14&amp;sty=h&amp;cp=36.8547~42.9075&amp;sp=point.36.8547_42.9075","Maplink3")</f>
        <v>Maplink3</v>
      </c>
    </row>
    <row r="1442" customFormat="false" ht="15" hidden="false" customHeight="true" outlineLevel="0" collapsed="false">
      <c r="A1442" s="15" t="n">
        <v>24790</v>
      </c>
      <c r="B1442" s="16" t="s">
        <v>19</v>
      </c>
      <c r="C1442" s="16" t="s">
        <v>2851</v>
      </c>
      <c r="D1442" s="16" t="s">
        <v>2858</v>
      </c>
      <c r="E1442" s="17" t="s">
        <v>2859</v>
      </c>
      <c r="F1442" s="16" t="n">
        <v>37.05657421</v>
      </c>
      <c r="G1442" s="16" t="n">
        <v>42.44589208</v>
      </c>
      <c r="H1442" s="18" t="n">
        <v>2071</v>
      </c>
      <c r="I1442" s="18" t="n">
        <v>12426</v>
      </c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 t="n">
        <v>2071</v>
      </c>
      <c r="W1442" s="19"/>
      <c r="X1442" s="19"/>
      <c r="Y1442" s="19"/>
      <c r="Z1442" s="19"/>
      <c r="AA1442" s="19"/>
      <c r="AB1442" s="19" t="n">
        <v>2071</v>
      </c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 t="n">
        <v>2065</v>
      </c>
      <c r="AO1442" s="19"/>
      <c r="AP1442" s="19" t="n">
        <v>6</v>
      </c>
      <c r="AQ1442" s="19"/>
      <c r="AR1442" s="19"/>
      <c r="AS1442" s="20" t="str">
        <f aca="false">HYPERLINK("http://www.openstreetmap.org/?mlat=37.0566&amp;mlon=42.4459&amp;zoom=12#map=12/37.0566/42.4459","Maplink1")</f>
        <v>Maplink1</v>
      </c>
      <c r="AT1442" s="20" t="str">
        <f aca="false">HYPERLINK("https://www.google.iq/maps/search/+37.0566,42.4459/@37.0566,42.4459,14z?hl=en","Maplink2")</f>
        <v>Maplink2</v>
      </c>
      <c r="AU1442" s="20" t="str">
        <f aca="false">HYPERLINK("http://www.bing.com/maps/?lvl=14&amp;sty=h&amp;cp=37.0566~42.4459&amp;sp=point.37.0566_42.4459","Maplink3")</f>
        <v>Maplink3</v>
      </c>
    </row>
    <row r="1443" customFormat="false" ht="15" hidden="false" customHeight="true" outlineLevel="0" collapsed="false">
      <c r="A1443" s="15" t="n">
        <v>8044</v>
      </c>
      <c r="B1443" s="16" t="s">
        <v>19</v>
      </c>
      <c r="C1443" s="16" t="s">
        <v>2851</v>
      </c>
      <c r="D1443" s="16" t="s">
        <v>2860</v>
      </c>
      <c r="E1443" s="17" t="s">
        <v>2861</v>
      </c>
      <c r="F1443" s="16" t="n">
        <v>37.04708914</v>
      </c>
      <c r="G1443" s="16" t="n">
        <v>42.45082023</v>
      </c>
      <c r="H1443" s="18" t="n">
        <v>266</v>
      </c>
      <c r="I1443" s="18" t="n">
        <v>1596</v>
      </c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 t="n">
        <v>266</v>
      </c>
      <c r="W1443" s="19"/>
      <c r="X1443" s="19"/>
      <c r="Y1443" s="19"/>
      <c r="Z1443" s="19"/>
      <c r="AA1443" s="19"/>
      <c r="AB1443" s="19"/>
      <c r="AC1443" s="19" t="n">
        <v>180</v>
      </c>
      <c r="AD1443" s="19"/>
      <c r="AE1443" s="19" t="n">
        <v>44</v>
      </c>
      <c r="AF1443" s="19"/>
      <c r="AG1443" s="19"/>
      <c r="AH1443" s="19" t="n">
        <v>27</v>
      </c>
      <c r="AI1443" s="19"/>
      <c r="AJ1443" s="19" t="n">
        <v>15</v>
      </c>
      <c r="AK1443" s="19"/>
      <c r="AL1443" s="19"/>
      <c r="AM1443" s="19" t="n">
        <v>2</v>
      </c>
      <c r="AN1443" s="19" t="n">
        <v>264</v>
      </c>
      <c r="AO1443" s="19"/>
      <c r="AP1443" s="19"/>
      <c r="AQ1443" s="19"/>
      <c r="AR1443" s="19"/>
      <c r="AS1443" s="20" t="str">
        <f aca="false">HYPERLINK("http://www.openstreetmap.org/?mlat=37.0471&amp;mlon=42.4508&amp;zoom=12#map=12/37.0471/42.4508","Maplink1")</f>
        <v>Maplink1</v>
      </c>
      <c r="AT1443" s="20" t="str">
        <f aca="false">HYPERLINK("https://www.google.iq/maps/search/+37.0471,42.4508/@37.0471,42.4508,14z?hl=en","Maplink2")</f>
        <v>Maplink2</v>
      </c>
      <c r="AU1443" s="20" t="str">
        <f aca="false">HYPERLINK("http://www.bing.com/maps/?lvl=14&amp;sty=h&amp;cp=37.0471~42.4508&amp;sp=point.37.0471_42.4508","Maplink3")</f>
        <v>Maplink3</v>
      </c>
    </row>
    <row r="1444" customFormat="false" ht="15" hidden="false" customHeight="true" outlineLevel="0" collapsed="false">
      <c r="A1444" s="15" t="n">
        <v>8019</v>
      </c>
      <c r="B1444" s="16" t="s">
        <v>19</v>
      </c>
      <c r="C1444" s="16" t="s">
        <v>2851</v>
      </c>
      <c r="D1444" s="16" t="s">
        <v>2862</v>
      </c>
      <c r="E1444" s="17" t="s">
        <v>2863</v>
      </c>
      <c r="F1444" s="16" t="n">
        <v>36.80698159</v>
      </c>
      <c r="G1444" s="16" t="n">
        <v>42.85928169</v>
      </c>
      <c r="H1444" s="18" t="n">
        <v>68</v>
      </c>
      <c r="I1444" s="18" t="n">
        <v>408</v>
      </c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 t="n">
        <v>68</v>
      </c>
      <c r="W1444" s="19"/>
      <c r="X1444" s="19"/>
      <c r="Y1444" s="19"/>
      <c r="Z1444" s="19"/>
      <c r="AA1444" s="19"/>
      <c r="AB1444" s="19"/>
      <c r="AC1444" s="19" t="n">
        <v>7</v>
      </c>
      <c r="AD1444" s="19"/>
      <c r="AE1444" s="19" t="n">
        <v>16</v>
      </c>
      <c r="AF1444" s="19"/>
      <c r="AG1444" s="19" t="n">
        <v>2</v>
      </c>
      <c r="AH1444" s="19" t="n">
        <v>28</v>
      </c>
      <c r="AI1444" s="19"/>
      <c r="AJ1444" s="19" t="n">
        <v>15</v>
      </c>
      <c r="AK1444" s="19"/>
      <c r="AL1444" s="19"/>
      <c r="AM1444" s="19"/>
      <c r="AN1444" s="19" t="n">
        <v>68</v>
      </c>
      <c r="AO1444" s="19"/>
      <c r="AP1444" s="19"/>
      <c r="AQ1444" s="19"/>
      <c r="AR1444" s="19"/>
      <c r="AS1444" s="20" t="str">
        <f aca="false">HYPERLINK("http://www.openstreetmap.org/?mlat=36.807&amp;mlon=42.8593&amp;zoom=12#map=12/36.807/42.8593","Maplink1")</f>
        <v>Maplink1</v>
      </c>
      <c r="AT1444" s="20" t="str">
        <f aca="false">HYPERLINK("https://www.google.iq/maps/search/+36.807,42.8593/@36.807,42.8593,14z?hl=en","Maplink2")</f>
        <v>Maplink2</v>
      </c>
      <c r="AU1444" s="20" t="str">
        <f aca="false">HYPERLINK("http://www.bing.com/maps/?lvl=14&amp;sty=h&amp;cp=36.807~42.8593&amp;sp=point.36.807_42.8593","Maplink3")</f>
        <v>Maplink3</v>
      </c>
    </row>
    <row r="1445" customFormat="false" ht="15" hidden="false" customHeight="true" outlineLevel="0" collapsed="false">
      <c r="A1445" s="15" t="n">
        <v>25993</v>
      </c>
      <c r="B1445" s="16" t="s">
        <v>19</v>
      </c>
      <c r="C1445" s="16" t="s">
        <v>2851</v>
      </c>
      <c r="D1445" s="16" t="s">
        <v>2864</v>
      </c>
      <c r="E1445" s="17" t="s">
        <v>2865</v>
      </c>
      <c r="F1445" s="16" t="n">
        <v>36.95527396</v>
      </c>
      <c r="G1445" s="16" t="n">
        <v>42.72723423</v>
      </c>
      <c r="H1445" s="18" t="n">
        <v>384</v>
      </c>
      <c r="I1445" s="18" t="n">
        <v>2304</v>
      </c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 t="n">
        <v>384</v>
      </c>
      <c r="W1445" s="19"/>
      <c r="X1445" s="19"/>
      <c r="Y1445" s="19"/>
      <c r="Z1445" s="19"/>
      <c r="AA1445" s="19"/>
      <c r="AB1445" s="19"/>
      <c r="AC1445" s="19" t="n">
        <v>215</v>
      </c>
      <c r="AD1445" s="19"/>
      <c r="AE1445" s="19"/>
      <c r="AF1445" s="19"/>
      <c r="AG1445" s="19"/>
      <c r="AH1445" s="19" t="n">
        <v>75</v>
      </c>
      <c r="AI1445" s="19"/>
      <c r="AJ1445" s="19" t="n">
        <v>94</v>
      </c>
      <c r="AK1445" s="19"/>
      <c r="AL1445" s="19"/>
      <c r="AM1445" s="19"/>
      <c r="AN1445" s="19" t="n">
        <v>384</v>
      </c>
      <c r="AO1445" s="19"/>
      <c r="AP1445" s="19"/>
      <c r="AQ1445" s="19"/>
      <c r="AR1445" s="19"/>
      <c r="AS1445" s="20" t="str">
        <f aca="false">HYPERLINK("http://www.openstreetmap.org/?mlat=36.9553&amp;mlon=42.7272&amp;zoom=12#map=12/36.9553/42.7272","Maplink1")</f>
        <v>Maplink1</v>
      </c>
      <c r="AT1445" s="20" t="str">
        <f aca="false">HYPERLINK("https://www.google.iq/maps/search/+36.9553,42.7272/@36.9553,42.7272,14z?hl=en","Maplink2")</f>
        <v>Maplink2</v>
      </c>
      <c r="AU1445" s="20" t="str">
        <f aca="false">HYPERLINK("http://www.bing.com/maps/?lvl=14&amp;sty=h&amp;cp=36.9553~42.7272&amp;sp=point.36.9553_42.7272","Maplink3")</f>
        <v>Maplink3</v>
      </c>
    </row>
    <row r="1446" customFormat="false" ht="15" hidden="false" customHeight="true" outlineLevel="0" collapsed="false">
      <c r="A1446" s="15" t="n">
        <v>8196</v>
      </c>
      <c r="B1446" s="16" t="s">
        <v>19</v>
      </c>
      <c r="C1446" s="16" t="s">
        <v>2851</v>
      </c>
      <c r="D1446" s="16" t="s">
        <v>2866</v>
      </c>
      <c r="E1446" s="17" t="s">
        <v>2867</v>
      </c>
      <c r="F1446" s="16" t="n">
        <v>36.96102992</v>
      </c>
      <c r="G1446" s="16" t="n">
        <v>42.68133305</v>
      </c>
      <c r="H1446" s="18" t="n">
        <v>188</v>
      </c>
      <c r="I1446" s="18" t="n">
        <v>1128</v>
      </c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 t="n">
        <v>188</v>
      </c>
      <c r="W1446" s="19"/>
      <c r="X1446" s="19"/>
      <c r="Y1446" s="19"/>
      <c r="Z1446" s="19"/>
      <c r="AA1446" s="19"/>
      <c r="AB1446" s="19"/>
      <c r="AC1446" s="19" t="n">
        <v>78</v>
      </c>
      <c r="AD1446" s="19"/>
      <c r="AE1446" s="19" t="n">
        <v>4</v>
      </c>
      <c r="AF1446" s="19"/>
      <c r="AG1446" s="19"/>
      <c r="AH1446" s="19" t="n">
        <v>21</v>
      </c>
      <c r="AI1446" s="19"/>
      <c r="AJ1446" s="19" t="n">
        <v>85</v>
      </c>
      <c r="AK1446" s="19"/>
      <c r="AL1446" s="19"/>
      <c r="AM1446" s="19" t="n">
        <v>30</v>
      </c>
      <c r="AN1446" s="19" t="n">
        <v>153</v>
      </c>
      <c r="AO1446" s="19"/>
      <c r="AP1446" s="19" t="n">
        <v>5</v>
      </c>
      <c r="AQ1446" s="19"/>
      <c r="AR1446" s="19"/>
      <c r="AS1446" s="20" t="str">
        <f aca="false">HYPERLINK("http://www.openstreetmap.org/?mlat=36.961&amp;mlon=42.6813&amp;zoom=12#map=12/36.961/42.6813","Maplink1")</f>
        <v>Maplink1</v>
      </c>
      <c r="AT1446" s="20" t="str">
        <f aca="false">HYPERLINK("https://www.google.iq/maps/search/+36.961,42.6813/@36.961,42.6813,14z?hl=en","Maplink2")</f>
        <v>Maplink2</v>
      </c>
      <c r="AU1446" s="20" t="str">
        <f aca="false">HYPERLINK("http://www.bing.com/maps/?lvl=14&amp;sty=h&amp;cp=36.961~42.6813&amp;sp=point.36.961_42.6813","Maplink3")</f>
        <v>Maplink3</v>
      </c>
    </row>
    <row r="1447" customFormat="false" ht="15" hidden="false" customHeight="true" outlineLevel="0" collapsed="false">
      <c r="A1447" s="15" t="n">
        <v>8018</v>
      </c>
      <c r="B1447" s="16" t="s">
        <v>19</v>
      </c>
      <c r="C1447" s="16" t="s">
        <v>2851</v>
      </c>
      <c r="D1447" s="16" t="s">
        <v>2868</v>
      </c>
      <c r="E1447" s="17" t="s">
        <v>2869</v>
      </c>
      <c r="F1447" s="16" t="n">
        <v>36.82</v>
      </c>
      <c r="G1447" s="16" t="n">
        <v>42.88</v>
      </c>
      <c r="H1447" s="18" t="n">
        <v>55</v>
      </c>
      <c r="I1447" s="18" t="n">
        <v>330</v>
      </c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 t="n">
        <v>55</v>
      </c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 t="n">
        <v>55</v>
      </c>
      <c r="AK1447" s="19"/>
      <c r="AL1447" s="19"/>
      <c r="AM1447" s="19"/>
      <c r="AN1447" s="19" t="n">
        <v>55</v>
      </c>
      <c r="AO1447" s="19"/>
      <c r="AP1447" s="19"/>
      <c r="AQ1447" s="19"/>
      <c r="AR1447" s="19"/>
      <c r="AS1447" s="20" t="str">
        <f aca="false">HYPERLINK("http://www.openstreetmap.org/?mlat=36.82&amp;mlon=42.88&amp;zoom=12#map=12/36.82/42.88","Maplink1")</f>
        <v>Maplink1</v>
      </c>
      <c r="AT1447" s="20" t="str">
        <f aca="false">HYPERLINK("https://www.google.iq/maps/search/+36.82,42.88/@36.82,42.88,14z?hl=en","Maplink2")</f>
        <v>Maplink2</v>
      </c>
      <c r="AU1447" s="20" t="str">
        <f aca="false">HYPERLINK("http://www.bing.com/maps/?lvl=14&amp;sty=h&amp;cp=36.82~42.88&amp;sp=point.36.82_42.88","Maplink3")</f>
        <v>Maplink3</v>
      </c>
    </row>
    <row r="1448" customFormat="false" ht="15" hidden="false" customHeight="true" outlineLevel="0" collapsed="false">
      <c r="A1448" s="15" t="n">
        <v>25777</v>
      </c>
      <c r="B1448" s="16" t="s">
        <v>19</v>
      </c>
      <c r="C1448" s="16" t="s">
        <v>2851</v>
      </c>
      <c r="D1448" s="16" t="s">
        <v>2870</v>
      </c>
      <c r="E1448" s="17" t="s">
        <v>2871</v>
      </c>
      <c r="F1448" s="16" t="n">
        <v>36.8477301</v>
      </c>
      <c r="G1448" s="16" t="n">
        <v>42.90576017</v>
      </c>
      <c r="H1448" s="18" t="n">
        <v>41</v>
      </c>
      <c r="I1448" s="18" t="n">
        <v>246</v>
      </c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 t="n">
        <v>41</v>
      </c>
      <c r="W1448" s="19"/>
      <c r="X1448" s="19"/>
      <c r="Y1448" s="19"/>
      <c r="Z1448" s="19"/>
      <c r="AA1448" s="19"/>
      <c r="AB1448" s="19"/>
      <c r="AC1448" s="19" t="n">
        <v>6</v>
      </c>
      <c r="AD1448" s="19"/>
      <c r="AE1448" s="19"/>
      <c r="AF1448" s="19"/>
      <c r="AG1448" s="19"/>
      <c r="AH1448" s="19" t="n">
        <v>30</v>
      </c>
      <c r="AI1448" s="19"/>
      <c r="AJ1448" s="19" t="n">
        <v>5</v>
      </c>
      <c r="AK1448" s="19"/>
      <c r="AL1448" s="19"/>
      <c r="AM1448" s="19" t="n">
        <v>2</v>
      </c>
      <c r="AN1448" s="19" t="n">
        <v>39</v>
      </c>
      <c r="AO1448" s="19"/>
      <c r="AP1448" s="19"/>
      <c r="AQ1448" s="19"/>
      <c r="AR1448" s="19"/>
      <c r="AS1448" s="20" t="str">
        <f aca="false">HYPERLINK("http://www.openstreetmap.org/?mlat=36.8477&amp;mlon=42.9058&amp;zoom=12#map=12/36.8477/42.9058","Maplink1")</f>
        <v>Maplink1</v>
      </c>
      <c r="AT1448" s="20" t="str">
        <f aca="false">HYPERLINK("https://www.google.iq/maps/search/+36.8477,42.9058/@36.8477,42.9058,14z?hl=en","Maplink2")</f>
        <v>Maplink2</v>
      </c>
      <c r="AU1448" s="20" t="str">
        <f aca="false">HYPERLINK("http://www.bing.com/maps/?lvl=14&amp;sty=h&amp;cp=36.8477~42.9058&amp;sp=point.36.8477_42.9058","Maplink3")</f>
        <v>Maplink3</v>
      </c>
    </row>
    <row r="1449" customFormat="false" ht="15" hidden="false" customHeight="true" outlineLevel="0" collapsed="false">
      <c r="A1449" s="15" t="n">
        <v>26123</v>
      </c>
      <c r="B1449" s="16" t="s">
        <v>19</v>
      </c>
      <c r="C1449" s="16" t="s">
        <v>2851</v>
      </c>
      <c r="D1449" s="16" t="s">
        <v>2872</v>
      </c>
      <c r="E1449" s="17" t="s">
        <v>2873</v>
      </c>
      <c r="F1449" s="16" t="n">
        <v>36.79184961</v>
      </c>
      <c r="G1449" s="16" t="n">
        <v>42.91506865</v>
      </c>
      <c r="H1449" s="18" t="n">
        <v>445</v>
      </c>
      <c r="I1449" s="18" t="n">
        <v>2670</v>
      </c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 t="n">
        <v>445</v>
      </c>
      <c r="W1449" s="19"/>
      <c r="X1449" s="19"/>
      <c r="Y1449" s="19"/>
      <c r="Z1449" s="19"/>
      <c r="AA1449" s="19"/>
      <c r="AB1449" s="19"/>
      <c r="AC1449" s="19" t="n">
        <v>55</v>
      </c>
      <c r="AD1449" s="19"/>
      <c r="AE1449" s="19"/>
      <c r="AF1449" s="19"/>
      <c r="AG1449" s="19"/>
      <c r="AH1449" s="19" t="n">
        <v>370</v>
      </c>
      <c r="AI1449" s="19"/>
      <c r="AJ1449" s="19" t="n">
        <v>20</v>
      </c>
      <c r="AK1449" s="19"/>
      <c r="AL1449" s="19"/>
      <c r="AM1449" s="19" t="n">
        <v>385</v>
      </c>
      <c r="AN1449" s="19" t="n">
        <v>60</v>
      </c>
      <c r="AO1449" s="19"/>
      <c r="AP1449" s="19"/>
      <c r="AQ1449" s="19"/>
      <c r="AR1449" s="19"/>
      <c r="AS1449" s="20" t="str">
        <f aca="false">HYPERLINK("http://www.openstreetmap.org/?mlat=36.7918&amp;mlon=42.9151&amp;zoom=12#map=12/36.7918/42.9151","Maplink1")</f>
        <v>Maplink1</v>
      </c>
      <c r="AT1449" s="20" t="str">
        <f aca="false">HYPERLINK("https://www.google.iq/maps/search/+36.7918,42.9151/@36.7918,42.9151,14z?hl=en","Maplink2")</f>
        <v>Maplink2</v>
      </c>
      <c r="AU1449" s="20" t="str">
        <f aca="false">HYPERLINK("http://www.bing.com/maps/?lvl=14&amp;sty=h&amp;cp=36.7918~42.9151&amp;sp=point.36.7918_42.9151","Maplink3")</f>
        <v>Maplink3</v>
      </c>
    </row>
    <row r="1450" customFormat="false" ht="15" hidden="false" customHeight="true" outlineLevel="0" collapsed="false">
      <c r="A1450" s="15" t="n">
        <v>26122</v>
      </c>
      <c r="B1450" s="16" t="s">
        <v>19</v>
      </c>
      <c r="C1450" s="16" t="s">
        <v>2851</v>
      </c>
      <c r="D1450" s="16" t="s">
        <v>2874</v>
      </c>
      <c r="E1450" s="17" t="s">
        <v>2875</v>
      </c>
      <c r="F1450" s="16" t="n">
        <v>36.79974737</v>
      </c>
      <c r="G1450" s="16" t="n">
        <v>42.91426244</v>
      </c>
      <c r="H1450" s="18" t="n">
        <v>219</v>
      </c>
      <c r="I1450" s="18" t="n">
        <v>1314</v>
      </c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 t="n">
        <v>219</v>
      </c>
      <c r="W1450" s="19"/>
      <c r="X1450" s="19"/>
      <c r="Y1450" s="19"/>
      <c r="Z1450" s="19"/>
      <c r="AA1450" s="19"/>
      <c r="AB1450" s="19"/>
      <c r="AC1450" s="19" t="n">
        <v>18</v>
      </c>
      <c r="AD1450" s="19"/>
      <c r="AE1450" s="19"/>
      <c r="AF1450" s="19"/>
      <c r="AG1450" s="19"/>
      <c r="AH1450" s="19" t="n">
        <v>187</v>
      </c>
      <c r="AI1450" s="19"/>
      <c r="AJ1450" s="19" t="n">
        <v>14</v>
      </c>
      <c r="AK1450" s="19"/>
      <c r="AL1450" s="19"/>
      <c r="AM1450" s="19" t="n">
        <v>205</v>
      </c>
      <c r="AN1450" s="19" t="n">
        <v>14</v>
      </c>
      <c r="AO1450" s="19"/>
      <c r="AP1450" s="19"/>
      <c r="AQ1450" s="19"/>
      <c r="AR1450" s="19"/>
      <c r="AS1450" s="20" t="str">
        <f aca="false">HYPERLINK("http://www.openstreetmap.org/?mlat=36.7997&amp;mlon=42.9143&amp;zoom=12#map=12/36.7997/42.9143","Maplink1")</f>
        <v>Maplink1</v>
      </c>
      <c r="AT1450" s="20" t="str">
        <f aca="false">HYPERLINK("https://www.google.iq/maps/search/+36.7997,42.9143/@36.7997,42.9143,14z?hl=en","Maplink2")</f>
        <v>Maplink2</v>
      </c>
      <c r="AU1450" s="20" t="str">
        <f aca="false">HYPERLINK("http://www.bing.com/maps/?lvl=14&amp;sty=h&amp;cp=36.7997~42.9143&amp;sp=point.36.7997_42.9143","Maplink3")</f>
        <v>Maplink3</v>
      </c>
    </row>
    <row r="1451" customFormat="false" ht="15" hidden="false" customHeight="true" outlineLevel="0" collapsed="false">
      <c r="A1451" s="15" t="n">
        <v>8239</v>
      </c>
      <c r="B1451" s="16" t="s">
        <v>19</v>
      </c>
      <c r="C1451" s="16" t="s">
        <v>2851</v>
      </c>
      <c r="D1451" s="16" t="s">
        <v>2876</v>
      </c>
      <c r="E1451" s="17" t="s">
        <v>2877</v>
      </c>
      <c r="F1451" s="16" t="n">
        <v>36.76159</v>
      </c>
      <c r="G1451" s="16" t="n">
        <v>42.92716297</v>
      </c>
      <c r="H1451" s="18" t="n">
        <v>363</v>
      </c>
      <c r="I1451" s="18" t="n">
        <v>2178</v>
      </c>
      <c r="J1451" s="19" t="n">
        <v>12</v>
      </c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 t="n">
        <v>351</v>
      </c>
      <c r="W1451" s="19"/>
      <c r="X1451" s="19"/>
      <c r="Y1451" s="19"/>
      <c r="Z1451" s="19"/>
      <c r="AA1451" s="19"/>
      <c r="AB1451" s="19"/>
      <c r="AC1451" s="19" t="n">
        <v>45</v>
      </c>
      <c r="AD1451" s="19"/>
      <c r="AE1451" s="19"/>
      <c r="AF1451" s="19"/>
      <c r="AG1451" s="19"/>
      <c r="AH1451" s="19" t="n">
        <v>280</v>
      </c>
      <c r="AI1451" s="19"/>
      <c r="AJ1451" s="19" t="n">
        <v>38</v>
      </c>
      <c r="AK1451" s="19"/>
      <c r="AL1451" s="19" t="n">
        <v>12</v>
      </c>
      <c r="AM1451" s="19" t="n">
        <v>180</v>
      </c>
      <c r="AN1451" s="19" t="n">
        <v>171</v>
      </c>
      <c r="AO1451" s="19"/>
      <c r="AP1451" s="19"/>
      <c r="AQ1451" s="19"/>
      <c r="AR1451" s="19"/>
      <c r="AS1451" s="20" t="str">
        <f aca="false">HYPERLINK("http://www.openstreetmap.org/?mlat=36.7616&amp;mlon=42.9272&amp;zoom=12#map=12/36.7616/42.9272","Maplink1")</f>
        <v>Maplink1</v>
      </c>
      <c r="AT1451" s="20" t="str">
        <f aca="false">HYPERLINK("https://www.google.iq/maps/search/+36.7616,42.9272/@36.7616,42.9272,14z?hl=en","Maplink2")</f>
        <v>Maplink2</v>
      </c>
      <c r="AU1451" s="20" t="str">
        <f aca="false">HYPERLINK("http://www.bing.com/maps/?lvl=14&amp;sty=h&amp;cp=36.7616~42.9272&amp;sp=point.36.7616_42.9272","Maplink3")</f>
        <v>Maplink3</v>
      </c>
    </row>
    <row r="1452" customFormat="false" ht="15" hidden="false" customHeight="true" outlineLevel="0" collapsed="false">
      <c r="A1452" s="15" t="n">
        <v>8246</v>
      </c>
      <c r="B1452" s="16" t="s">
        <v>19</v>
      </c>
      <c r="C1452" s="16" t="s">
        <v>2851</v>
      </c>
      <c r="D1452" s="16" t="s">
        <v>2878</v>
      </c>
      <c r="E1452" s="17" t="s">
        <v>2879</v>
      </c>
      <c r="F1452" s="16" t="n">
        <v>36.99276917</v>
      </c>
      <c r="G1452" s="16" t="n">
        <v>42.5991561</v>
      </c>
      <c r="H1452" s="18" t="n">
        <v>147</v>
      </c>
      <c r="I1452" s="18" t="n">
        <v>882</v>
      </c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 t="n">
        <v>147</v>
      </c>
      <c r="W1452" s="19"/>
      <c r="X1452" s="19"/>
      <c r="Y1452" s="19"/>
      <c r="Z1452" s="19"/>
      <c r="AA1452" s="19"/>
      <c r="AB1452" s="19"/>
      <c r="AC1452" s="19" t="n">
        <v>50</v>
      </c>
      <c r="AD1452" s="19"/>
      <c r="AE1452" s="19"/>
      <c r="AF1452" s="19"/>
      <c r="AG1452" s="19"/>
      <c r="AH1452" s="19" t="n">
        <v>26</v>
      </c>
      <c r="AI1452" s="19"/>
      <c r="AJ1452" s="19" t="n">
        <v>71</v>
      </c>
      <c r="AK1452" s="19"/>
      <c r="AL1452" s="19"/>
      <c r="AM1452" s="19" t="n">
        <v>22</v>
      </c>
      <c r="AN1452" s="19" t="n">
        <v>125</v>
      </c>
      <c r="AO1452" s="19"/>
      <c r="AP1452" s="19"/>
      <c r="AQ1452" s="19"/>
      <c r="AR1452" s="19"/>
      <c r="AS1452" s="20" t="str">
        <f aca="false">HYPERLINK("http://www.openstreetmap.org/?mlat=36.9928&amp;mlon=42.5992&amp;zoom=12#map=12/36.9928/42.5992","Maplink1")</f>
        <v>Maplink1</v>
      </c>
      <c r="AT1452" s="20" t="str">
        <f aca="false">HYPERLINK("https://www.google.iq/maps/search/+36.9928,42.5992/@36.9928,42.5992,14z?hl=en","Maplink2")</f>
        <v>Maplink2</v>
      </c>
      <c r="AU1452" s="20" t="str">
        <f aca="false">HYPERLINK("http://www.bing.com/maps/?lvl=14&amp;sty=h&amp;cp=36.9928~42.5992&amp;sp=point.36.9928_42.5992","Maplink3")</f>
        <v>Maplink3</v>
      </c>
    </row>
    <row r="1453" customFormat="false" ht="15" hidden="false" customHeight="true" outlineLevel="0" collapsed="false">
      <c r="A1453" s="15" t="n">
        <v>27126</v>
      </c>
      <c r="B1453" s="16" t="s">
        <v>19</v>
      </c>
      <c r="C1453" s="16" t="s">
        <v>2851</v>
      </c>
      <c r="D1453" s="16" t="s">
        <v>2880</v>
      </c>
      <c r="E1453" s="17" t="s">
        <v>2881</v>
      </c>
      <c r="F1453" s="16" t="n">
        <v>36.77706985</v>
      </c>
      <c r="G1453" s="16" t="n">
        <v>42.78716943</v>
      </c>
      <c r="H1453" s="18" t="n">
        <v>233</v>
      </c>
      <c r="I1453" s="18" t="n">
        <v>1398</v>
      </c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 t="n">
        <v>233</v>
      </c>
      <c r="W1453" s="19"/>
      <c r="X1453" s="19"/>
      <c r="Y1453" s="19"/>
      <c r="Z1453" s="19"/>
      <c r="AA1453" s="19"/>
      <c r="AB1453" s="19"/>
      <c r="AC1453" s="19" t="n">
        <v>52</v>
      </c>
      <c r="AD1453" s="19"/>
      <c r="AE1453" s="19"/>
      <c r="AF1453" s="19"/>
      <c r="AG1453" s="19"/>
      <c r="AH1453" s="19" t="n">
        <v>14</v>
      </c>
      <c r="AI1453" s="19"/>
      <c r="AJ1453" s="19" t="n">
        <v>167</v>
      </c>
      <c r="AK1453" s="19"/>
      <c r="AL1453" s="19"/>
      <c r="AM1453" s="19"/>
      <c r="AN1453" s="19" t="n">
        <v>233</v>
      </c>
      <c r="AO1453" s="19"/>
      <c r="AP1453" s="19"/>
      <c r="AQ1453" s="19"/>
      <c r="AR1453" s="19"/>
      <c r="AS1453" s="20" t="str">
        <f aca="false">HYPERLINK("http://www.openstreetmap.org/?mlat=36.7771&amp;mlon=42.7872&amp;zoom=12#map=12/36.7771/42.7872","Maplink1")</f>
        <v>Maplink1</v>
      </c>
      <c r="AT1453" s="20" t="str">
        <f aca="false">HYPERLINK("https://www.google.iq/maps/search/+36.7771,42.7872/@36.7771,42.7872,14z?hl=en","Maplink2")</f>
        <v>Maplink2</v>
      </c>
      <c r="AU1453" s="20" t="str">
        <f aca="false">HYPERLINK("http://www.bing.com/maps/?lvl=14&amp;sty=h&amp;cp=36.7771~42.7872&amp;sp=point.36.7771_42.7872","Maplink3")</f>
        <v>Maplink3</v>
      </c>
    </row>
    <row r="1454" customFormat="false" ht="15" hidden="false" customHeight="true" outlineLevel="0" collapsed="false">
      <c r="A1454" s="15" t="n">
        <v>25778</v>
      </c>
      <c r="B1454" s="16" t="s">
        <v>19</v>
      </c>
      <c r="C1454" s="16" t="s">
        <v>2851</v>
      </c>
      <c r="D1454" s="16" t="s">
        <v>2882</v>
      </c>
      <c r="E1454" s="17" t="s">
        <v>2883</v>
      </c>
      <c r="F1454" s="16" t="n">
        <v>36.867297</v>
      </c>
      <c r="G1454" s="16" t="n">
        <v>42.888576</v>
      </c>
      <c r="H1454" s="18" t="n">
        <v>14</v>
      </c>
      <c r="I1454" s="18" t="n">
        <v>84</v>
      </c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 t="n">
        <v>14</v>
      </c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 t="n">
        <v>14</v>
      </c>
      <c r="AK1454" s="19"/>
      <c r="AL1454" s="19"/>
      <c r="AM1454" s="19"/>
      <c r="AN1454" s="19" t="n">
        <v>14</v>
      </c>
      <c r="AO1454" s="19"/>
      <c r="AP1454" s="19"/>
      <c r="AQ1454" s="19"/>
      <c r="AR1454" s="19"/>
      <c r="AS1454" s="20" t="str">
        <f aca="false">HYPERLINK("http://www.openstreetmap.org/?mlat=36.8673&amp;mlon=42.8886&amp;zoom=12#map=12/36.8673/42.8886","Maplink1")</f>
        <v>Maplink1</v>
      </c>
      <c r="AT1454" s="20" t="str">
        <f aca="false">HYPERLINK("https://www.google.iq/maps/search/+36.8673,42.8886/@36.8673,42.8886,14z?hl=en","Maplink2")</f>
        <v>Maplink2</v>
      </c>
      <c r="AU1454" s="20" t="str">
        <f aca="false">HYPERLINK("http://www.bing.com/maps/?lvl=14&amp;sty=h&amp;cp=36.8673~42.8886&amp;sp=point.36.8673_42.8886","Maplink3")</f>
        <v>Maplink3</v>
      </c>
    </row>
    <row r="1455" customFormat="false" ht="15" hidden="false" customHeight="true" outlineLevel="0" collapsed="false">
      <c r="A1455" s="15" t="n">
        <v>8015</v>
      </c>
      <c r="B1455" s="16" t="s">
        <v>19</v>
      </c>
      <c r="C1455" s="16" t="s">
        <v>2851</v>
      </c>
      <c r="D1455" s="16" t="s">
        <v>2884</v>
      </c>
      <c r="E1455" s="17" t="s">
        <v>2885</v>
      </c>
      <c r="F1455" s="16" t="n">
        <v>36.77843</v>
      </c>
      <c r="G1455" s="16" t="n">
        <v>42.78549</v>
      </c>
      <c r="H1455" s="18" t="n">
        <v>224</v>
      </c>
      <c r="I1455" s="18" t="n">
        <v>1344</v>
      </c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 t="n">
        <v>224</v>
      </c>
      <c r="W1455" s="19"/>
      <c r="X1455" s="19"/>
      <c r="Y1455" s="19"/>
      <c r="Z1455" s="19"/>
      <c r="AA1455" s="19"/>
      <c r="AB1455" s="19"/>
      <c r="AC1455" s="19" t="n">
        <v>32</v>
      </c>
      <c r="AD1455" s="19"/>
      <c r="AE1455" s="19"/>
      <c r="AF1455" s="19"/>
      <c r="AG1455" s="19"/>
      <c r="AH1455" s="19" t="n">
        <v>18</v>
      </c>
      <c r="AI1455" s="19"/>
      <c r="AJ1455" s="19" t="n">
        <v>174</v>
      </c>
      <c r="AK1455" s="19"/>
      <c r="AL1455" s="19"/>
      <c r="AM1455" s="19"/>
      <c r="AN1455" s="19" t="n">
        <v>224</v>
      </c>
      <c r="AO1455" s="19"/>
      <c r="AP1455" s="19"/>
      <c r="AQ1455" s="19"/>
      <c r="AR1455" s="19"/>
      <c r="AS1455" s="20" t="str">
        <f aca="false">HYPERLINK("http://www.openstreetmap.org/?mlat=36.7784&amp;mlon=42.7855&amp;zoom=12#map=12/36.7784/42.7855","Maplink1")</f>
        <v>Maplink1</v>
      </c>
      <c r="AT1455" s="20" t="str">
        <f aca="false">HYPERLINK("https://www.google.iq/maps/search/+36.7784,42.7855/@36.7784,42.7855,14z?hl=en","Maplink2")</f>
        <v>Maplink2</v>
      </c>
      <c r="AU1455" s="20" t="str">
        <f aca="false">HYPERLINK("http://www.bing.com/maps/?lvl=14&amp;sty=h&amp;cp=36.7784~42.7855&amp;sp=point.36.7784_42.7855","Maplink3")</f>
        <v>Maplink3</v>
      </c>
    </row>
    <row r="1456" customFormat="false" ht="15" hidden="false" customHeight="true" outlineLevel="0" collapsed="false">
      <c r="A1456" s="15" t="n">
        <v>24794</v>
      </c>
      <c r="B1456" s="16" t="s">
        <v>19</v>
      </c>
      <c r="C1456" s="16" t="s">
        <v>2851</v>
      </c>
      <c r="D1456" s="16" t="s">
        <v>2886</v>
      </c>
      <c r="E1456" s="17" t="s">
        <v>2887</v>
      </c>
      <c r="F1456" s="16" t="n">
        <v>36.79003162</v>
      </c>
      <c r="G1456" s="16" t="n">
        <v>42.85587066</v>
      </c>
      <c r="H1456" s="18" t="n">
        <v>2473</v>
      </c>
      <c r="I1456" s="18" t="n">
        <v>14838</v>
      </c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 t="n">
        <v>2473</v>
      </c>
      <c r="W1456" s="19"/>
      <c r="X1456" s="19"/>
      <c r="Y1456" s="19"/>
      <c r="Z1456" s="19"/>
      <c r="AA1456" s="19"/>
      <c r="AB1456" s="19" t="n">
        <v>2473</v>
      </c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 t="n">
        <v>2473</v>
      </c>
      <c r="AO1456" s="19"/>
      <c r="AP1456" s="19"/>
      <c r="AQ1456" s="19"/>
      <c r="AR1456" s="19"/>
      <c r="AS1456" s="20" t="str">
        <f aca="false">HYPERLINK("http://www.openstreetmap.org/?mlat=36.79&amp;mlon=42.8559&amp;zoom=12#map=12/36.79/42.8559","Maplink1")</f>
        <v>Maplink1</v>
      </c>
      <c r="AT1456" s="20" t="str">
        <f aca="false">HYPERLINK("https://www.google.iq/maps/search/+36.79,42.8559/@36.79,42.8559,14z?hl=en","Maplink2")</f>
        <v>Maplink2</v>
      </c>
      <c r="AU1456" s="20" t="str">
        <f aca="false">HYPERLINK("http://www.bing.com/maps/?lvl=14&amp;sty=h&amp;cp=36.79~42.8559&amp;sp=point.36.79_42.8559","Maplink3")</f>
        <v>Maplink3</v>
      </c>
    </row>
    <row r="1457" customFormat="false" ht="15" hidden="false" customHeight="true" outlineLevel="0" collapsed="false">
      <c r="A1457" s="15" t="n">
        <v>24795</v>
      </c>
      <c r="B1457" s="16" t="s">
        <v>19</v>
      </c>
      <c r="C1457" s="16" t="s">
        <v>2851</v>
      </c>
      <c r="D1457" s="16" t="s">
        <v>2888</v>
      </c>
      <c r="E1457" s="17" t="s">
        <v>2889</v>
      </c>
      <c r="F1457" s="16" t="n">
        <v>36.78670779</v>
      </c>
      <c r="G1457" s="16" t="n">
        <v>42.8539361</v>
      </c>
      <c r="H1457" s="18" t="n">
        <v>2492</v>
      </c>
      <c r="I1457" s="18" t="n">
        <v>14952</v>
      </c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 t="n">
        <v>2492</v>
      </c>
      <c r="W1457" s="19"/>
      <c r="X1457" s="19"/>
      <c r="Y1457" s="19"/>
      <c r="Z1457" s="19"/>
      <c r="AA1457" s="19"/>
      <c r="AB1457" s="19" t="n">
        <v>2492</v>
      </c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 t="n">
        <v>2492</v>
      </c>
      <c r="AO1457" s="19"/>
      <c r="AP1457" s="19"/>
      <c r="AQ1457" s="19"/>
      <c r="AR1457" s="19"/>
      <c r="AS1457" s="20" t="str">
        <f aca="false">HYPERLINK("http://www.openstreetmap.org/?mlat=36.7867&amp;mlon=42.8539&amp;zoom=12#map=12/36.7867/42.8539","Maplink1")</f>
        <v>Maplink1</v>
      </c>
      <c r="AT1457" s="20" t="str">
        <f aca="false">HYPERLINK("https://www.google.iq/maps/search/+36.7867,42.8539/@36.7867,42.8539,14z?hl=en","Maplink2")</f>
        <v>Maplink2</v>
      </c>
      <c r="AU1457" s="20" t="str">
        <f aca="false">HYPERLINK("http://www.bing.com/maps/?lvl=14&amp;sty=h&amp;cp=36.7867~42.8539&amp;sp=point.36.7867_42.8539","Maplink3")</f>
        <v>Maplink3</v>
      </c>
    </row>
    <row r="1458" customFormat="false" ht="15" hidden="false" customHeight="true" outlineLevel="0" collapsed="false">
      <c r="A1458" s="15" t="n">
        <v>27128</v>
      </c>
      <c r="B1458" s="16" t="s">
        <v>19</v>
      </c>
      <c r="C1458" s="16" t="s">
        <v>2851</v>
      </c>
      <c r="D1458" s="16" t="s">
        <v>2890</v>
      </c>
      <c r="E1458" s="17" t="s">
        <v>2891</v>
      </c>
      <c r="F1458" s="16" t="n">
        <v>36.76662285</v>
      </c>
      <c r="G1458" s="16" t="n">
        <v>42.76499226</v>
      </c>
      <c r="H1458" s="18" t="n">
        <v>35</v>
      </c>
      <c r="I1458" s="18" t="n">
        <v>210</v>
      </c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 t="n">
        <v>35</v>
      </c>
      <c r="W1458" s="19"/>
      <c r="X1458" s="19"/>
      <c r="Y1458" s="19"/>
      <c r="Z1458" s="19"/>
      <c r="AA1458" s="19"/>
      <c r="AB1458" s="19"/>
      <c r="AC1458" s="19" t="n">
        <v>10</v>
      </c>
      <c r="AD1458" s="19"/>
      <c r="AE1458" s="19"/>
      <c r="AF1458" s="19"/>
      <c r="AG1458" s="19"/>
      <c r="AH1458" s="19" t="n">
        <v>11</v>
      </c>
      <c r="AI1458" s="19"/>
      <c r="AJ1458" s="19" t="n">
        <v>14</v>
      </c>
      <c r="AK1458" s="19"/>
      <c r="AL1458" s="19"/>
      <c r="AM1458" s="19"/>
      <c r="AN1458" s="19" t="n">
        <v>35</v>
      </c>
      <c r="AO1458" s="19"/>
      <c r="AP1458" s="19"/>
      <c r="AQ1458" s="19"/>
      <c r="AR1458" s="19"/>
      <c r="AS1458" s="20" t="str">
        <f aca="false">HYPERLINK("http://www.openstreetmap.org/?mlat=36.7666&amp;mlon=42.765&amp;zoom=12#map=12/36.7666/42.765","Maplink1")</f>
        <v>Maplink1</v>
      </c>
      <c r="AT1458" s="20" t="str">
        <f aca="false">HYPERLINK("https://www.google.iq/maps/search/+36.7666,42.765/@36.7666,42.765,14z?hl=en","Maplink2")</f>
        <v>Maplink2</v>
      </c>
      <c r="AU1458" s="20" t="str">
        <f aca="false">HYPERLINK("http://www.bing.com/maps/?lvl=14&amp;sty=h&amp;cp=36.7666~42.765&amp;sp=point.36.7666_42.765","Maplink3")</f>
        <v>Maplink3</v>
      </c>
    </row>
    <row r="1459" customFormat="false" ht="15" hidden="false" customHeight="true" outlineLevel="0" collapsed="false">
      <c r="A1459" s="15" t="n">
        <v>29614</v>
      </c>
      <c r="B1459" s="16" t="s">
        <v>19</v>
      </c>
      <c r="C1459" s="16" t="s">
        <v>2851</v>
      </c>
      <c r="D1459" s="16" t="s">
        <v>2892</v>
      </c>
      <c r="E1459" s="17" t="s">
        <v>2893</v>
      </c>
      <c r="F1459" s="16" t="n">
        <v>36.891506</v>
      </c>
      <c r="G1459" s="16" t="n">
        <v>42.799026</v>
      </c>
      <c r="H1459" s="18" t="n">
        <v>78</v>
      </c>
      <c r="I1459" s="18" t="n">
        <v>468</v>
      </c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 t="n">
        <v>78</v>
      </c>
      <c r="W1459" s="19"/>
      <c r="X1459" s="19"/>
      <c r="Y1459" s="19"/>
      <c r="Z1459" s="19"/>
      <c r="AA1459" s="19"/>
      <c r="AB1459" s="19"/>
      <c r="AC1459" s="19" t="n">
        <v>5</v>
      </c>
      <c r="AD1459" s="19"/>
      <c r="AE1459" s="19"/>
      <c r="AF1459" s="19"/>
      <c r="AG1459" s="19"/>
      <c r="AH1459" s="19" t="n">
        <v>73</v>
      </c>
      <c r="AI1459" s="19"/>
      <c r="AJ1459" s="19"/>
      <c r="AK1459" s="19"/>
      <c r="AL1459" s="19"/>
      <c r="AM1459" s="19" t="n">
        <v>36</v>
      </c>
      <c r="AN1459" s="19" t="n">
        <v>41</v>
      </c>
      <c r="AO1459" s="19"/>
      <c r="AP1459" s="19" t="n">
        <v>1</v>
      </c>
      <c r="AQ1459" s="19"/>
      <c r="AR1459" s="19"/>
      <c r="AS1459" s="20" t="str">
        <f aca="false">HYPERLINK("http://www.openstreetmap.org/?mlat=36.8915&amp;mlon=42.799&amp;zoom=12#map=12/36.8915/42.799","Maplink1")</f>
        <v>Maplink1</v>
      </c>
      <c r="AT1459" s="20" t="str">
        <f aca="false">HYPERLINK("https://www.google.iq/maps/search/+36.8915,42.799/@36.8915,42.799,14z?hl=en","Maplink2")</f>
        <v>Maplink2</v>
      </c>
      <c r="AU1459" s="20" t="str">
        <f aca="false">HYPERLINK("http://www.bing.com/maps/?lvl=14&amp;sty=h&amp;cp=36.8915~42.799&amp;sp=point.36.8915_42.799","Maplink3")</f>
        <v>Maplink3</v>
      </c>
    </row>
    <row r="1460" customFormat="false" ht="15" hidden="false" customHeight="true" outlineLevel="0" collapsed="false">
      <c r="A1460" s="15" t="n">
        <v>8656</v>
      </c>
      <c r="B1460" s="16" t="s">
        <v>19</v>
      </c>
      <c r="C1460" s="16" t="s">
        <v>2851</v>
      </c>
      <c r="D1460" s="16" t="s">
        <v>2894</v>
      </c>
      <c r="E1460" s="17" t="s">
        <v>2895</v>
      </c>
      <c r="F1460" s="16" t="n">
        <v>36.77911419</v>
      </c>
      <c r="G1460" s="16" t="n">
        <v>42.77634144</v>
      </c>
      <c r="H1460" s="18" t="n">
        <v>2870</v>
      </c>
      <c r="I1460" s="18" t="n">
        <v>17220</v>
      </c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 t="n">
        <v>2870</v>
      </c>
      <c r="W1460" s="19"/>
      <c r="X1460" s="19"/>
      <c r="Y1460" s="19"/>
      <c r="Z1460" s="19"/>
      <c r="AA1460" s="19"/>
      <c r="AB1460" s="19" t="n">
        <v>2870</v>
      </c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 t="n">
        <v>2870</v>
      </c>
      <c r="AO1460" s="19"/>
      <c r="AP1460" s="19"/>
      <c r="AQ1460" s="19"/>
      <c r="AR1460" s="19"/>
      <c r="AS1460" s="20" t="str">
        <f aca="false">HYPERLINK("http://www.openstreetmap.org/?mlat=36.7791&amp;mlon=42.7763&amp;zoom=12#map=12/36.7791/42.7763","Maplink1")</f>
        <v>Maplink1</v>
      </c>
      <c r="AT1460" s="20" t="str">
        <f aca="false">HYPERLINK("https://www.google.iq/maps/search/+36.7791,42.7763/@36.7791,42.7763,14z?hl=en","Maplink2")</f>
        <v>Maplink2</v>
      </c>
      <c r="AU1460" s="20" t="str">
        <f aca="false">HYPERLINK("http://www.bing.com/maps/?lvl=14&amp;sty=h&amp;cp=36.7791~42.7763&amp;sp=point.36.7791_42.7763","Maplink3")</f>
        <v>Maplink3</v>
      </c>
    </row>
    <row r="1461" customFormat="false" ht="15" hidden="false" customHeight="true" outlineLevel="0" collapsed="false">
      <c r="A1461" s="15" t="n">
        <v>27121</v>
      </c>
      <c r="B1461" s="16" t="s">
        <v>19</v>
      </c>
      <c r="C1461" s="16" t="s">
        <v>2851</v>
      </c>
      <c r="D1461" s="16" t="s">
        <v>2896</v>
      </c>
      <c r="E1461" s="17" t="s">
        <v>2897</v>
      </c>
      <c r="F1461" s="16" t="n">
        <v>36.76912137</v>
      </c>
      <c r="G1461" s="16" t="n">
        <v>42.77450295</v>
      </c>
      <c r="H1461" s="18" t="n">
        <v>410</v>
      </c>
      <c r="I1461" s="18" t="n">
        <v>2460</v>
      </c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 t="n">
        <v>410</v>
      </c>
      <c r="W1461" s="19"/>
      <c r="X1461" s="19"/>
      <c r="Y1461" s="19"/>
      <c r="Z1461" s="19"/>
      <c r="AA1461" s="19"/>
      <c r="AB1461" s="19"/>
      <c r="AC1461" s="19" t="n">
        <v>70</v>
      </c>
      <c r="AD1461" s="19"/>
      <c r="AE1461" s="19" t="n">
        <v>72</v>
      </c>
      <c r="AF1461" s="19"/>
      <c r="AG1461" s="19"/>
      <c r="AH1461" s="19" t="n">
        <v>23</v>
      </c>
      <c r="AI1461" s="19"/>
      <c r="AJ1461" s="19" t="n">
        <v>245</v>
      </c>
      <c r="AK1461" s="19"/>
      <c r="AL1461" s="19"/>
      <c r="AM1461" s="19"/>
      <c r="AN1461" s="19" t="n">
        <v>410</v>
      </c>
      <c r="AO1461" s="19"/>
      <c r="AP1461" s="19"/>
      <c r="AQ1461" s="19"/>
      <c r="AR1461" s="19"/>
      <c r="AS1461" s="20" t="str">
        <f aca="false">HYPERLINK("http://www.openstreetmap.org/?mlat=36.7691&amp;mlon=42.7745&amp;zoom=12#map=12/36.7691/42.7745","Maplink1")</f>
        <v>Maplink1</v>
      </c>
      <c r="AT1461" s="20" t="str">
        <f aca="false">HYPERLINK("https://www.google.iq/maps/search/+36.7691,42.7745/@36.7691,42.7745,14z?hl=en","Maplink2")</f>
        <v>Maplink2</v>
      </c>
      <c r="AU1461" s="20" t="str">
        <f aca="false">HYPERLINK("http://www.bing.com/maps/?lvl=14&amp;sty=h&amp;cp=36.7691~42.7745&amp;sp=point.36.7691_42.7745","Maplink3")</f>
        <v>Maplink3</v>
      </c>
    </row>
    <row r="1462" customFormat="false" ht="15" hidden="false" customHeight="true" outlineLevel="0" collapsed="false">
      <c r="A1462" s="15" t="n">
        <v>8800</v>
      </c>
      <c r="B1462" s="16" t="s">
        <v>19</v>
      </c>
      <c r="C1462" s="16" t="s">
        <v>2851</v>
      </c>
      <c r="D1462" s="16" t="s">
        <v>2898</v>
      </c>
      <c r="E1462" s="17" t="s">
        <v>2899</v>
      </c>
      <c r="F1462" s="16" t="n">
        <v>36.77583448</v>
      </c>
      <c r="G1462" s="16" t="n">
        <v>42.78444909</v>
      </c>
      <c r="H1462" s="18" t="n">
        <v>322</v>
      </c>
      <c r="I1462" s="18" t="n">
        <v>1932</v>
      </c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 t="n">
        <v>322</v>
      </c>
      <c r="W1462" s="19"/>
      <c r="X1462" s="19"/>
      <c r="Y1462" s="19"/>
      <c r="Z1462" s="19"/>
      <c r="AA1462" s="19"/>
      <c r="AB1462" s="19"/>
      <c r="AC1462" s="19" t="n">
        <v>48</v>
      </c>
      <c r="AD1462" s="19"/>
      <c r="AE1462" s="19" t="n">
        <v>8</v>
      </c>
      <c r="AF1462" s="19"/>
      <c r="AG1462" s="19"/>
      <c r="AH1462" s="19" t="n">
        <v>18</v>
      </c>
      <c r="AI1462" s="19"/>
      <c r="AJ1462" s="19" t="n">
        <v>248</v>
      </c>
      <c r="AK1462" s="19"/>
      <c r="AL1462" s="19"/>
      <c r="AM1462" s="19"/>
      <c r="AN1462" s="19" t="n">
        <v>322</v>
      </c>
      <c r="AO1462" s="19"/>
      <c r="AP1462" s="19"/>
      <c r="AQ1462" s="19"/>
      <c r="AR1462" s="19"/>
      <c r="AS1462" s="20" t="str">
        <f aca="false">HYPERLINK("http://www.openstreetmap.org/?mlat=36.7758&amp;mlon=42.7844&amp;zoom=12#map=12/36.7758/42.7844","Maplink1")</f>
        <v>Maplink1</v>
      </c>
      <c r="AT1462" s="20" t="str">
        <f aca="false">HYPERLINK("https://www.google.iq/maps/search/+36.7758,42.7844/@36.7758,42.7844,14z?hl=en","Maplink2")</f>
        <v>Maplink2</v>
      </c>
      <c r="AU1462" s="20" t="str">
        <f aca="false">HYPERLINK("http://www.bing.com/maps/?lvl=14&amp;sty=h&amp;cp=36.7758~42.7844&amp;sp=point.36.7758_42.7844","Maplink3")</f>
        <v>Maplink3</v>
      </c>
    </row>
    <row r="1463" customFormat="false" ht="15" hidden="false" customHeight="true" outlineLevel="0" collapsed="false">
      <c r="A1463" s="15" t="n">
        <v>8013</v>
      </c>
      <c r="B1463" s="16" t="s">
        <v>19</v>
      </c>
      <c r="C1463" s="16" t="s">
        <v>2851</v>
      </c>
      <c r="D1463" s="16" t="s">
        <v>2900</v>
      </c>
      <c r="E1463" s="17" t="s">
        <v>2901</v>
      </c>
      <c r="F1463" s="16" t="n">
        <v>36.910197</v>
      </c>
      <c r="G1463" s="16" t="n">
        <v>42.793645</v>
      </c>
      <c r="H1463" s="18" t="n">
        <v>84</v>
      </c>
      <c r="I1463" s="18" t="n">
        <v>504</v>
      </c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 t="n">
        <v>84</v>
      </c>
      <c r="W1463" s="19"/>
      <c r="X1463" s="19"/>
      <c r="Y1463" s="19"/>
      <c r="Z1463" s="19"/>
      <c r="AA1463" s="19"/>
      <c r="AB1463" s="19"/>
      <c r="AC1463" s="19" t="n">
        <v>13</v>
      </c>
      <c r="AD1463" s="19"/>
      <c r="AE1463" s="19"/>
      <c r="AF1463" s="19"/>
      <c r="AG1463" s="19"/>
      <c r="AH1463" s="19" t="n">
        <v>59</v>
      </c>
      <c r="AI1463" s="19"/>
      <c r="AJ1463" s="19" t="n">
        <v>12</v>
      </c>
      <c r="AK1463" s="19"/>
      <c r="AL1463" s="19"/>
      <c r="AM1463" s="19" t="n">
        <v>10</v>
      </c>
      <c r="AN1463" s="19" t="n">
        <v>74</v>
      </c>
      <c r="AO1463" s="19"/>
      <c r="AP1463" s="19"/>
      <c r="AQ1463" s="19"/>
      <c r="AR1463" s="19"/>
      <c r="AS1463" s="20" t="str">
        <f aca="false">HYPERLINK("http://www.openstreetmap.org/?mlat=36.9102&amp;mlon=42.7936&amp;zoom=12#map=12/36.9102/42.7936","Maplink1")</f>
        <v>Maplink1</v>
      </c>
      <c r="AT1463" s="20" t="str">
        <f aca="false">HYPERLINK("https://www.google.iq/maps/search/+36.9102,42.7936/@36.9102,42.7936,14z?hl=en","Maplink2")</f>
        <v>Maplink2</v>
      </c>
      <c r="AU1463" s="20" t="str">
        <f aca="false">HYPERLINK("http://www.bing.com/maps/?lvl=14&amp;sty=h&amp;cp=36.9102~42.7936&amp;sp=point.36.9102_42.7936","Maplink3")</f>
        <v>Maplink3</v>
      </c>
    </row>
    <row r="1464" customFormat="false" ht="15" hidden="false" customHeight="true" outlineLevel="0" collapsed="false">
      <c r="A1464" s="15" t="n">
        <v>8873</v>
      </c>
      <c r="B1464" s="16" t="s">
        <v>19</v>
      </c>
      <c r="C1464" s="16" t="s">
        <v>2851</v>
      </c>
      <c r="D1464" s="16" t="s">
        <v>2902</v>
      </c>
      <c r="E1464" s="17" t="s">
        <v>2903</v>
      </c>
      <c r="F1464" s="16" t="n">
        <v>36.86254848</v>
      </c>
      <c r="G1464" s="16" t="n">
        <v>42.80562612</v>
      </c>
      <c r="H1464" s="18" t="n">
        <v>1451</v>
      </c>
      <c r="I1464" s="18" t="n">
        <v>8706</v>
      </c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 t="n">
        <v>1446</v>
      </c>
      <c r="W1464" s="19"/>
      <c r="X1464" s="19" t="n">
        <v>5</v>
      </c>
      <c r="Y1464" s="19"/>
      <c r="Z1464" s="19"/>
      <c r="AA1464" s="19"/>
      <c r="AB1464" s="19"/>
      <c r="AC1464" s="19" t="n">
        <v>167</v>
      </c>
      <c r="AD1464" s="19"/>
      <c r="AE1464" s="19"/>
      <c r="AF1464" s="19"/>
      <c r="AG1464" s="19"/>
      <c r="AH1464" s="19" t="n">
        <v>1087</v>
      </c>
      <c r="AI1464" s="19"/>
      <c r="AJ1464" s="19" t="n">
        <v>197</v>
      </c>
      <c r="AK1464" s="19"/>
      <c r="AL1464" s="19"/>
      <c r="AM1464" s="19" t="n">
        <v>762</v>
      </c>
      <c r="AN1464" s="19" t="n">
        <v>689</v>
      </c>
      <c r="AO1464" s="19"/>
      <c r="AP1464" s="19"/>
      <c r="AQ1464" s="19"/>
      <c r="AR1464" s="19"/>
      <c r="AS1464" s="20" t="str">
        <f aca="false">HYPERLINK("http://www.openstreetmap.org/?mlat=36.8625&amp;mlon=42.8056&amp;zoom=12#map=12/36.8625/42.8056","Maplink1")</f>
        <v>Maplink1</v>
      </c>
      <c r="AT1464" s="20" t="str">
        <f aca="false">HYPERLINK("https://www.google.iq/maps/search/+36.8625,42.8056/@36.8625,42.8056,14z?hl=en","Maplink2")</f>
        <v>Maplink2</v>
      </c>
      <c r="AU1464" s="20" t="str">
        <f aca="false">HYPERLINK("http://www.bing.com/maps/?lvl=14&amp;sty=h&amp;cp=36.8625~42.8056&amp;sp=point.36.8625_42.8056","Maplink3")</f>
        <v>Maplink3</v>
      </c>
    </row>
    <row r="1465" customFormat="false" ht="15" hidden="false" customHeight="true" outlineLevel="0" collapsed="false">
      <c r="A1465" s="15" t="n">
        <v>25622</v>
      </c>
      <c r="B1465" s="16" t="s">
        <v>19</v>
      </c>
      <c r="C1465" s="16" t="s">
        <v>2851</v>
      </c>
      <c r="D1465" s="16" t="s">
        <v>2904</v>
      </c>
      <c r="E1465" s="17" t="s">
        <v>2905</v>
      </c>
      <c r="F1465" s="16" t="n">
        <v>36.78576333</v>
      </c>
      <c r="G1465" s="16" t="n">
        <v>42.90589913</v>
      </c>
      <c r="H1465" s="18" t="n">
        <v>300</v>
      </c>
      <c r="I1465" s="18" t="n">
        <v>1800</v>
      </c>
      <c r="J1465" s="19" t="n">
        <v>10</v>
      </c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 t="n">
        <v>290</v>
      </c>
      <c r="W1465" s="19"/>
      <c r="X1465" s="19"/>
      <c r="Y1465" s="19"/>
      <c r="Z1465" s="19"/>
      <c r="AA1465" s="19"/>
      <c r="AB1465" s="19"/>
      <c r="AC1465" s="19" t="n">
        <v>25</v>
      </c>
      <c r="AD1465" s="19"/>
      <c r="AE1465" s="19"/>
      <c r="AF1465" s="19"/>
      <c r="AG1465" s="19"/>
      <c r="AH1465" s="19" t="n">
        <v>254</v>
      </c>
      <c r="AI1465" s="19"/>
      <c r="AJ1465" s="19" t="n">
        <v>21</v>
      </c>
      <c r="AK1465" s="19"/>
      <c r="AL1465" s="19" t="n">
        <v>10</v>
      </c>
      <c r="AM1465" s="19" t="n">
        <v>240</v>
      </c>
      <c r="AN1465" s="19" t="n">
        <v>50</v>
      </c>
      <c r="AO1465" s="19"/>
      <c r="AP1465" s="19"/>
      <c r="AQ1465" s="19"/>
      <c r="AR1465" s="19"/>
      <c r="AS1465" s="20" t="str">
        <f aca="false">HYPERLINK("http://www.openstreetmap.org/?mlat=36.7858&amp;mlon=42.9059&amp;zoom=12#map=12/36.7858/42.9059","Maplink1")</f>
        <v>Maplink1</v>
      </c>
      <c r="AT1465" s="20" t="str">
        <f aca="false">HYPERLINK("https://www.google.iq/maps/search/+36.7858,42.9059/@36.7858,42.9059,14z?hl=en","Maplink2")</f>
        <v>Maplink2</v>
      </c>
      <c r="AU1465" s="20" t="str">
        <f aca="false">HYPERLINK("http://www.bing.com/maps/?lvl=14&amp;sty=h&amp;cp=36.7858~42.9059&amp;sp=point.36.7858_42.9059","Maplink3")</f>
        <v>Maplink3</v>
      </c>
    </row>
    <row r="1466" customFormat="false" ht="15" hidden="false" customHeight="true" outlineLevel="0" collapsed="false">
      <c r="A1466" s="15" t="n">
        <v>7990</v>
      </c>
      <c r="B1466" s="16" t="s">
        <v>19</v>
      </c>
      <c r="C1466" s="16" t="s">
        <v>2851</v>
      </c>
      <c r="D1466" s="16" t="s">
        <v>2906</v>
      </c>
      <c r="E1466" s="17" t="s">
        <v>2907</v>
      </c>
      <c r="F1466" s="16" t="n">
        <v>36.7395332</v>
      </c>
      <c r="G1466" s="16" t="n">
        <v>42.88302888</v>
      </c>
      <c r="H1466" s="18" t="n">
        <v>18</v>
      </c>
      <c r="I1466" s="18" t="n">
        <v>108</v>
      </c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 t="n">
        <v>18</v>
      </c>
      <c r="W1466" s="19"/>
      <c r="X1466" s="19"/>
      <c r="Y1466" s="19"/>
      <c r="Z1466" s="19"/>
      <c r="AA1466" s="19"/>
      <c r="AB1466" s="19"/>
      <c r="AC1466" s="19" t="n">
        <v>5</v>
      </c>
      <c r="AD1466" s="19"/>
      <c r="AE1466" s="19"/>
      <c r="AF1466" s="19"/>
      <c r="AG1466" s="19"/>
      <c r="AH1466" s="19" t="n">
        <v>3</v>
      </c>
      <c r="AI1466" s="19"/>
      <c r="AJ1466" s="19" t="n">
        <v>10</v>
      </c>
      <c r="AK1466" s="19"/>
      <c r="AL1466" s="19"/>
      <c r="AM1466" s="19" t="n">
        <v>16</v>
      </c>
      <c r="AN1466" s="19" t="n">
        <v>1</v>
      </c>
      <c r="AO1466" s="19"/>
      <c r="AP1466" s="19" t="n">
        <v>1</v>
      </c>
      <c r="AQ1466" s="19"/>
      <c r="AR1466" s="19"/>
      <c r="AS1466" s="20" t="str">
        <f aca="false">HYPERLINK("http://www.openstreetmap.org/?mlat=36.7395&amp;mlon=42.883&amp;zoom=12#map=12/36.7395/42.883","Maplink1")</f>
        <v>Maplink1</v>
      </c>
      <c r="AT1466" s="20" t="str">
        <f aca="false">HYPERLINK("https://www.google.iq/maps/search/+36.7395,42.883/@36.7395,42.883,14z?hl=en","Maplink2")</f>
        <v>Maplink2</v>
      </c>
      <c r="AU1466" s="20" t="str">
        <f aca="false">HYPERLINK("http://www.bing.com/maps/?lvl=14&amp;sty=h&amp;cp=36.7395~42.883&amp;sp=point.36.7395_42.883","Maplink3")</f>
        <v>Maplink3</v>
      </c>
    </row>
    <row r="1467" customFormat="false" ht="15" hidden="false" customHeight="true" outlineLevel="0" collapsed="false">
      <c r="A1467" s="15" t="n">
        <v>29597</v>
      </c>
      <c r="B1467" s="16" t="s">
        <v>19</v>
      </c>
      <c r="C1467" s="16" t="s">
        <v>2851</v>
      </c>
      <c r="D1467" s="16" t="s">
        <v>2908</v>
      </c>
      <c r="E1467" s="17" t="s">
        <v>2909</v>
      </c>
      <c r="F1467" s="16" t="n">
        <v>36.870388</v>
      </c>
      <c r="G1467" s="16" t="n">
        <v>42.892062</v>
      </c>
      <c r="H1467" s="18" t="n">
        <v>82</v>
      </c>
      <c r="I1467" s="18" t="n">
        <v>492</v>
      </c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 t="n">
        <v>82</v>
      </c>
      <c r="W1467" s="19"/>
      <c r="X1467" s="19"/>
      <c r="Y1467" s="19"/>
      <c r="Z1467" s="19"/>
      <c r="AA1467" s="19"/>
      <c r="AB1467" s="19"/>
      <c r="AC1467" s="19" t="n">
        <v>5</v>
      </c>
      <c r="AD1467" s="19"/>
      <c r="AE1467" s="19"/>
      <c r="AF1467" s="19"/>
      <c r="AG1467" s="19"/>
      <c r="AH1467" s="19" t="n">
        <v>77</v>
      </c>
      <c r="AI1467" s="19"/>
      <c r="AJ1467" s="19"/>
      <c r="AK1467" s="19"/>
      <c r="AL1467" s="19"/>
      <c r="AM1467" s="19" t="n">
        <v>43</v>
      </c>
      <c r="AN1467" s="19" t="n">
        <v>39</v>
      </c>
      <c r="AO1467" s="19"/>
      <c r="AP1467" s="19"/>
      <c r="AQ1467" s="19"/>
      <c r="AR1467" s="19"/>
      <c r="AS1467" s="20" t="str">
        <f aca="false">HYPERLINK("http://www.openstreetmap.org/?mlat=36.8704&amp;mlon=42.8921&amp;zoom=12#map=12/36.8704/42.8921","Maplink1")</f>
        <v>Maplink1</v>
      </c>
      <c r="AT1467" s="20" t="str">
        <f aca="false">HYPERLINK("https://www.google.iq/maps/search/+36.8704,42.8921/@36.8704,42.8921,14z?hl=en","Maplink2")</f>
        <v>Maplink2</v>
      </c>
      <c r="AU1467" s="20" t="str">
        <f aca="false">HYPERLINK("http://www.bing.com/maps/?lvl=14&amp;sty=h&amp;cp=36.8704~42.8921&amp;sp=point.36.8704_42.8921","Maplink3")</f>
        <v>Maplink3</v>
      </c>
    </row>
    <row r="1468" customFormat="false" ht="15" hidden="false" customHeight="true" outlineLevel="0" collapsed="false">
      <c r="A1468" s="15" t="n">
        <v>27124</v>
      </c>
      <c r="B1468" s="16" t="s">
        <v>19</v>
      </c>
      <c r="C1468" s="16" t="s">
        <v>2851</v>
      </c>
      <c r="D1468" s="16" t="s">
        <v>2910</v>
      </c>
      <c r="E1468" s="17" t="s">
        <v>2911</v>
      </c>
      <c r="F1468" s="16" t="n">
        <v>36.78256532</v>
      </c>
      <c r="G1468" s="16" t="n">
        <v>42.78337092</v>
      </c>
      <c r="H1468" s="18" t="n">
        <v>573</v>
      </c>
      <c r="I1468" s="18" t="n">
        <v>3438</v>
      </c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 t="n">
        <v>573</v>
      </c>
      <c r="W1468" s="19"/>
      <c r="X1468" s="19"/>
      <c r="Y1468" s="19"/>
      <c r="Z1468" s="19"/>
      <c r="AA1468" s="19"/>
      <c r="AB1468" s="19"/>
      <c r="AC1468" s="19" t="n">
        <v>64</v>
      </c>
      <c r="AD1468" s="19"/>
      <c r="AE1468" s="19" t="n">
        <v>181</v>
      </c>
      <c r="AF1468" s="19"/>
      <c r="AG1468" s="19"/>
      <c r="AH1468" s="19" t="n">
        <v>21</v>
      </c>
      <c r="AI1468" s="19"/>
      <c r="AJ1468" s="19" t="n">
        <v>307</v>
      </c>
      <c r="AK1468" s="19"/>
      <c r="AL1468" s="19"/>
      <c r="AM1468" s="19"/>
      <c r="AN1468" s="19" t="n">
        <v>573</v>
      </c>
      <c r="AO1468" s="19"/>
      <c r="AP1468" s="19"/>
      <c r="AQ1468" s="19"/>
      <c r="AR1468" s="19"/>
      <c r="AS1468" s="20" t="str">
        <f aca="false">HYPERLINK("http://www.openstreetmap.org/?mlat=36.7826&amp;mlon=42.7834&amp;zoom=12#map=12/36.7826/42.7834","Maplink1")</f>
        <v>Maplink1</v>
      </c>
      <c r="AT1468" s="20" t="str">
        <f aca="false">HYPERLINK("https://www.google.iq/maps/search/+36.7826,42.7834/@36.7826,42.7834,14z?hl=en","Maplink2")</f>
        <v>Maplink2</v>
      </c>
      <c r="AU1468" s="20" t="str">
        <f aca="false">HYPERLINK("http://www.bing.com/maps/?lvl=14&amp;sty=h&amp;cp=36.7826~42.7834&amp;sp=point.36.7826_42.7834","Maplink3")</f>
        <v>Maplink3</v>
      </c>
    </row>
    <row r="1469" customFormat="false" ht="15" hidden="false" customHeight="true" outlineLevel="0" collapsed="false">
      <c r="A1469" s="15" t="n">
        <v>27127</v>
      </c>
      <c r="B1469" s="16" t="s">
        <v>19</v>
      </c>
      <c r="C1469" s="16" t="s">
        <v>2851</v>
      </c>
      <c r="D1469" s="16" t="s">
        <v>2912</v>
      </c>
      <c r="E1469" s="17" t="s">
        <v>2913</v>
      </c>
      <c r="F1469" s="16" t="n">
        <v>36.80306913</v>
      </c>
      <c r="G1469" s="16" t="n">
        <v>42.77461611</v>
      </c>
      <c r="H1469" s="18" t="n">
        <v>149</v>
      </c>
      <c r="I1469" s="18" t="n">
        <v>894</v>
      </c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 t="n">
        <v>149</v>
      </c>
      <c r="W1469" s="19"/>
      <c r="X1469" s="19"/>
      <c r="Y1469" s="19"/>
      <c r="Z1469" s="19"/>
      <c r="AA1469" s="19"/>
      <c r="AB1469" s="19"/>
      <c r="AC1469" s="19" t="n">
        <v>15</v>
      </c>
      <c r="AD1469" s="19"/>
      <c r="AE1469" s="19" t="n">
        <v>39</v>
      </c>
      <c r="AF1469" s="19"/>
      <c r="AG1469" s="19"/>
      <c r="AH1469" s="19"/>
      <c r="AI1469" s="19"/>
      <c r="AJ1469" s="19" t="n">
        <v>95</v>
      </c>
      <c r="AK1469" s="19"/>
      <c r="AL1469" s="19"/>
      <c r="AM1469" s="19"/>
      <c r="AN1469" s="19" t="n">
        <v>149</v>
      </c>
      <c r="AO1469" s="19"/>
      <c r="AP1469" s="19"/>
      <c r="AQ1469" s="19"/>
      <c r="AR1469" s="19"/>
      <c r="AS1469" s="20" t="str">
        <f aca="false">HYPERLINK("http://www.openstreetmap.org/?mlat=36.8031&amp;mlon=42.7746&amp;zoom=12#map=12/36.8031/42.7746","Maplink1")</f>
        <v>Maplink1</v>
      </c>
      <c r="AT1469" s="20" t="str">
        <f aca="false">HYPERLINK("https://www.google.iq/maps/search/+36.8031,42.7746/@36.8031,42.7746,14z?hl=en","Maplink2")</f>
        <v>Maplink2</v>
      </c>
      <c r="AU1469" s="20" t="str">
        <f aca="false">HYPERLINK("http://www.bing.com/maps/?lvl=14&amp;sty=h&amp;cp=36.8031~42.7746&amp;sp=point.36.8031_42.7746","Maplink3")</f>
        <v>Maplink3</v>
      </c>
    </row>
    <row r="1470" customFormat="false" ht="15" hidden="false" customHeight="true" outlineLevel="0" collapsed="false">
      <c r="A1470" s="15" t="n">
        <v>27125</v>
      </c>
      <c r="B1470" s="16" t="s">
        <v>19</v>
      </c>
      <c r="C1470" s="16" t="s">
        <v>2851</v>
      </c>
      <c r="D1470" s="16" t="s">
        <v>2914</v>
      </c>
      <c r="E1470" s="17" t="s">
        <v>2915</v>
      </c>
      <c r="F1470" s="16" t="n">
        <v>36.82011637</v>
      </c>
      <c r="G1470" s="16" t="n">
        <v>42.80787449</v>
      </c>
      <c r="H1470" s="18" t="n">
        <v>250</v>
      </c>
      <c r="I1470" s="18" t="n">
        <v>1500</v>
      </c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 t="n">
        <v>250</v>
      </c>
      <c r="W1470" s="19"/>
      <c r="X1470" s="19"/>
      <c r="Y1470" s="19"/>
      <c r="Z1470" s="19"/>
      <c r="AA1470" s="19"/>
      <c r="AB1470" s="19"/>
      <c r="AC1470" s="19" t="n">
        <v>12</v>
      </c>
      <c r="AD1470" s="19"/>
      <c r="AE1470" s="19" t="n">
        <v>29</v>
      </c>
      <c r="AF1470" s="19"/>
      <c r="AG1470" s="19"/>
      <c r="AH1470" s="19" t="n">
        <v>8</v>
      </c>
      <c r="AI1470" s="19"/>
      <c r="AJ1470" s="19" t="n">
        <v>201</v>
      </c>
      <c r="AK1470" s="19"/>
      <c r="AL1470" s="19"/>
      <c r="AM1470" s="19"/>
      <c r="AN1470" s="19" t="n">
        <v>250</v>
      </c>
      <c r="AO1470" s="19"/>
      <c r="AP1470" s="19"/>
      <c r="AQ1470" s="19"/>
      <c r="AR1470" s="19"/>
      <c r="AS1470" s="20" t="str">
        <f aca="false">HYPERLINK("http://www.openstreetmap.org/?mlat=36.8201&amp;mlon=42.8079&amp;zoom=12#map=12/36.8201/42.8079","Maplink1")</f>
        <v>Maplink1</v>
      </c>
      <c r="AT1470" s="20" t="str">
        <f aca="false">HYPERLINK("https://www.google.iq/maps/search/+36.8201,42.8079/@36.8201,42.8079,14z?hl=en","Maplink2")</f>
        <v>Maplink2</v>
      </c>
      <c r="AU1470" s="20" t="str">
        <f aca="false">HYPERLINK("http://www.bing.com/maps/?lvl=14&amp;sty=h&amp;cp=36.8201~42.8079&amp;sp=point.36.8201_42.8079","Maplink3")</f>
        <v>Maplink3</v>
      </c>
    </row>
    <row r="1471" customFormat="false" ht="15" hidden="false" customHeight="true" outlineLevel="0" collapsed="false">
      <c r="A1471" s="15" t="n">
        <v>27130</v>
      </c>
      <c r="B1471" s="16" t="s">
        <v>19</v>
      </c>
      <c r="C1471" s="16" t="s">
        <v>2851</v>
      </c>
      <c r="D1471" s="16" t="s">
        <v>2916</v>
      </c>
      <c r="E1471" s="17" t="s">
        <v>2917</v>
      </c>
      <c r="F1471" s="16" t="n">
        <v>36.80655248</v>
      </c>
      <c r="G1471" s="16" t="n">
        <v>42.82508464</v>
      </c>
      <c r="H1471" s="18" t="n">
        <v>121</v>
      </c>
      <c r="I1471" s="18" t="n">
        <v>726</v>
      </c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 t="n">
        <v>121</v>
      </c>
      <c r="W1471" s="19"/>
      <c r="X1471" s="19"/>
      <c r="Y1471" s="19"/>
      <c r="Z1471" s="19"/>
      <c r="AA1471" s="19"/>
      <c r="AB1471" s="19"/>
      <c r="AC1471" s="19" t="n">
        <v>11</v>
      </c>
      <c r="AD1471" s="19"/>
      <c r="AE1471" s="19" t="n">
        <v>9</v>
      </c>
      <c r="AF1471" s="19"/>
      <c r="AG1471" s="19"/>
      <c r="AH1471" s="19" t="n">
        <v>6</v>
      </c>
      <c r="AI1471" s="19"/>
      <c r="AJ1471" s="19" t="n">
        <v>95</v>
      </c>
      <c r="AK1471" s="19"/>
      <c r="AL1471" s="19"/>
      <c r="AM1471" s="19"/>
      <c r="AN1471" s="19" t="n">
        <v>121</v>
      </c>
      <c r="AO1471" s="19"/>
      <c r="AP1471" s="19"/>
      <c r="AQ1471" s="19"/>
      <c r="AR1471" s="19"/>
      <c r="AS1471" s="20" t="str">
        <f aca="false">HYPERLINK("http://www.openstreetmap.org/?mlat=36.8066&amp;mlon=42.8251&amp;zoom=12#map=12/36.8066/42.8251","Maplink1")</f>
        <v>Maplink1</v>
      </c>
      <c r="AT1471" s="20" t="str">
        <f aca="false">HYPERLINK("https://www.google.iq/maps/search/+36.8066,42.8251/@36.8066,42.8251,14z?hl=en","Maplink2")</f>
        <v>Maplink2</v>
      </c>
      <c r="AU1471" s="20" t="str">
        <f aca="false">HYPERLINK("http://www.bing.com/maps/?lvl=14&amp;sty=h&amp;cp=36.8066~42.8251&amp;sp=point.36.8066_42.8251","Maplink3")</f>
        <v>Maplink3</v>
      </c>
    </row>
    <row r="1472" customFormat="false" ht="15" hidden="false" customHeight="true" outlineLevel="0" collapsed="false">
      <c r="A1472" s="15" t="n">
        <v>27123</v>
      </c>
      <c r="B1472" s="16" t="s">
        <v>19</v>
      </c>
      <c r="C1472" s="16" t="s">
        <v>2851</v>
      </c>
      <c r="D1472" s="16" t="s">
        <v>2918</v>
      </c>
      <c r="E1472" s="17" t="s">
        <v>2919</v>
      </c>
      <c r="F1472" s="16" t="n">
        <v>36.77729515</v>
      </c>
      <c r="G1472" s="16" t="n">
        <v>42.79380539</v>
      </c>
      <c r="H1472" s="18" t="n">
        <v>241</v>
      </c>
      <c r="I1472" s="18" t="n">
        <v>1446</v>
      </c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 t="n">
        <v>241</v>
      </c>
      <c r="W1472" s="19"/>
      <c r="X1472" s="19"/>
      <c r="Y1472" s="19"/>
      <c r="Z1472" s="19"/>
      <c r="AA1472" s="19"/>
      <c r="AB1472" s="19"/>
      <c r="AC1472" s="19" t="n">
        <v>49</v>
      </c>
      <c r="AD1472" s="19"/>
      <c r="AE1472" s="19"/>
      <c r="AF1472" s="19"/>
      <c r="AG1472" s="19"/>
      <c r="AH1472" s="19" t="n">
        <v>13</v>
      </c>
      <c r="AI1472" s="19"/>
      <c r="AJ1472" s="19" t="n">
        <v>179</v>
      </c>
      <c r="AK1472" s="19"/>
      <c r="AL1472" s="19"/>
      <c r="AM1472" s="19"/>
      <c r="AN1472" s="19" t="n">
        <v>241</v>
      </c>
      <c r="AO1472" s="19"/>
      <c r="AP1472" s="19"/>
      <c r="AQ1472" s="19"/>
      <c r="AR1472" s="19"/>
      <c r="AS1472" s="20" t="str">
        <f aca="false">HYPERLINK("http://www.openstreetmap.org/?mlat=36.7773&amp;mlon=42.7938&amp;zoom=12#map=12/36.7773/42.7938","Maplink1")</f>
        <v>Maplink1</v>
      </c>
      <c r="AT1472" s="20" t="str">
        <f aca="false">HYPERLINK("https://www.google.iq/maps/search/+36.7773,42.7938/@36.7773,42.7938,14z?hl=en","Maplink2")</f>
        <v>Maplink2</v>
      </c>
      <c r="AU1472" s="20" t="str">
        <f aca="false">HYPERLINK("http://www.bing.com/maps/?lvl=14&amp;sty=h&amp;cp=36.7773~42.7938&amp;sp=point.36.7773_42.7938","Maplink3")</f>
        <v>Maplink3</v>
      </c>
    </row>
    <row r="1473" customFormat="false" ht="15" hidden="false" customHeight="true" outlineLevel="0" collapsed="false">
      <c r="A1473" s="15" t="n">
        <v>8582</v>
      </c>
      <c r="B1473" s="16" t="s">
        <v>19</v>
      </c>
      <c r="C1473" s="16" t="s">
        <v>2851</v>
      </c>
      <c r="D1473" s="16" t="s">
        <v>2920</v>
      </c>
      <c r="E1473" s="17" t="s">
        <v>2921</v>
      </c>
      <c r="F1473" s="16" t="n">
        <v>36.78795895</v>
      </c>
      <c r="G1473" s="16" t="n">
        <v>42.78828045</v>
      </c>
      <c r="H1473" s="18" t="n">
        <v>739</v>
      </c>
      <c r="I1473" s="18" t="n">
        <v>4434</v>
      </c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 t="n">
        <v>739</v>
      </c>
      <c r="W1473" s="19"/>
      <c r="X1473" s="19"/>
      <c r="Y1473" s="19"/>
      <c r="Z1473" s="19"/>
      <c r="AA1473" s="19"/>
      <c r="AB1473" s="19"/>
      <c r="AC1473" s="19" t="n">
        <v>48</v>
      </c>
      <c r="AD1473" s="19"/>
      <c r="AE1473" s="19" t="n">
        <v>396</v>
      </c>
      <c r="AF1473" s="19"/>
      <c r="AG1473" s="19"/>
      <c r="AH1473" s="19" t="n">
        <v>20</v>
      </c>
      <c r="AI1473" s="19"/>
      <c r="AJ1473" s="19" t="n">
        <v>275</v>
      </c>
      <c r="AK1473" s="19"/>
      <c r="AL1473" s="19"/>
      <c r="AM1473" s="19"/>
      <c r="AN1473" s="19" t="n">
        <v>739</v>
      </c>
      <c r="AO1473" s="19"/>
      <c r="AP1473" s="19"/>
      <c r="AQ1473" s="19"/>
      <c r="AR1473" s="19"/>
      <c r="AS1473" s="20" t="str">
        <f aca="false">HYPERLINK("http://www.openstreetmap.org/?mlat=36.788&amp;mlon=42.7883&amp;zoom=12#map=12/36.788/42.7883","Maplink1")</f>
        <v>Maplink1</v>
      </c>
      <c r="AT1473" s="20" t="str">
        <f aca="false">HYPERLINK("https://www.google.iq/maps/search/+36.788,42.7883/@36.788,42.7883,14z?hl=en","Maplink2")</f>
        <v>Maplink2</v>
      </c>
      <c r="AU1473" s="20" t="str">
        <f aca="false">HYPERLINK("http://www.bing.com/maps/?lvl=14&amp;sty=h&amp;cp=36.788~42.7883&amp;sp=point.36.788_42.7883","Maplink3")</f>
        <v>Maplink3</v>
      </c>
    </row>
    <row r="1474" customFormat="false" ht="15" hidden="false" customHeight="true" outlineLevel="0" collapsed="false">
      <c r="A1474" s="15" t="n">
        <v>25776</v>
      </c>
      <c r="B1474" s="16" t="s">
        <v>19</v>
      </c>
      <c r="C1474" s="16" t="s">
        <v>2851</v>
      </c>
      <c r="D1474" s="16" t="s">
        <v>2922</v>
      </c>
      <c r="E1474" s="17" t="s">
        <v>2923</v>
      </c>
      <c r="F1474" s="16" t="n">
        <v>36.862483</v>
      </c>
      <c r="G1474" s="16" t="n">
        <v>42.898433</v>
      </c>
      <c r="H1474" s="18" t="n">
        <v>204</v>
      </c>
      <c r="I1474" s="18" t="n">
        <v>1224</v>
      </c>
      <c r="J1474" s="19" t="n">
        <v>1</v>
      </c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 t="n">
        <v>202</v>
      </c>
      <c r="W1474" s="19"/>
      <c r="X1474" s="19" t="n">
        <v>1</v>
      </c>
      <c r="Y1474" s="19"/>
      <c r="Z1474" s="19"/>
      <c r="AA1474" s="19"/>
      <c r="AB1474" s="19"/>
      <c r="AC1474" s="19" t="n">
        <v>8</v>
      </c>
      <c r="AD1474" s="19"/>
      <c r="AE1474" s="19"/>
      <c r="AF1474" s="19"/>
      <c r="AG1474" s="19"/>
      <c r="AH1474" s="19" t="n">
        <v>196</v>
      </c>
      <c r="AI1474" s="19"/>
      <c r="AJ1474" s="19"/>
      <c r="AK1474" s="19"/>
      <c r="AL1474" s="19" t="n">
        <v>1</v>
      </c>
      <c r="AM1474" s="19" t="n">
        <v>75</v>
      </c>
      <c r="AN1474" s="19" t="n">
        <v>128</v>
      </c>
      <c r="AO1474" s="19"/>
      <c r="AP1474" s="19"/>
      <c r="AQ1474" s="19"/>
      <c r="AR1474" s="19"/>
      <c r="AS1474" s="20" t="str">
        <f aca="false">HYPERLINK("http://www.openstreetmap.org/?mlat=36.8625&amp;mlon=42.8984&amp;zoom=12#map=12/36.8625/42.8984","Maplink1")</f>
        <v>Maplink1</v>
      </c>
      <c r="AT1474" s="20" t="str">
        <f aca="false">HYPERLINK("https://www.google.iq/maps/search/+36.8625,42.8984/@36.8625,42.8984,14z?hl=en","Maplink2")</f>
        <v>Maplink2</v>
      </c>
      <c r="AU1474" s="20" t="str">
        <f aca="false">HYPERLINK("http://www.bing.com/maps/?lvl=14&amp;sty=h&amp;cp=36.8625~42.8984&amp;sp=point.36.8625_42.8984","Maplink3")</f>
        <v>Maplink3</v>
      </c>
    </row>
    <row r="1475" customFormat="false" ht="15" hidden="false" customHeight="true" outlineLevel="0" collapsed="false">
      <c r="A1475" s="15" t="n">
        <v>8366</v>
      </c>
      <c r="B1475" s="16" t="s">
        <v>19</v>
      </c>
      <c r="C1475" s="16" t="s">
        <v>2851</v>
      </c>
      <c r="D1475" s="16" t="s">
        <v>2924</v>
      </c>
      <c r="E1475" s="17" t="s">
        <v>2925</v>
      </c>
      <c r="F1475" s="16" t="n">
        <v>36.78301752</v>
      </c>
      <c r="G1475" s="16" t="n">
        <v>42.78648094</v>
      </c>
      <c r="H1475" s="18" t="n">
        <v>341</v>
      </c>
      <c r="I1475" s="18" t="n">
        <v>2046</v>
      </c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 t="n">
        <v>341</v>
      </c>
      <c r="W1475" s="19"/>
      <c r="X1475" s="19"/>
      <c r="Y1475" s="19"/>
      <c r="Z1475" s="19"/>
      <c r="AA1475" s="19"/>
      <c r="AB1475" s="19"/>
      <c r="AC1475" s="19" t="n">
        <v>38</v>
      </c>
      <c r="AD1475" s="19"/>
      <c r="AE1475" s="19"/>
      <c r="AF1475" s="19"/>
      <c r="AG1475" s="19"/>
      <c r="AH1475" s="19" t="n">
        <v>14</v>
      </c>
      <c r="AI1475" s="19"/>
      <c r="AJ1475" s="19" t="n">
        <v>289</v>
      </c>
      <c r="AK1475" s="19"/>
      <c r="AL1475" s="19"/>
      <c r="AM1475" s="19"/>
      <c r="AN1475" s="19" t="n">
        <v>341</v>
      </c>
      <c r="AO1475" s="19"/>
      <c r="AP1475" s="19"/>
      <c r="AQ1475" s="19"/>
      <c r="AR1475" s="19"/>
      <c r="AS1475" s="20" t="str">
        <f aca="false">HYPERLINK("http://www.openstreetmap.org/?mlat=36.783&amp;mlon=42.7865&amp;zoom=12#map=12/36.783/42.7865","Maplink1")</f>
        <v>Maplink1</v>
      </c>
      <c r="AT1475" s="20" t="str">
        <f aca="false">HYPERLINK("https://www.google.iq/maps/search/+36.783,42.7865/@36.783,42.7865,14z?hl=en","Maplink2")</f>
        <v>Maplink2</v>
      </c>
      <c r="AU1475" s="20" t="str">
        <f aca="false">HYPERLINK("http://www.bing.com/maps/?lvl=14&amp;sty=h&amp;cp=36.783~42.7865&amp;sp=point.36.783_42.7865","Maplink3")</f>
        <v>Maplink3</v>
      </c>
    </row>
    <row r="1476" customFormat="false" ht="15" hidden="false" customHeight="true" outlineLevel="0" collapsed="false">
      <c r="A1476" s="15" t="n">
        <v>24791</v>
      </c>
      <c r="B1476" s="16" t="s">
        <v>19</v>
      </c>
      <c r="C1476" s="16" t="s">
        <v>2851</v>
      </c>
      <c r="D1476" s="16" t="s">
        <v>2926</v>
      </c>
      <c r="E1476" s="17" t="s">
        <v>2927</v>
      </c>
      <c r="F1476" s="16" t="n">
        <v>37.05618452</v>
      </c>
      <c r="G1476" s="16" t="n">
        <v>42.6170541</v>
      </c>
      <c r="H1476" s="18" t="n">
        <v>2720</v>
      </c>
      <c r="I1476" s="18" t="n">
        <v>16320</v>
      </c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 t="n">
        <v>2720</v>
      </c>
      <c r="W1476" s="19"/>
      <c r="X1476" s="19"/>
      <c r="Y1476" s="19"/>
      <c r="Z1476" s="19"/>
      <c r="AA1476" s="19"/>
      <c r="AB1476" s="19" t="n">
        <v>2720</v>
      </c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 t="n">
        <v>2720</v>
      </c>
      <c r="AO1476" s="19"/>
      <c r="AP1476" s="19"/>
      <c r="AQ1476" s="19"/>
      <c r="AR1476" s="19"/>
      <c r="AS1476" s="20" t="str">
        <f aca="false">HYPERLINK("http://www.openstreetmap.org/?mlat=37.0562&amp;mlon=42.6171&amp;zoom=12#map=12/37.0562/42.6171","Maplink1")</f>
        <v>Maplink1</v>
      </c>
      <c r="AT1476" s="20" t="str">
        <f aca="false">HYPERLINK("https://www.google.iq/maps/search/+37.0562,42.6171/@37.0562,42.6171,14z?hl=en","Maplink2")</f>
        <v>Maplink2</v>
      </c>
      <c r="AU1476" s="20" t="str">
        <f aca="false">HYPERLINK("http://www.bing.com/maps/?lvl=14&amp;sty=h&amp;cp=37.0562~42.6171&amp;sp=point.37.0562_42.6171","Maplink3")</f>
        <v>Maplink3</v>
      </c>
    </row>
    <row r="1477" customFormat="false" ht="15" hidden="false" customHeight="true" outlineLevel="0" collapsed="false">
      <c r="A1477" s="15" t="n">
        <v>7989</v>
      </c>
      <c r="B1477" s="16" t="s">
        <v>19</v>
      </c>
      <c r="C1477" s="16" t="s">
        <v>2851</v>
      </c>
      <c r="D1477" s="16" t="s">
        <v>2928</v>
      </c>
      <c r="E1477" s="17" t="s">
        <v>2929</v>
      </c>
      <c r="F1477" s="16" t="n">
        <v>36.91185438</v>
      </c>
      <c r="G1477" s="16" t="n">
        <v>42.88540684</v>
      </c>
      <c r="H1477" s="18" t="n">
        <v>1090</v>
      </c>
      <c r="I1477" s="18" t="n">
        <v>6540</v>
      </c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 t="n">
        <v>1090</v>
      </c>
      <c r="W1477" s="19"/>
      <c r="X1477" s="19"/>
      <c r="Y1477" s="19"/>
      <c r="Z1477" s="19"/>
      <c r="AA1477" s="19"/>
      <c r="AB1477" s="19"/>
      <c r="AC1477" s="19" t="n">
        <v>10</v>
      </c>
      <c r="AD1477" s="19"/>
      <c r="AE1477" s="19"/>
      <c r="AF1477" s="19"/>
      <c r="AG1477" s="19" t="n">
        <v>5</v>
      </c>
      <c r="AH1477" s="19" t="n">
        <v>198</v>
      </c>
      <c r="AI1477" s="19"/>
      <c r="AJ1477" s="19" t="n">
        <v>877</v>
      </c>
      <c r="AK1477" s="19"/>
      <c r="AL1477" s="19"/>
      <c r="AM1477" s="19" t="n">
        <v>55</v>
      </c>
      <c r="AN1477" s="19" t="n">
        <v>1035</v>
      </c>
      <c r="AO1477" s="19"/>
      <c r="AP1477" s="19"/>
      <c r="AQ1477" s="19"/>
      <c r="AR1477" s="19"/>
      <c r="AS1477" s="20" t="str">
        <f aca="false">HYPERLINK("http://www.openstreetmap.org/?mlat=36.9119&amp;mlon=42.8854&amp;zoom=12#map=12/36.9119/42.8854","Maplink1")</f>
        <v>Maplink1</v>
      </c>
      <c r="AT1477" s="20" t="str">
        <f aca="false">HYPERLINK("https://www.google.iq/maps/search/+36.9119,42.8854/@36.9119,42.8854,14z?hl=en","Maplink2")</f>
        <v>Maplink2</v>
      </c>
      <c r="AU1477" s="20" t="str">
        <f aca="false">HYPERLINK("http://www.bing.com/maps/?lvl=14&amp;sty=h&amp;cp=36.9119~42.8854&amp;sp=point.36.9119_42.8854","Maplink3")</f>
        <v>Maplink3</v>
      </c>
    </row>
    <row r="1478" customFormat="false" ht="15" hidden="false" customHeight="true" outlineLevel="0" collapsed="false">
      <c r="A1478" s="15" t="n">
        <v>8336</v>
      </c>
      <c r="B1478" s="16" t="s">
        <v>19</v>
      </c>
      <c r="C1478" s="16" t="s">
        <v>2851</v>
      </c>
      <c r="D1478" s="16" t="s">
        <v>2930</v>
      </c>
      <c r="E1478" s="17" t="s">
        <v>2931</v>
      </c>
      <c r="F1478" s="16" t="n">
        <v>36.8569647</v>
      </c>
      <c r="G1478" s="16" t="n">
        <v>42.85719734</v>
      </c>
      <c r="H1478" s="18" t="n">
        <v>1171</v>
      </c>
      <c r="I1478" s="18" t="n">
        <v>7026</v>
      </c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 t="n">
        <v>1171</v>
      </c>
      <c r="W1478" s="19"/>
      <c r="X1478" s="19"/>
      <c r="Y1478" s="19"/>
      <c r="Z1478" s="19"/>
      <c r="AA1478" s="19"/>
      <c r="AB1478" s="19"/>
      <c r="AC1478" s="19" t="n">
        <v>9</v>
      </c>
      <c r="AD1478" s="19"/>
      <c r="AE1478" s="19"/>
      <c r="AF1478" s="19"/>
      <c r="AG1478" s="19" t="n">
        <v>16</v>
      </c>
      <c r="AH1478" s="19" t="n">
        <v>1081</v>
      </c>
      <c r="AI1478" s="19"/>
      <c r="AJ1478" s="19" t="n">
        <v>65</v>
      </c>
      <c r="AK1478" s="19"/>
      <c r="AL1478" s="19"/>
      <c r="AM1478" s="19" t="n">
        <v>800</v>
      </c>
      <c r="AN1478" s="19" t="n">
        <v>371</v>
      </c>
      <c r="AO1478" s="19"/>
      <c r="AP1478" s="19"/>
      <c r="AQ1478" s="19"/>
      <c r="AR1478" s="19"/>
      <c r="AS1478" s="20" t="str">
        <f aca="false">HYPERLINK("http://www.openstreetmap.org/?mlat=36.857&amp;mlon=42.8572&amp;zoom=12#map=12/36.857/42.8572","Maplink1")</f>
        <v>Maplink1</v>
      </c>
      <c r="AT1478" s="20" t="str">
        <f aca="false">HYPERLINK("https://www.google.iq/maps/search/+36.857,42.8572/@36.857,42.8572,14z?hl=en","Maplink2")</f>
        <v>Maplink2</v>
      </c>
      <c r="AU1478" s="20" t="str">
        <f aca="false">HYPERLINK("http://www.bing.com/maps/?lvl=14&amp;sty=h&amp;cp=36.857~42.8572&amp;sp=point.36.857_42.8572","Maplink3")</f>
        <v>Maplink3</v>
      </c>
    </row>
    <row r="1479" customFormat="false" ht="15" hidden="false" customHeight="true" outlineLevel="0" collapsed="false">
      <c r="A1479" s="15" t="n">
        <v>8369</v>
      </c>
      <c r="B1479" s="16" t="s">
        <v>19</v>
      </c>
      <c r="C1479" s="16" t="s">
        <v>2851</v>
      </c>
      <c r="D1479" s="16" t="s">
        <v>2932</v>
      </c>
      <c r="E1479" s="17" t="s">
        <v>2933</v>
      </c>
      <c r="F1479" s="16" t="n">
        <v>36.79033443</v>
      </c>
      <c r="G1479" s="16" t="n">
        <v>42.97260703</v>
      </c>
      <c r="H1479" s="18" t="n">
        <v>4225</v>
      </c>
      <c r="I1479" s="18" t="n">
        <v>25350</v>
      </c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 t="n">
        <v>4225</v>
      </c>
      <c r="W1479" s="19"/>
      <c r="X1479" s="19"/>
      <c r="Y1479" s="19"/>
      <c r="Z1479" s="19"/>
      <c r="AA1479" s="19"/>
      <c r="AB1479" s="19"/>
      <c r="AC1479" s="19" t="n">
        <v>100</v>
      </c>
      <c r="AD1479" s="19"/>
      <c r="AE1479" s="19" t="n">
        <v>673</v>
      </c>
      <c r="AF1479" s="19"/>
      <c r="AG1479" s="19"/>
      <c r="AH1479" s="19" t="n">
        <v>965</v>
      </c>
      <c r="AI1479" s="19"/>
      <c r="AJ1479" s="19" t="n">
        <v>2487</v>
      </c>
      <c r="AK1479" s="19"/>
      <c r="AL1479" s="19"/>
      <c r="AM1479" s="19"/>
      <c r="AN1479" s="19" t="n">
        <v>4225</v>
      </c>
      <c r="AO1479" s="19"/>
      <c r="AP1479" s="19"/>
      <c r="AQ1479" s="19"/>
      <c r="AR1479" s="19"/>
      <c r="AS1479" s="20" t="str">
        <f aca="false">HYPERLINK("http://www.openstreetmap.org/?mlat=36.7903&amp;mlon=42.9726&amp;zoom=12#map=12/36.7903/42.9726","Maplink1")</f>
        <v>Maplink1</v>
      </c>
      <c r="AT1479" s="20" t="str">
        <f aca="false">HYPERLINK("https://www.google.iq/maps/search/+36.7903,42.9726/@36.7903,42.9726,14z?hl=en","Maplink2")</f>
        <v>Maplink2</v>
      </c>
      <c r="AU1479" s="20" t="str">
        <f aca="false">HYPERLINK("http://www.bing.com/maps/?lvl=14&amp;sty=h&amp;cp=36.7903~42.9726&amp;sp=point.36.7903_42.9726","Maplink3")</f>
        <v>Maplink3</v>
      </c>
    </row>
    <row r="1480" customFormat="false" ht="15" hidden="false" customHeight="true" outlineLevel="0" collapsed="false">
      <c r="A1480" s="15" t="n">
        <v>24827</v>
      </c>
      <c r="B1480" s="16" t="s">
        <v>19</v>
      </c>
      <c r="C1480" s="16" t="s">
        <v>2851</v>
      </c>
      <c r="D1480" s="16" t="s">
        <v>2934</v>
      </c>
      <c r="E1480" s="17" t="s">
        <v>2935</v>
      </c>
      <c r="F1480" s="16" t="n">
        <v>36.79388619</v>
      </c>
      <c r="G1480" s="16" t="n">
        <v>42.96450459</v>
      </c>
      <c r="H1480" s="18" t="n">
        <v>3154</v>
      </c>
      <c r="I1480" s="18" t="n">
        <v>18924</v>
      </c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 t="n">
        <v>3154</v>
      </c>
      <c r="W1480" s="19"/>
      <c r="X1480" s="19"/>
      <c r="Y1480" s="19"/>
      <c r="Z1480" s="19"/>
      <c r="AA1480" s="19"/>
      <c r="AB1480" s="19" t="n">
        <v>3154</v>
      </c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 t="n">
        <v>3154</v>
      </c>
      <c r="AO1480" s="19"/>
      <c r="AP1480" s="19"/>
      <c r="AQ1480" s="19"/>
      <c r="AR1480" s="19"/>
      <c r="AS1480" s="20" t="str">
        <f aca="false">HYPERLINK("http://www.openstreetmap.org/?mlat=36.7939&amp;mlon=42.9645&amp;zoom=12#map=12/36.7939/42.9645","Maplink1")</f>
        <v>Maplink1</v>
      </c>
      <c r="AT1480" s="20" t="str">
        <f aca="false">HYPERLINK("https://www.google.iq/maps/search/+36.7939,42.9645/@36.7939,42.9645,14z?hl=en","Maplink2")</f>
        <v>Maplink2</v>
      </c>
      <c r="AU1480" s="20" t="str">
        <f aca="false">HYPERLINK("http://www.bing.com/maps/?lvl=14&amp;sty=h&amp;cp=36.7939~42.9645&amp;sp=point.36.7939_42.9645","Maplink3")</f>
        <v>Maplink3</v>
      </c>
    </row>
    <row r="1481" customFormat="false" ht="15" hidden="false" customHeight="true" outlineLevel="0" collapsed="false">
      <c r="A1481" s="15" t="n">
        <v>27122</v>
      </c>
      <c r="B1481" s="16" t="s">
        <v>19</v>
      </c>
      <c r="C1481" s="16" t="s">
        <v>2851</v>
      </c>
      <c r="D1481" s="16" t="s">
        <v>2936</v>
      </c>
      <c r="E1481" s="17" t="s">
        <v>2937</v>
      </c>
      <c r="F1481" s="16" t="n">
        <v>36.78429182</v>
      </c>
      <c r="G1481" s="16" t="n">
        <v>42.79017476</v>
      </c>
      <c r="H1481" s="18" t="n">
        <v>182</v>
      </c>
      <c r="I1481" s="18" t="n">
        <v>1092</v>
      </c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 t="n">
        <v>182</v>
      </c>
      <c r="W1481" s="19"/>
      <c r="X1481" s="19"/>
      <c r="Y1481" s="19"/>
      <c r="Z1481" s="19"/>
      <c r="AA1481" s="19"/>
      <c r="AB1481" s="19"/>
      <c r="AC1481" s="19" t="n">
        <v>26</v>
      </c>
      <c r="AD1481" s="19"/>
      <c r="AE1481" s="19"/>
      <c r="AF1481" s="19"/>
      <c r="AG1481" s="19"/>
      <c r="AH1481" s="19" t="n">
        <v>19</v>
      </c>
      <c r="AI1481" s="19"/>
      <c r="AJ1481" s="19" t="n">
        <v>137</v>
      </c>
      <c r="AK1481" s="19"/>
      <c r="AL1481" s="19"/>
      <c r="AM1481" s="19"/>
      <c r="AN1481" s="19" t="n">
        <v>182</v>
      </c>
      <c r="AO1481" s="19"/>
      <c r="AP1481" s="19"/>
      <c r="AQ1481" s="19"/>
      <c r="AR1481" s="19"/>
      <c r="AS1481" s="20" t="str">
        <f aca="false">HYPERLINK("http://www.openstreetmap.org/?mlat=36.7843&amp;mlon=42.7902&amp;zoom=12#map=12/36.7843/42.7902","Maplink1")</f>
        <v>Maplink1</v>
      </c>
      <c r="AT1481" s="20" t="str">
        <f aca="false">HYPERLINK("https://www.google.iq/maps/search/+36.7843,42.7902/@36.7843,42.7902,14z?hl=en","Maplink2")</f>
        <v>Maplink2</v>
      </c>
      <c r="AU1481" s="20" t="str">
        <f aca="false">HYPERLINK("http://www.bing.com/maps/?lvl=14&amp;sty=h&amp;cp=36.7843~42.7902&amp;sp=point.36.7843_42.7902","Maplink3")</f>
        <v>Maplink3</v>
      </c>
    </row>
    <row r="1482" customFormat="false" ht="15" hidden="false" customHeight="true" outlineLevel="0" collapsed="false">
      <c r="A1482" s="15" t="n">
        <v>27129</v>
      </c>
      <c r="B1482" s="16" t="s">
        <v>19</v>
      </c>
      <c r="C1482" s="16" t="s">
        <v>2851</v>
      </c>
      <c r="D1482" s="16" t="s">
        <v>2938</v>
      </c>
      <c r="E1482" s="17" t="s">
        <v>2939</v>
      </c>
      <c r="F1482" s="16" t="n">
        <v>36.77987</v>
      </c>
      <c r="G1482" s="16" t="n">
        <v>42.78627</v>
      </c>
      <c r="H1482" s="18" t="n">
        <v>98</v>
      </c>
      <c r="I1482" s="18" t="n">
        <v>588</v>
      </c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 t="n">
        <v>98</v>
      </c>
      <c r="W1482" s="19"/>
      <c r="X1482" s="19"/>
      <c r="Y1482" s="19"/>
      <c r="Z1482" s="19"/>
      <c r="AA1482" s="19"/>
      <c r="AB1482" s="19"/>
      <c r="AC1482" s="19" t="n">
        <v>15</v>
      </c>
      <c r="AD1482" s="19"/>
      <c r="AE1482" s="19" t="n">
        <v>19</v>
      </c>
      <c r="AF1482" s="19"/>
      <c r="AG1482" s="19" t="n">
        <v>7</v>
      </c>
      <c r="AH1482" s="19"/>
      <c r="AI1482" s="19"/>
      <c r="AJ1482" s="19" t="n">
        <v>57</v>
      </c>
      <c r="AK1482" s="19"/>
      <c r="AL1482" s="19"/>
      <c r="AM1482" s="19"/>
      <c r="AN1482" s="19" t="n">
        <v>98</v>
      </c>
      <c r="AO1482" s="19"/>
      <c r="AP1482" s="19"/>
      <c r="AQ1482" s="19"/>
      <c r="AR1482" s="19"/>
      <c r="AS1482" s="20" t="str">
        <f aca="false">HYPERLINK("http://www.openstreetmap.org/?mlat=36.7799&amp;mlon=42.7863&amp;zoom=12#map=12/36.7799/42.7863","Maplink1")</f>
        <v>Maplink1</v>
      </c>
      <c r="AT1482" s="20" t="str">
        <f aca="false">HYPERLINK("https://www.google.iq/maps/search/+36.7799,42.7863/@36.7799,42.7863,14z?hl=en","Maplink2")</f>
        <v>Maplink2</v>
      </c>
      <c r="AU1482" s="20" t="str">
        <f aca="false">HYPERLINK("http://www.bing.com/maps/?lvl=14&amp;sty=h&amp;cp=36.7799~42.7863&amp;sp=point.36.7799_42.7863","Maplink3")</f>
        <v>Maplink3</v>
      </c>
    </row>
    <row r="1483" customFormat="false" ht="15" hidden="false" customHeight="true" outlineLevel="0" collapsed="false">
      <c r="A1483" s="15" t="n">
        <v>8476</v>
      </c>
      <c r="B1483" s="16" t="s">
        <v>19</v>
      </c>
      <c r="C1483" s="16" t="s">
        <v>2851</v>
      </c>
      <c r="D1483" s="16" t="s">
        <v>2940</v>
      </c>
      <c r="E1483" s="17" t="s">
        <v>2941</v>
      </c>
      <c r="F1483" s="16" t="n">
        <v>37.00294759</v>
      </c>
      <c r="G1483" s="16" t="n">
        <v>42.48518515</v>
      </c>
      <c r="H1483" s="18" t="n">
        <v>319</v>
      </c>
      <c r="I1483" s="18" t="n">
        <v>1914</v>
      </c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 t="n">
        <v>319</v>
      </c>
      <c r="W1483" s="19"/>
      <c r="X1483" s="19"/>
      <c r="Y1483" s="19"/>
      <c r="Z1483" s="19"/>
      <c r="AA1483" s="19"/>
      <c r="AB1483" s="19"/>
      <c r="AC1483" s="19" t="n">
        <v>186</v>
      </c>
      <c r="AD1483" s="19"/>
      <c r="AE1483" s="19" t="n">
        <v>63</v>
      </c>
      <c r="AF1483" s="19"/>
      <c r="AG1483" s="19"/>
      <c r="AH1483" s="19" t="n">
        <v>18</v>
      </c>
      <c r="AI1483" s="19"/>
      <c r="AJ1483" s="19" t="n">
        <v>52</v>
      </c>
      <c r="AK1483" s="19"/>
      <c r="AL1483" s="19"/>
      <c r="AM1483" s="19"/>
      <c r="AN1483" s="19" t="n">
        <v>314</v>
      </c>
      <c r="AO1483" s="19"/>
      <c r="AP1483" s="19" t="n">
        <v>5</v>
      </c>
      <c r="AQ1483" s="19"/>
      <c r="AR1483" s="19"/>
      <c r="AS1483" s="20" t="str">
        <f aca="false">HYPERLINK("http://www.openstreetmap.org/?mlat=37.0029&amp;mlon=42.4852&amp;zoom=12#map=12/37.0029/42.4852","Maplink1")</f>
        <v>Maplink1</v>
      </c>
      <c r="AT1483" s="20" t="str">
        <f aca="false">HYPERLINK("https://www.google.iq/maps/search/+37.0029,42.4852/@37.0029,42.4852,14z?hl=en","Maplink2")</f>
        <v>Maplink2</v>
      </c>
      <c r="AU1483" s="20" t="str">
        <f aca="false">HYPERLINK("http://www.bing.com/maps/?lvl=14&amp;sty=h&amp;cp=37.0029~42.4852&amp;sp=point.37.0029_42.4852","Maplink3")</f>
        <v>Maplink3</v>
      </c>
    </row>
    <row r="1484" customFormat="false" ht="15" hidden="false" customHeight="true" outlineLevel="0" collapsed="false">
      <c r="A1484" s="15" t="n">
        <v>24596</v>
      </c>
      <c r="B1484" s="16" t="s">
        <v>19</v>
      </c>
      <c r="C1484" s="16" t="s">
        <v>2851</v>
      </c>
      <c r="D1484" s="16" t="s">
        <v>2942</v>
      </c>
      <c r="E1484" s="17" t="s">
        <v>2943</v>
      </c>
      <c r="F1484" s="16" t="n">
        <v>36.85758916</v>
      </c>
      <c r="G1484" s="16" t="n">
        <v>42.90467018</v>
      </c>
      <c r="H1484" s="18" t="n">
        <v>173</v>
      </c>
      <c r="I1484" s="18" t="n">
        <v>1038</v>
      </c>
      <c r="J1484" s="19" t="n">
        <v>3</v>
      </c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 t="n">
        <v>168</v>
      </c>
      <c r="W1484" s="19"/>
      <c r="X1484" s="19" t="n">
        <v>2</v>
      </c>
      <c r="Y1484" s="19"/>
      <c r="Z1484" s="19"/>
      <c r="AA1484" s="19"/>
      <c r="AB1484" s="19"/>
      <c r="AC1484" s="19" t="n">
        <v>3</v>
      </c>
      <c r="AD1484" s="19"/>
      <c r="AE1484" s="19"/>
      <c r="AF1484" s="19"/>
      <c r="AG1484" s="19"/>
      <c r="AH1484" s="19" t="n">
        <v>155</v>
      </c>
      <c r="AI1484" s="19"/>
      <c r="AJ1484" s="19" t="n">
        <v>15</v>
      </c>
      <c r="AK1484" s="19"/>
      <c r="AL1484" s="19" t="n">
        <v>3</v>
      </c>
      <c r="AM1484" s="19" t="n">
        <v>77</v>
      </c>
      <c r="AN1484" s="19" t="n">
        <v>93</v>
      </c>
      <c r="AO1484" s="19"/>
      <c r="AP1484" s="19"/>
      <c r="AQ1484" s="19"/>
      <c r="AR1484" s="19"/>
      <c r="AS1484" s="20" t="str">
        <f aca="false">HYPERLINK("http://www.openstreetmap.org/?mlat=36.8576&amp;mlon=42.9047&amp;zoom=12#map=12/36.8576/42.9047","Maplink1")</f>
        <v>Maplink1</v>
      </c>
      <c r="AT1484" s="20" t="str">
        <f aca="false">HYPERLINK("https://www.google.iq/maps/search/+36.8576,42.9047/@36.8576,42.9047,14z?hl=en","Maplink2")</f>
        <v>Maplink2</v>
      </c>
      <c r="AU1484" s="20" t="str">
        <f aca="false">HYPERLINK("http://www.bing.com/maps/?lvl=14&amp;sty=h&amp;cp=36.8576~42.9047&amp;sp=point.36.8576_42.9047","Maplink3")</f>
        <v>Maplink3</v>
      </c>
    </row>
    <row r="1485" customFormat="false" ht="15" hidden="false" customHeight="true" outlineLevel="0" collapsed="false">
      <c r="A1485" s="15" t="n">
        <v>25623</v>
      </c>
      <c r="B1485" s="16" t="s">
        <v>19</v>
      </c>
      <c r="C1485" s="16" t="s">
        <v>2851</v>
      </c>
      <c r="D1485" s="16" t="s">
        <v>2944</v>
      </c>
      <c r="E1485" s="17" t="s">
        <v>2945</v>
      </c>
      <c r="F1485" s="16" t="n">
        <v>36.80159649</v>
      </c>
      <c r="G1485" s="16" t="n">
        <v>42.91088541</v>
      </c>
      <c r="H1485" s="18" t="n">
        <v>290</v>
      </c>
      <c r="I1485" s="18" t="n">
        <v>1740</v>
      </c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 t="n">
        <v>270</v>
      </c>
      <c r="W1485" s="19"/>
      <c r="X1485" s="19" t="n">
        <v>20</v>
      </c>
      <c r="Y1485" s="19"/>
      <c r="Z1485" s="19"/>
      <c r="AA1485" s="19"/>
      <c r="AB1485" s="19"/>
      <c r="AC1485" s="19" t="n">
        <v>20</v>
      </c>
      <c r="AD1485" s="19"/>
      <c r="AE1485" s="19"/>
      <c r="AF1485" s="19"/>
      <c r="AG1485" s="19"/>
      <c r="AH1485" s="19" t="n">
        <v>250</v>
      </c>
      <c r="AI1485" s="19"/>
      <c r="AJ1485" s="19" t="n">
        <v>20</v>
      </c>
      <c r="AK1485" s="19"/>
      <c r="AL1485" s="19"/>
      <c r="AM1485" s="19" t="n">
        <v>106</v>
      </c>
      <c r="AN1485" s="19" t="n">
        <v>184</v>
      </c>
      <c r="AO1485" s="19"/>
      <c r="AP1485" s="19"/>
      <c r="AQ1485" s="19"/>
      <c r="AR1485" s="19"/>
      <c r="AS1485" s="20" t="str">
        <f aca="false">HYPERLINK("http://www.openstreetmap.org/?mlat=36.8016&amp;mlon=42.9109&amp;zoom=12#map=12/36.8016/42.9109","Maplink1")</f>
        <v>Maplink1</v>
      </c>
      <c r="AT1485" s="20" t="str">
        <f aca="false">HYPERLINK("https://www.google.iq/maps/search/+36.8016,42.9109/@36.8016,42.9109,14z?hl=en","Maplink2")</f>
        <v>Maplink2</v>
      </c>
      <c r="AU1485" s="20" t="str">
        <f aca="false">HYPERLINK("http://www.bing.com/maps/?lvl=14&amp;sty=h&amp;cp=36.8016~42.9109&amp;sp=point.36.8016_42.9109","Maplink3")</f>
        <v>Maplink3</v>
      </c>
    </row>
    <row r="1486" customFormat="false" ht="15" hidden="false" customHeight="true" outlineLevel="0" collapsed="false">
      <c r="A1486" s="15" t="n">
        <v>23645</v>
      </c>
      <c r="B1486" s="16" t="s">
        <v>19</v>
      </c>
      <c r="C1486" s="16" t="s">
        <v>2851</v>
      </c>
      <c r="D1486" s="16" t="s">
        <v>2946</v>
      </c>
      <c r="E1486" s="17" t="s">
        <v>2947</v>
      </c>
      <c r="F1486" s="16" t="n">
        <v>36.77604393</v>
      </c>
      <c r="G1486" s="16" t="n">
        <v>42.92201507</v>
      </c>
      <c r="H1486" s="18" t="n">
        <v>230</v>
      </c>
      <c r="I1486" s="18" t="n">
        <v>1380</v>
      </c>
      <c r="J1486" s="19" t="n">
        <v>22</v>
      </c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 t="n">
        <v>208</v>
      </c>
      <c r="W1486" s="19"/>
      <c r="X1486" s="19"/>
      <c r="Y1486" s="19"/>
      <c r="Z1486" s="19"/>
      <c r="AA1486" s="19"/>
      <c r="AB1486" s="19"/>
      <c r="AC1486" s="19" t="n">
        <v>22</v>
      </c>
      <c r="AD1486" s="19"/>
      <c r="AE1486" s="19"/>
      <c r="AF1486" s="19"/>
      <c r="AG1486" s="19"/>
      <c r="AH1486" s="19" t="n">
        <v>208</v>
      </c>
      <c r="AI1486" s="19"/>
      <c r="AJ1486" s="19"/>
      <c r="AK1486" s="19"/>
      <c r="AL1486" s="19" t="n">
        <v>22</v>
      </c>
      <c r="AM1486" s="19" t="n">
        <v>154</v>
      </c>
      <c r="AN1486" s="19" t="n">
        <v>54</v>
      </c>
      <c r="AO1486" s="19"/>
      <c r="AP1486" s="19"/>
      <c r="AQ1486" s="19"/>
      <c r="AR1486" s="19"/>
      <c r="AS1486" s="20" t="str">
        <f aca="false">HYPERLINK("http://www.openstreetmap.org/?mlat=36.776&amp;mlon=42.922&amp;zoom=12#map=12/36.776/42.922","Maplink1")</f>
        <v>Maplink1</v>
      </c>
      <c r="AT1486" s="20" t="str">
        <f aca="false">HYPERLINK("https://www.google.iq/maps/search/+36.776,42.922/@36.776,42.922,14z?hl=en","Maplink2")</f>
        <v>Maplink2</v>
      </c>
      <c r="AU1486" s="20" t="str">
        <f aca="false">HYPERLINK("http://www.bing.com/maps/?lvl=14&amp;sty=h&amp;cp=36.776~42.922&amp;sp=point.36.776_42.922","Maplink3")</f>
        <v>Maplink3</v>
      </c>
    </row>
    <row r="1487" customFormat="false" ht="15" hidden="false" customHeight="true" outlineLevel="0" collapsed="false">
      <c r="A1487" s="15" t="n">
        <v>8119</v>
      </c>
      <c r="B1487" s="16" t="s">
        <v>19</v>
      </c>
      <c r="C1487" s="16" t="s">
        <v>2948</v>
      </c>
      <c r="D1487" s="16" t="s">
        <v>2949</v>
      </c>
      <c r="E1487" s="17" t="s">
        <v>2950</v>
      </c>
      <c r="F1487" s="16" t="n">
        <v>37.13751135</v>
      </c>
      <c r="G1487" s="16" t="n">
        <v>42.65948665</v>
      </c>
      <c r="H1487" s="18" t="n">
        <v>20</v>
      </c>
      <c r="I1487" s="18" t="n">
        <v>120</v>
      </c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 t="n">
        <v>20</v>
      </c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 t="n">
        <v>20</v>
      </c>
      <c r="AI1487" s="19"/>
      <c r="AJ1487" s="19"/>
      <c r="AK1487" s="19"/>
      <c r="AL1487" s="19"/>
      <c r="AM1487" s="19"/>
      <c r="AN1487" s="19" t="n">
        <v>20</v>
      </c>
      <c r="AO1487" s="19"/>
      <c r="AP1487" s="19"/>
      <c r="AQ1487" s="19"/>
      <c r="AR1487" s="19"/>
      <c r="AS1487" s="20" t="str">
        <f aca="false">HYPERLINK("http://www.openstreetmap.org/?mlat=37.1375&amp;mlon=42.6595&amp;zoom=12#map=12/37.1375/42.6595","Maplink1")</f>
        <v>Maplink1</v>
      </c>
      <c r="AT1487" s="20" t="str">
        <f aca="false">HYPERLINK("https://www.google.iq/maps/search/+37.1375,42.6595/@37.1375,42.6595,14z?hl=en","Maplink2")</f>
        <v>Maplink2</v>
      </c>
      <c r="AU1487" s="20" t="str">
        <f aca="false">HYPERLINK("http://www.bing.com/maps/?lvl=14&amp;sty=h&amp;cp=37.1375~42.6595&amp;sp=point.37.1375_42.6595","Maplink3")</f>
        <v>Maplink3</v>
      </c>
    </row>
    <row r="1488" customFormat="false" ht="15" hidden="false" customHeight="true" outlineLevel="0" collapsed="false">
      <c r="A1488" s="15" t="n">
        <v>8849</v>
      </c>
      <c r="B1488" s="16" t="s">
        <v>19</v>
      </c>
      <c r="C1488" s="16" t="s">
        <v>2948</v>
      </c>
      <c r="D1488" s="16" t="s">
        <v>2951</v>
      </c>
      <c r="E1488" s="17" t="s">
        <v>2952</v>
      </c>
      <c r="F1488" s="16" t="n">
        <v>37.17446763</v>
      </c>
      <c r="G1488" s="16" t="n">
        <v>43.01191454</v>
      </c>
      <c r="H1488" s="18" t="n">
        <v>349</v>
      </c>
      <c r="I1488" s="18" t="n">
        <v>2094</v>
      </c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 t="n">
        <v>349</v>
      </c>
      <c r="W1488" s="19"/>
      <c r="X1488" s="19"/>
      <c r="Y1488" s="19"/>
      <c r="Z1488" s="19"/>
      <c r="AA1488" s="19"/>
      <c r="AB1488" s="19"/>
      <c r="AC1488" s="19" t="n">
        <v>2</v>
      </c>
      <c r="AD1488" s="19"/>
      <c r="AE1488" s="19"/>
      <c r="AF1488" s="19"/>
      <c r="AG1488" s="19"/>
      <c r="AH1488" s="19" t="n">
        <v>224</v>
      </c>
      <c r="AI1488" s="19"/>
      <c r="AJ1488" s="19" t="n">
        <v>123</v>
      </c>
      <c r="AK1488" s="19"/>
      <c r="AL1488" s="19"/>
      <c r="AM1488" s="19"/>
      <c r="AN1488" s="19" t="n">
        <v>324</v>
      </c>
      <c r="AO1488" s="19"/>
      <c r="AP1488" s="19" t="n">
        <v>25</v>
      </c>
      <c r="AQ1488" s="19"/>
      <c r="AR1488" s="19"/>
      <c r="AS1488" s="20" t="str">
        <f aca="false">HYPERLINK("http://www.openstreetmap.org/?mlat=37.1745&amp;mlon=43.0119&amp;zoom=12#map=12/37.1745/43.0119","Maplink1")</f>
        <v>Maplink1</v>
      </c>
      <c r="AT1488" s="20" t="str">
        <f aca="false">HYPERLINK("https://www.google.iq/maps/search/+37.1745,43.0119/@37.1745,43.0119,14z?hl=en","Maplink2")</f>
        <v>Maplink2</v>
      </c>
      <c r="AU1488" s="20" t="str">
        <f aca="false">HYPERLINK("http://www.bing.com/maps/?lvl=14&amp;sty=h&amp;cp=37.1745~43.0119&amp;sp=point.37.1745_43.0119","Maplink3")</f>
        <v>Maplink3</v>
      </c>
    </row>
    <row r="1489" customFormat="false" ht="15" hidden="false" customHeight="true" outlineLevel="0" collapsed="false">
      <c r="A1489" s="15" t="n">
        <v>24789</v>
      </c>
      <c r="B1489" s="16" t="s">
        <v>19</v>
      </c>
      <c r="C1489" s="16" t="s">
        <v>2948</v>
      </c>
      <c r="D1489" s="16" t="s">
        <v>2953</v>
      </c>
      <c r="E1489" s="17" t="s">
        <v>2954</v>
      </c>
      <c r="F1489" s="16" t="n">
        <v>37.17982633</v>
      </c>
      <c r="G1489" s="16" t="n">
        <v>42.85689991</v>
      </c>
      <c r="H1489" s="18" t="n">
        <v>1920</v>
      </c>
      <c r="I1489" s="18" t="n">
        <v>11520</v>
      </c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 t="n">
        <v>1920</v>
      </c>
      <c r="W1489" s="19"/>
      <c r="X1489" s="19"/>
      <c r="Y1489" s="19"/>
      <c r="Z1489" s="19"/>
      <c r="AA1489" s="19"/>
      <c r="AB1489" s="19" t="n">
        <v>1920</v>
      </c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 t="n">
        <v>183</v>
      </c>
      <c r="AN1489" s="19" t="n">
        <v>1721</v>
      </c>
      <c r="AO1489" s="19"/>
      <c r="AP1489" s="19" t="n">
        <v>16</v>
      </c>
      <c r="AQ1489" s="19"/>
      <c r="AR1489" s="19"/>
      <c r="AS1489" s="20" t="str">
        <f aca="false">HYPERLINK("http://www.openstreetmap.org/?mlat=37.1798&amp;mlon=42.8569&amp;zoom=12#map=12/37.1798/42.8569","Maplink1")</f>
        <v>Maplink1</v>
      </c>
      <c r="AT1489" s="20" t="str">
        <f aca="false">HYPERLINK("https://www.google.iq/maps/search/+37.1798,42.8569/@37.1798,42.8569,14z?hl=en","Maplink2")</f>
        <v>Maplink2</v>
      </c>
      <c r="AU1489" s="20" t="str">
        <f aca="false">HYPERLINK("http://www.bing.com/maps/?lvl=14&amp;sty=h&amp;cp=37.1798~42.8569&amp;sp=point.37.1798_42.8569","Maplink3")</f>
        <v>Maplink3</v>
      </c>
    </row>
    <row r="1490" customFormat="false" ht="15" hidden="false" customHeight="true" outlineLevel="0" collapsed="false">
      <c r="A1490" s="15" t="n">
        <v>24792</v>
      </c>
      <c r="B1490" s="16" t="s">
        <v>19</v>
      </c>
      <c r="C1490" s="16" t="s">
        <v>2948</v>
      </c>
      <c r="D1490" s="16" t="s">
        <v>2955</v>
      </c>
      <c r="E1490" s="17" t="s">
        <v>2956</v>
      </c>
      <c r="F1490" s="16" t="n">
        <v>37.18041449</v>
      </c>
      <c r="G1490" s="16" t="n">
        <v>42.86156829</v>
      </c>
      <c r="H1490" s="18" t="n">
        <v>1681</v>
      </c>
      <c r="I1490" s="18" t="n">
        <v>10086</v>
      </c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 t="n">
        <v>1681</v>
      </c>
      <c r="W1490" s="19"/>
      <c r="X1490" s="19"/>
      <c r="Y1490" s="19"/>
      <c r="Z1490" s="19"/>
      <c r="AA1490" s="19"/>
      <c r="AB1490" s="19" t="n">
        <v>1681</v>
      </c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 t="n">
        <v>1681</v>
      </c>
      <c r="AO1490" s="19"/>
      <c r="AP1490" s="19"/>
      <c r="AQ1490" s="19"/>
      <c r="AR1490" s="19"/>
      <c r="AS1490" s="20" t="str">
        <f aca="false">HYPERLINK("http://www.openstreetmap.org/?mlat=37.1804&amp;mlon=42.8616&amp;zoom=12#map=12/37.1804/42.8616","Maplink1")</f>
        <v>Maplink1</v>
      </c>
      <c r="AT1490" s="20" t="str">
        <f aca="false">HYPERLINK("https://www.google.iq/maps/search/+37.1804,42.8616/@37.1804,42.8616,14z?hl=en","Maplink2")</f>
        <v>Maplink2</v>
      </c>
      <c r="AU1490" s="20" t="str">
        <f aca="false">HYPERLINK("http://www.bing.com/maps/?lvl=14&amp;sty=h&amp;cp=37.1804~42.8616&amp;sp=point.37.1804_42.8616","Maplink3")</f>
        <v>Maplink3</v>
      </c>
    </row>
    <row r="1491" customFormat="false" ht="15" hidden="false" customHeight="true" outlineLevel="0" collapsed="false">
      <c r="A1491" s="15" t="n">
        <v>24793</v>
      </c>
      <c r="B1491" s="16" t="s">
        <v>19</v>
      </c>
      <c r="C1491" s="16" t="s">
        <v>2948</v>
      </c>
      <c r="D1491" s="16" t="s">
        <v>2957</v>
      </c>
      <c r="E1491" s="17" t="s">
        <v>2958</v>
      </c>
      <c r="F1491" s="16" t="n">
        <v>37.1787</v>
      </c>
      <c r="G1491" s="16" t="n">
        <v>42.67</v>
      </c>
      <c r="H1491" s="18" t="n">
        <v>4789</v>
      </c>
      <c r="I1491" s="18" t="n">
        <v>28734</v>
      </c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 t="n">
        <v>4789</v>
      </c>
      <c r="W1491" s="19"/>
      <c r="X1491" s="19"/>
      <c r="Y1491" s="19"/>
      <c r="Z1491" s="19"/>
      <c r="AA1491" s="19"/>
      <c r="AB1491" s="19" t="n">
        <v>4789</v>
      </c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 t="n">
        <v>4789</v>
      </c>
      <c r="AO1491" s="19"/>
      <c r="AP1491" s="19"/>
      <c r="AQ1491" s="19"/>
      <c r="AR1491" s="19"/>
      <c r="AS1491" s="20" t="str">
        <f aca="false">HYPERLINK("http://www.openstreetmap.org/?mlat=37.1787&amp;mlon=42.67&amp;zoom=12#map=12/37.1787/42.67","Maplink1")</f>
        <v>Maplink1</v>
      </c>
      <c r="AT1491" s="20" t="str">
        <f aca="false">HYPERLINK("https://www.google.iq/maps/search/+37.1787,42.67/@37.1787,42.67,14z?hl=en","Maplink2")</f>
        <v>Maplink2</v>
      </c>
      <c r="AU1491" s="20" t="str">
        <f aca="false">HYPERLINK("http://www.bing.com/maps/?lvl=14&amp;sty=h&amp;cp=37.1787~42.67&amp;sp=point.37.1787_42.67","Maplink3")</f>
        <v>Maplink3</v>
      </c>
    </row>
    <row r="1492" customFormat="false" ht="15" hidden="false" customHeight="true" outlineLevel="0" collapsed="false">
      <c r="A1492" s="15" t="n">
        <v>8766</v>
      </c>
      <c r="B1492" s="16" t="s">
        <v>19</v>
      </c>
      <c r="C1492" s="16" t="s">
        <v>2948</v>
      </c>
      <c r="D1492" s="16" t="s">
        <v>2959</v>
      </c>
      <c r="E1492" s="17" t="s">
        <v>2960</v>
      </c>
      <c r="F1492" s="16" t="n">
        <v>37.14084354</v>
      </c>
      <c r="G1492" s="16" t="n">
        <v>42.61566915</v>
      </c>
      <c r="H1492" s="18" t="n">
        <v>107</v>
      </c>
      <c r="I1492" s="18" t="n">
        <v>642</v>
      </c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 t="n">
        <v>107</v>
      </c>
      <c r="W1492" s="19"/>
      <c r="X1492" s="19"/>
      <c r="Y1492" s="19"/>
      <c r="Z1492" s="19"/>
      <c r="AA1492" s="19"/>
      <c r="AB1492" s="19"/>
      <c r="AC1492" s="19" t="n">
        <v>8</v>
      </c>
      <c r="AD1492" s="19"/>
      <c r="AE1492" s="19"/>
      <c r="AF1492" s="19"/>
      <c r="AG1492" s="19"/>
      <c r="AH1492" s="19" t="n">
        <v>99</v>
      </c>
      <c r="AI1492" s="19"/>
      <c r="AJ1492" s="19"/>
      <c r="AK1492" s="19"/>
      <c r="AL1492" s="19"/>
      <c r="AM1492" s="19"/>
      <c r="AN1492" s="19" t="n">
        <v>107</v>
      </c>
      <c r="AO1492" s="19"/>
      <c r="AP1492" s="19"/>
      <c r="AQ1492" s="19"/>
      <c r="AR1492" s="19"/>
      <c r="AS1492" s="20" t="str">
        <f aca="false">HYPERLINK("http://www.openstreetmap.org/?mlat=37.1408&amp;mlon=42.6157&amp;zoom=12#map=12/37.1408/42.6157","Maplink1")</f>
        <v>Maplink1</v>
      </c>
      <c r="AT1492" s="20" t="str">
        <f aca="false">HYPERLINK("https://www.google.iq/maps/search/+37.1408,42.6157/@37.1408,42.6157,14z?hl=en","Maplink2")</f>
        <v>Maplink2</v>
      </c>
      <c r="AU1492" s="20" t="str">
        <f aca="false">HYPERLINK("http://www.bing.com/maps/?lvl=14&amp;sty=h&amp;cp=37.1408~42.6157&amp;sp=point.37.1408_42.6157","Maplink3")</f>
        <v>Maplink3</v>
      </c>
    </row>
    <row r="1493" customFormat="false" ht="15" hidden="false" customHeight="true" outlineLevel="0" collapsed="false">
      <c r="A1493" s="15" t="n">
        <v>8084</v>
      </c>
      <c r="B1493" s="16" t="s">
        <v>19</v>
      </c>
      <c r="C1493" s="16" t="s">
        <v>2948</v>
      </c>
      <c r="D1493" s="16" t="s">
        <v>2961</v>
      </c>
      <c r="E1493" s="17" t="s">
        <v>2962</v>
      </c>
      <c r="F1493" s="16" t="n">
        <v>37.19639216</v>
      </c>
      <c r="G1493" s="16" t="n">
        <v>42.81944043</v>
      </c>
      <c r="H1493" s="18" t="n">
        <v>470</v>
      </c>
      <c r="I1493" s="18" t="n">
        <v>2820</v>
      </c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 t="n">
        <v>470</v>
      </c>
      <c r="W1493" s="19"/>
      <c r="X1493" s="19"/>
      <c r="Y1493" s="19"/>
      <c r="Z1493" s="19"/>
      <c r="AA1493" s="19"/>
      <c r="AB1493" s="19"/>
      <c r="AC1493" s="19" t="n">
        <v>10</v>
      </c>
      <c r="AD1493" s="19"/>
      <c r="AE1493" s="19"/>
      <c r="AF1493" s="19"/>
      <c r="AG1493" s="19"/>
      <c r="AH1493" s="19" t="n">
        <v>320</v>
      </c>
      <c r="AI1493" s="19"/>
      <c r="AJ1493" s="19" t="n">
        <v>140</v>
      </c>
      <c r="AK1493" s="19"/>
      <c r="AL1493" s="19"/>
      <c r="AM1493" s="19"/>
      <c r="AN1493" s="19" t="n">
        <v>454</v>
      </c>
      <c r="AO1493" s="19"/>
      <c r="AP1493" s="19" t="n">
        <v>16</v>
      </c>
      <c r="AQ1493" s="19"/>
      <c r="AR1493" s="19"/>
      <c r="AS1493" s="20" t="str">
        <f aca="false">HYPERLINK("http://www.openstreetmap.org/?mlat=37.1964&amp;mlon=42.8194&amp;zoom=12#map=12/37.1964/42.8194","Maplink1")</f>
        <v>Maplink1</v>
      </c>
      <c r="AT1493" s="20" t="str">
        <f aca="false">HYPERLINK("https://www.google.iq/maps/search/+37.1964,42.8194/@37.1964,42.8194,14z?hl=en","Maplink2")</f>
        <v>Maplink2</v>
      </c>
      <c r="AU1493" s="20" t="str">
        <f aca="false">HYPERLINK("http://www.bing.com/maps/?lvl=14&amp;sty=h&amp;cp=37.1964~42.8194&amp;sp=point.37.1964_42.8194","Maplink3")</f>
        <v>Maplink3</v>
      </c>
    </row>
    <row r="1494" customFormat="false" ht="15" hidden="false" customHeight="true" outlineLevel="0" collapsed="false">
      <c r="A1494" s="15" t="n">
        <v>29568</v>
      </c>
      <c r="B1494" s="16" t="s">
        <v>19</v>
      </c>
      <c r="C1494" s="16" t="s">
        <v>2948</v>
      </c>
      <c r="D1494" s="16" t="s">
        <v>2963</v>
      </c>
      <c r="E1494" s="17" t="s">
        <v>2964</v>
      </c>
      <c r="F1494" s="16" t="n">
        <v>37.19799218</v>
      </c>
      <c r="G1494" s="16" t="n">
        <v>42.83317762</v>
      </c>
      <c r="H1494" s="18" t="n">
        <v>691</v>
      </c>
      <c r="I1494" s="18" t="n">
        <v>4146</v>
      </c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 t="n">
        <v>691</v>
      </c>
      <c r="W1494" s="19"/>
      <c r="X1494" s="19"/>
      <c r="Y1494" s="19"/>
      <c r="Z1494" s="19"/>
      <c r="AA1494" s="19"/>
      <c r="AB1494" s="19" t="n">
        <v>691</v>
      </c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 t="n">
        <v>691</v>
      </c>
      <c r="AO1494" s="19"/>
      <c r="AP1494" s="19"/>
      <c r="AQ1494" s="19"/>
      <c r="AR1494" s="19"/>
      <c r="AS1494" s="20" t="str">
        <f aca="false">HYPERLINK("http://www.openstreetmap.org/?mlat=37.198&amp;mlon=42.8332&amp;zoom=12#map=12/37.198/42.8332","Maplink1")</f>
        <v>Maplink1</v>
      </c>
      <c r="AT1494" s="20" t="str">
        <f aca="false">HYPERLINK("https://www.google.iq/maps/search/+37.198,42.8332/@37.198,42.8332,14z?hl=en","Maplink2")</f>
        <v>Maplink2</v>
      </c>
      <c r="AU1494" s="20" t="str">
        <f aca="false">HYPERLINK("http://www.bing.com/maps/?lvl=14&amp;sty=h&amp;cp=37.198~42.8332&amp;sp=point.37.198_42.8332","Maplink3")</f>
        <v>Maplink3</v>
      </c>
    </row>
    <row r="1495" customFormat="false" ht="15" hidden="false" customHeight="true" outlineLevel="0" collapsed="false">
      <c r="A1495" s="15" t="n">
        <v>25992</v>
      </c>
      <c r="B1495" s="16" t="s">
        <v>19</v>
      </c>
      <c r="C1495" s="16" t="s">
        <v>2948</v>
      </c>
      <c r="D1495" s="16" t="s">
        <v>2965</v>
      </c>
      <c r="E1495" s="17" t="s">
        <v>2966</v>
      </c>
      <c r="F1495" s="16" t="n">
        <v>37.08716483</v>
      </c>
      <c r="G1495" s="16" t="n">
        <v>42.42871036</v>
      </c>
      <c r="H1495" s="18" t="n">
        <v>908</v>
      </c>
      <c r="I1495" s="18" t="n">
        <v>5448</v>
      </c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 t="n">
        <v>908</v>
      </c>
      <c r="W1495" s="19"/>
      <c r="X1495" s="19"/>
      <c r="Y1495" s="19"/>
      <c r="Z1495" s="19"/>
      <c r="AA1495" s="19"/>
      <c r="AB1495" s="19"/>
      <c r="AC1495" s="19" t="n">
        <v>65</v>
      </c>
      <c r="AD1495" s="19"/>
      <c r="AE1495" s="19" t="n">
        <v>451</v>
      </c>
      <c r="AF1495" s="19"/>
      <c r="AG1495" s="19" t="n">
        <v>32</v>
      </c>
      <c r="AH1495" s="19" t="n">
        <v>210</v>
      </c>
      <c r="AI1495" s="19"/>
      <c r="AJ1495" s="19" t="n">
        <v>150</v>
      </c>
      <c r="AK1495" s="19"/>
      <c r="AL1495" s="19"/>
      <c r="AM1495" s="19"/>
      <c r="AN1495" s="19" t="n">
        <v>902</v>
      </c>
      <c r="AO1495" s="19"/>
      <c r="AP1495" s="19" t="n">
        <v>6</v>
      </c>
      <c r="AQ1495" s="19"/>
      <c r="AR1495" s="19"/>
      <c r="AS1495" s="20" t="str">
        <f aca="false">HYPERLINK("http://www.openstreetmap.org/?mlat=37.0872&amp;mlon=42.4287&amp;zoom=12#map=12/37.0872/42.4287","Maplink1")</f>
        <v>Maplink1</v>
      </c>
      <c r="AT1495" s="20" t="str">
        <f aca="false">HYPERLINK("https://www.google.iq/maps/search/+37.0872,42.4287/@37.0872,42.4287,14z?hl=en","Maplink2")</f>
        <v>Maplink2</v>
      </c>
      <c r="AU1495" s="20" t="str">
        <f aca="false">HYPERLINK("http://www.bing.com/maps/?lvl=14&amp;sty=h&amp;cp=37.0872~42.4287&amp;sp=point.37.0872_42.4287","Maplink3")</f>
        <v>Maplink3</v>
      </c>
    </row>
    <row r="1496" customFormat="false" ht="15" hidden="false" customHeight="true" outlineLevel="0" collapsed="false">
      <c r="A1496" s="15" t="n">
        <v>23620</v>
      </c>
      <c r="B1496" s="16" t="s">
        <v>19</v>
      </c>
      <c r="C1496" s="16" t="s">
        <v>2948</v>
      </c>
      <c r="D1496" s="16" t="s">
        <v>2967</v>
      </c>
      <c r="E1496" s="17" t="s">
        <v>2968</v>
      </c>
      <c r="F1496" s="16" t="n">
        <v>37.06745325</v>
      </c>
      <c r="G1496" s="16" t="n">
        <v>42.37711693</v>
      </c>
      <c r="H1496" s="18" t="n">
        <v>143</v>
      </c>
      <c r="I1496" s="18" t="n">
        <v>858</v>
      </c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 t="n">
        <v>143</v>
      </c>
      <c r="W1496" s="19"/>
      <c r="X1496" s="19"/>
      <c r="Y1496" s="19"/>
      <c r="Z1496" s="19"/>
      <c r="AA1496" s="19"/>
      <c r="AB1496" s="19"/>
      <c r="AC1496" s="19" t="n">
        <v>47</v>
      </c>
      <c r="AD1496" s="19"/>
      <c r="AE1496" s="19" t="n">
        <v>29</v>
      </c>
      <c r="AF1496" s="19"/>
      <c r="AG1496" s="19" t="n">
        <v>3</v>
      </c>
      <c r="AH1496" s="19"/>
      <c r="AI1496" s="19"/>
      <c r="AJ1496" s="19" t="n">
        <v>64</v>
      </c>
      <c r="AK1496" s="19"/>
      <c r="AL1496" s="19"/>
      <c r="AM1496" s="19" t="n">
        <v>7</v>
      </c>
      <c r="AN1496" s="19" t="n">
        <v>136</v>
      </c>
      <c r="AO1496" s="19"/>
      <c r="AP1496" s="19"/>
      <c r="AQ1496" s="19"/>
      <c r="AR1496" s="19"/>
      <c r="AS1496" s="20" t="str">
        <f aca="false">HYPERLINK("http://www.openstreetmap.org/?mlat=37.0675&amp;mlon=42.3771&amp;zoom=12#map=12/37.0675/42.3771","Maplink1")</f>
        <v>Maplink1</v>
      </c>
      <c r="AT1496" s="20" t="str">
        <f aca="false">HYPERLINK("https://www.google.iq/maps/search/+37.0675,42.3771/@37.0675,42.3771,14z?hl=en","Maplink2")</f>
        <v>Maplink2</v>
      </c>
      <c r="AU1496" s="20" t="str">
        <f aca="false">HYPERLINK("http://www.bing.com/maps/?lvl=14&amp;sty=h&amp;cp=37.0675~42.3771&amp;sp=point.37.0675_42.3771","Maplink3")</f>
        <v>Maplink3</v>
      </c>
    </row>
    <row r="1497" customFormat="false" ht="15" hidden="false" customHeight="true" outlineLevel="0" collapsed="false">
      <c r="A1497" s="15" t="n">
        <v>8152</v>
      </c>
      <c r="B1497" s="16" t="s">
        <v>19</v>
      </c>
      <c r="C1497" s="16" t="s">
        <v>2948</v>
      </c>
      <c r="D1497" s="16" t="s">
        <v>2969</v>
      </c>
      <c r="E1497" s="17" t="s">
        <v>2970</v>
      </c>
      <c r="F1497" s="16" t="n">
        <v>37.149225</v>
      </c>
      <c r="G1497" s="16" t="n">
        <v>42.925893</v>
      </c>
      <c r="H1497" s="18" t="n">
        <v>60</v>
      </c>
      <c r="I1497" s="18" t="n">
        <v>360</v>
      </c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 t="n">
        <v>60</v>
      </c>
      <c r="W1497" s="19"/>
      <c r="X1497" s="19"/>
      <c r="Y1497" s="19"/>
      <c r="Z1497" s="19"/>
      <c r="AA1497" s="19"/>
      <c r="AB1497" s="19"/>
      <c r="AC1497" s="19" t="n">
        <v>25</v>
      </c>
      <c r="AD1497" s="19"/>
      <c r="AE1497" s="19"/>
      <c r="AF1497" s="19"/>
      <c r="AG1497" s="19"/>
      <c r="AH1497" s="19" t="n">
        <v>35</v>
      </c>
      <c r="AI1497" s="19"/>
      <c r="AJ1497" s="19"/>
      <c r="AK1497" s="19"/>
      <c r="AL1497" s="19"/>
      <c r="AM1497" s="19"/>
      <c r="AN1497" s="19" t="n">
        <v>60</v>
      </c>
      <c r="AO1497" s="19"/>
      <c r="AP1497" s="19"/>
      <c r="AQ1497" s="19"/>
      <c r="AR1497" s="19"/>
      <c r="AS1497" s="20" t="str">
        <f aca="false">HYPERLINK("http://www.openstreetmap.org/?mlat=37.1492&amp;mlon=42.9259&amp;zoom=12#map=12/37.1492/42.9259","Maplink1")</f>
        <v>Maplink1</v>
      </c>
      <c r="AT1497" s="20" t="str">
        <f aca="false">HYPERLINK("https://www.google.iq/maps/search/+37.1492,42.9259/@37.1492,42.9259,14z?hl=en","Maplink2")</f>
        <v>Maplink2</v>
      </c>
      <c r="AU1497" s="20" t="str">
        <f aca="false">HYPERLINK("http://www.bing.com/maps/?lvl=14&amp;sty=h&amp;cp=37.1492~42.9259&amp;sp=point.37.1492_42.9259","Maplink3")</f>
        <v>Maplink3</v>
      </c>
    </row>
    <row r="1498" customFormat="false" ht="15" hidden="false" customHeight="true" outlineLevel="0" collapsed="false">
      <c r="A1498" s="15" t="n">
        <v>8153</v>
      </c>
      <c r="B1498" s="16" t="s">
        <v>19</v>
      </c>
      <c r="C1498" s="16" t="s">
        <v>2948</v>
      </c>
      <c r="D1498" s="16" t="s">
        <v>2971</v>
      </c>
      <c r="E1498" s="17" t="s">
        <v>2972</v>
      </c>
      <c r="F1498" s="16" t="n">
        <v>37.13114</v>
      </c>
      <c r="G1498" s="16" t="n">
        <v>42.894833</v>
      </c>
      <c r="H1498" s="18" t="n">
        <v>21</v>
      </c>
      <c r="I1498" s="18" t="n">
        <v>126</v>
      </c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 t="n">
        <v>21</v>
      </c>
      <c r="W1498" s="19"/>
      <c r="X1498" s="19"/>
      <c r="Y1498" s="19"/>
      <c r="Z1498" s="19"/>
      <c r="AA1498" s="19"/>
      <c r="AB1498" s="19"/>
      <c r="AC1498" s="19" t="n">
        <v>21</v>
      </c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 t="n">
        <v>21</v>
      </c>
      <c r="AO1498" s="19"/>
      <c r="AP1498" s="19"/>
      <c r="AQ1498" s="19"/>
      <c r="AR1498" s="19"/>
      <c r="AS1498" s="20" t="str">
        <f aca="false">HYPERLINK("http://www.openstreetmap.org/?mlat=37.1311&amp;mlon=42.8948&amp;zoom=12#map=12/37.1311/42.8948","Maplink1")</f>
        <v>Maplink1</v>
      </c>
      <c r="AT1498" s="20" t="str">
        <f aca="false">HYPERLINK("https://www.google.iq/maps/search/+37.1311,42.8948/@37.1311,42.8948,14z?hl=en","Maplink2")</f>
        <v>Maplink2</v>
      </c>
      <c r="AU1498" s="20" t="str">
        <f aca="false">HYPERLINK("http://www.bing.com/maps/?lvl=14&amp;sty=h&amp;cp=37.1311~42.8948&amp;sp=point.37.1311_42.8948","Maplink3")</f>
        <v>Maplink3</v>
      </c>
    </row>
    <row r="1499" customFormat="false" ht="15" hidden="false" customHeight="true" outlineLevel="0" collapsed="false">
      <c r="A1499" s="15" t="n">
        <v>8161</v>
      </c>
      <c r="B1499" s="16" t="s">
        <v>19</v>
      </c>
      <c r="C1499" s="16" t="s">
        <v>2948</v>
      </c>
      <c r="D1499" s="16" t="s">
        <v>2973</v>
      </c>
      <c r="E1499" s="17" t="s">
        <v>2974</v>
      </c>
      <c r="F1499" s="16" t="n">
        <v>37.170143</v>
      </c>
      <c r="G1499" s="16" t="n">
        <v>42.8957</v>
      </c>
      <c r="H1499" s="18" t="n">
        <v>60</v>
      </c>
      <c r="I1499" s="18" t="n">
        <v>360</v>
      </c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 t="n">
        <v>60</v>
      </c>
      <c r="W1499" s="19"/>
      <c r="X1499" s="19"/>
      <c r="Y1499" s="19"/>
      <c r="Z1499" s="19"/>
      <c r="AA1499" s="19"/>
      <c r="AB1499" s="19"/>
      <c r="AC1499" s="19" t="n">
        <v>55</v>
      </c>
      <c r="AD1499" s="19"/>
      <c r="AE1499" s="19"/>
      <c r="AF1499" s="19"/>
      <c r="AG1499" s="19"/>
      <c r="AH1499" s="19"/>
      <c r="AI1499" s="19"/>
      <c r="AJ1499" s="19" t="n">
        <v>5</v>
      </c>
      <c r="AK1499" s="19"/>
      <c r="AL1499" s="19"/>
      <c r="AM1499" s="19"/>
      <c r="AN1499" s="19" t="n">
        <v>60</v>
      </c>
      <c r="AO1499" s="19"/>
      <c r="AP1499" s="19"/>
      <c r="AQ1499" s="19"/>
      <c r="AR1499" s="19"/>
      <c r="AS1499" s="20" t="str">
        <f aca="false">HYPERLINK("http://www.openstreetmap.org/?mlat=37.1701&amp;mlon=42.8957&amp;zoom=12#map=12/37.1701/42.8957","Maplink1")</f>
        <v>Maplink1</v>
      </c>
      <c r="AT1499" s="20" t="str">
        <f aca="false">HYPERLINK("https://www.google.iq/maps/search/+37.1701,42.8957/@37.1701,42.8957,14z?hl=en","Maplink2")</f>
        <v>Maplink2</v>
      </c>
      <c r="AU1499" s="20" t="str">
        <f aca="false">HYPERLINK("http://www.bing.com/maps/?lvl=14&amp;sty=h&amp;cp=37.1701~42.8957&amp;sp=point.37.1701_42.8957","Maplink3")</f>
        <v>Maplink3</v>
      </c>
    </row>
    <row r="1500" customFormat="false" ht="15" hidden="false" customHeight="true" outlineLevel="0" collapsed="false">
      <c r="A1500" s="15" t="n">
        <v>8620</v>
      </c>
      <c r="B1500" s="16" t="s">
        <v>19</v>
      </c>
      <c r="C1500" s="16" t="s">
        <v>2948</v>
      </c>
      <c r="D1500" s="16" t="s">
        <v>2975</v>
      </c>
      <c r="E1500" s="17" t="s">
        <v>2976</v>
      </c>
      <c r="F1500" s="16" t="n">
        <v>37.12277186</v>
      </c>
      <c r="G1500" s="16" t="n">
        <v>42.43722788</v>
      </c>
      <c r="H1500" s="18" t="n">
        <v>56</v>
      </c>
      <c r="I1500" s="18" t="n">
        <v>336</v>
      </c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 t="n">
        <v>56</v>
      </c>
      <c r="W1500" s="19"/>
      <c r="X1500" s="19"/>
      <c r="Y1500" s="19"/>
      <c r="Z1500" s="19"/>
      <c r="AA1500" s="19"/>
      <c r="AB1500" s="19"/>
      <c r="AC1500" s="19" t="n">
        <v>30</v>
      </c>
      <c r="AD1500" s="19"/>
      <c r="AE1500" s="19" t="n">
        <v>2</v>
      </c>
      <c r="AF1500" s="19"/>
      <c r="AG1500" s="19"/>
      <c r="AH1500" s="19"/>
      <c r="AI1500" s="19"/>
      <c r="AJ1500" s="19" t="n">
        <v>24</v>
      </c>
      <c r="AK1500" s="19"/>
      <c r="AL1500" s="19"/>
      <c r="AM1500" s="19"/>
      <c r="AN1500" s="19" t="n">
        <v>56</v>
      </c>
      <c r="AO1500" s="19"/>
      <c r="AP1500" s="19"/>
      <c r="AQ1500" s="19"/>
      <c r="AR1500" s="19"/>
      <c r="AS1500" s="20" t="str">
        <f aca="false">HYPERLINK("http://www.openstreetmap.org/?mlat=37.1228&amp;mlon=42.4372&amp;zoom=12#map=12/37.1228/42.4372","Maplink1")</f>
        <v>Maplink1</v>
      </c>
      <c r="AT1500" s="20" t="str">
        <f aca="false">HYPERLINK("https://www.google.iq/maps/search/+37.1228,42.4372/@37.1228,42.4372,14z?hl=en","Maplink2")</f>
        <v>Maplink2</v>
      </c>
      <c r="AU1500" s="20" t="str">
        <f aca="false">HYPERLINK("http://www.bing.com/maps/?lvl=14&amp;sty=h&amp;cp=37.1228~42.4372&amp;sp=point.37.1228_42.4372","Maplink3")</f>
        <v>Maplink3</v>
      </c>
    </row>
    <row r="1501" customFormat="false" ht="15" hidden="false" customHeight="true" outlineLevel="0" collapsed="false">
      <c r="A1501" s="15" t="n">
        <v>8711</v>
      </c>
      <c r="B1501" s="16" t="s">
        <v>19</v>
      </c>
      <c r="C1501" s="16" t="s">
        <v>2948</v>
      </c>
      <c r="D1501" s="16" t="s">
        <v>2977</v>
      </c>
      <c r="E1501" s="17" t="s">
        <v>2978</v>
      </c>
      <c r="F1501" s="16" t="n">
        <v>37.13836138</v>
      </c>
      <c r="G1501" s="16" t="n">
        <v>42.56318462</v>
      </c>
      <c r="H1501" s="18" t="n">
        <v>148</v>
      </c>
      <c r="I1501" s="18" t="n">
        <v>888</v>
      </c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 t="n">
        <v>148</v>
      </c>
      <c r="W1501" s="19"/>
      <c r="X1501" s="19"/>
      <c r="Y1501" s="19"/>
      <c r="Z1501" s="19"/>
      <c r="AA1501" s="19"/>
      <c r="AB1501" s="19"/>
      <c r="AC1501" s="19" t="n">
        <v>5</v>
      </c>
      <c r="AD1501" s="19"/>
      <c r="AE1501" s="19"/>
      <c r="AF1501" s="19"/>
      <c r="AG1501" s="19"/>
      <c r="AH1501" s="19" t="n">
        <v>129</v>
      </c>
      <c r="AI1501" s="19"/>
      <c r="AJ1501" s="19" t="n">
        <v>14</v>
      </c>
      <c r="AK1501" s="19"/>
      <c r="AL1501" s="19"/>
      <c r="AM1501" s="19"/>
      <c r="AN1501" s="19" t="n">
        <v>148</v>
      </c>
      <c r="AO1501" s="19"/>
      <c r="AP1501" s="19"/>
      <c r="AQ1501" s="19"/>
      <c r="AR1501" s="19"/>
      <c r="AS1501" s="20" t="str">
        <f aca="false">HYPERLINK("http://www.openstreetmap.org/?mlat=37.1384&amp;mlon=42.5632&amp;zoom=12#map=12/37.1384/42.5632","Maplink1")</f>
        <v>Maplink1</v>
      </c>
      <c r="AT1501" s="20" t="str">
        <f aca="false">HYPERLINK("https://www.google.iq/maps/search/+37.1384,42.5632/@37.1384,42.5632,14z?hl=en","Maplink2")</f>
        <v>Maplink2</v>
      </c>
      <c r="AU1501" s="20" t="str">
        <f aca="false">HYPERLINK("http://www.bing.com/maps/?lvl=14&amp;sty=h&amp;cp=37.1384~42.5632&amp;sp=point.37.1384_42.5632","Maplink3")</f>
        <v>Maplink3</v>
      </c>
    </row>
    <row r="1502" customFormat="false" ht="15" hidden="false" customHeight="true" outlineLevel="0" collapsed="false">
      <c r="A1502" s="15" t="n">
        <v>29634</v>
      </c>
      <c r="B1502" s="16" t="s">
        <v>19</v>
      </c>
      <c r="C1502" s="16" t="s">
        <v>2948</v>
      </c>
      <c r="D1502" s="16" t="s">
        <v>2979</v>
      </c>
      <c r="E1502" s="17" t="s">
        <v>2980</v>
      </c>
      <c r="F1502" s="16" t="n">
        <v>37.156446</v>
      </c>
      <c r="G1502" s="16" t="n">
        <v>42.675519</v>
      </c>
      <c r="H1502" s="18" t="n">
        <v>463</v>
      </c>
      <c r="I1502" s="18" t="n">
        <v>2778</v>
      </c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 t="n">
        <v>463</v>
      </c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 t="n">
        <v>150</v>
      </c>
      <c r="AI1502" s="19"/>
      <c r="AJ1502" s="19" t="n">
        <v>313</v>
      </c>
      <c r="AK1502" s="19"/>
      <c r="AL1502" s="19"/>
      <c r="AM1502" s="19" t="n">
        <v>65</v>
      </c>
      <c r="AN1502" s="19" t="n">
        <v>398</v>
      </c>
      <c r="AO1502" s="19"/>
      <c r="AP1502" s="19"/>
      <c r="AQ1502" s="19"/>
      <c r="AR1502" s="19"/>
      <c r="AS1502" s="20" t="str">
        <f aca="false">HYPERLINK("http://www.openstreetmap.org/?mlat=37.1564&amp;mlon=42.6755&amp;zoom=12#map=12/37.1564/42.6755","Maplink1")</f>
        <v>Maplink1</v>
      </c>
      <c r="AT1502" s="20" t="str">
        <f aca="false">HYPERLINK("https://www.google.iq/maps/search/+37.1564,42.6755/@37.1564,42.6755,14z?hl=en","Maplink2")</f>
        <v>Maplink2</v>
      </c>
      <c r="AU1502" s="20" t="str">
        <f aca="false">HYPERLINK("http://www.bing.com/maps/?lvl=14&amp;sty=h&amp;cp=37.1564~42.6755&amp;sp=point.37.1564_42.6755","Maplink3")</f>
        <v>Maplink3</v>
      </c>
    </row>
    <row r="1503" customFormat="false" ht="15" hidden="false" customHeight="true" outlineLevel="0" collapsed="false">
      <c r="A1503" s="15" t="n">
        <v>29635</v>
      </c>
      <c r="B1503" s="16" t="s">
        <v>19</v>
      </c>
      <c r="C1503" s="16" t="s">
        <v>2948</v>
      </c>
      <c r="D1503" s="16" t="s">
        <v>2981</v>
      </c>
      <c r="E1503" s="17" t="s">
        <v>2982</v>
      </c>
      <c r="F1503" s="16" t="n">
        <v>37.156556</v>
      </c>
      <c r="G1503" s="16" t="n">
        <v>42.707596</v>
      </c>
      <c r="H1503" s="18" t="n">
        <v>1224</v>
      </c>
      <c r="I1503" s="18" t="n">
        <v>7344</v>
      </c>
      <c r="J1503" s="19" t="n">
        <v>2</v>
      </c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 t="n">
        <v>1222</v>
      </c>
      <c r="W1503" s="19"/>
      <c r="X1503" s="19"/>
      <c r="Y1503" s="19"/>
      <c r="Z1503" s="19"/>
      <c r="AA1503" s="19"/>
      <c r="AB1503" s="19"/>
      <c r="AC1503" s="19" t="n">
        <v>37</v>
      </c>
      <c r="AD1503" s="19"/>
      <c r="AE1503" s="19"/>
      <c r="AF1503" s="19"/>
      <c r="AG1503" s="19"/>
      <c r="AH1503" s="19" t="n">
        <v>1009</v>
      </c>
      <c r="AI1503" s="19"/>
      <c r="AJ1503" s="19" t="n">
        <v>178</v>
      </c>
      <c r="AK1503" s="19"/>
      <c r="AL1503" s="19" t="n">
        <v>2</v>
      </c>
      <c r="AM1503" s="19" t="n">
        <v>551</v>
      </c>
      <c r="AN1503" s="19" t="n">
        <v>656</v>
      </c>
      <c r="AO1503" s="19"/>
      <c r="AP1503" s="19" t="n">
        <v>15</v>
      </c>
      <c r="AQ1503" s="19"/>
      <c r="AR1503" s="19"/>
      <c r="AS1503" s="20" t="str">
        <f aca="false">HYPERLINK("http://www.openstreetmap.org/?mlat=37.1566&amp;mlon=42.7076&amp;zoom=12#map=12/37.1566/42.7076","Maplink1")</f>
        <v>Maplink1</v>
      </c>
      <c r="AT1503" s="20" t="str">
        <f aca="false">HYPERLINK("https://www.google.iq/maps/search/+37.1566,42.7076/@37.1566,42.7076,14z?hl=en","Maplink2")</f>
        <v>Maplink2</v>
      </c>
      <c r="AU1503" s="20" t="str">
        <f aca="false">HYPERLINK("http://www.bing.com/maps/?lvl=14&amp;sty=h&amp;cp=37.1566~42.7076&amp;sp=point.37.1566_42.7076","Maplink3")</f>
        <v>Maplink3</v>
      </c>
    </row>
    <row r="1504" customFormat="false" ht="15" hidden="false" customHeight="true" outlineLevel="0" collapsed="false">
      <c r="A1504" s="15" t="n">
        <v>29636</v>
      </c>
      <c r="B1504" s="16" t="s">
        <v>19</v>
      </c>
      <c r="C1504" s="16" t="s">
        <v>2948</v>
      </c>
      <c r="D1504" s="16" t="s">
        <v>2983</v>
      </c>
      <c r="E1504" s="17" t="s">
        <v>2984</v>
      </c>
      <c r="F1504" s="16" t="n">
        <v>37.137801</v>
      </c>
      <c r="G1504" s="16" t="n">
        <v>42.674727</v>
      </c>
      <c r="H1504" s="18" t="n">
        <v>544</v>
      </c>
      <c r="I1504" s="18" t="n">
        <v>3264</v>
      </c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 t="n">
        <v>544</v>
      </c>
      <c r="W1504" s="19"/>
      <c r="X1504" s="19"/>
      <c r="Y1504" s="19"/>
      <c r="Z1504" s="19"/>
      <c r="AA1504" s="19"/>
      <c r="AB1504" s="19"/>
      <c r="AC1504" s="19" t="n">
        <v>16</v>
      </c>
      <c r="AD1504" s="19"/>
      <c r="AE1504" s="19"/>
      <c r="AF1504" s="19"/>
      <c r="AG1504" s="19"/>
      <c r="AH1504" s="19" t="n">
        <v>432</v>
      </c>
      <c r="AI1504" s="19"/>
      <c r="AJ1504" s="19" t="n">
        <v>96</v>
      </c>
      <c r="AK1504" s="19"/>
      <c r="AL1504" s="19"/>
      <c r="AM1504" s="19" t="n">
        <v>253</v>
      </c>
      <c r="AN1504" s="19" t="n">
        <v>291</v>
      </c>
      <c r="AO1504" s="19"/>
      <c r="AP1504" s="19"/>
      <c r="AQ1504" s="19"/>
      <c r="AR1504" s="19"/>
      <c r="AS1504" s="20" t="str">
        <f aca="false">HYPERLINK("http://www.openstreetmap.org/?mlat=37.1378&amp;mlon=42.6747&amp;zoom=12#map=12/37.1378/42.6747","Maplink1")</f>
        <v>Maplink1</v>
      </c>
      <c r="AT1504" s="20" t="str">
        <f aca="false">HYPERLINK("https://www.google.iq/maps/search/+37.1378,42.6747/@37.1378,42.6747,14z?hl=en","Maplink2")</f>
        <v>Maplink2</v>
      </c>
      <c r="AU1504" s="20" t="str">
        <f aca="false">HYPERLINK("http://www.bing.com/maps/?lvl=14&amp;sty=h&amp;cp=37.1378~42.6747&amp;sp=point.37.1378_42.6747","Maplink3")</f>
        <v>Maplink3</v>
      </c>
    </row>
    <row r="1505" customFormat="false" ht="15" hidden="false" customHeight="true" outlineLevel="0" collapsed="false">
      <c r="A1505" s="15" t="n">
        <v>29637</v>
      </c>
      <c r="B1505" s="16" t="s">
        <v>19</v>
      </c>
      <c r="C1505" s="16" t="s">
        <v>2948</v>
      </c>
      <c r="D1505" s="16" t="s">
        <v>2985</v>
      </c>
      <c r="E1505" s="17" t="s">
        <v>2986</v>
      </c>
      <c r="F1505" s="16" t="n">
        <v>37.147144</v>
      </c>
      <c r="G1505" s="16" t="n">
        <v>42.682487</v>
      </c>
      <c r="H1505" s="18" t="n">
        <v>1060</v>
      </c>
      <c r="I1505" s="18" t="n">
        <v>6360</v>
      </c>
      <c r="J1505" s="19" t="n">
        <v>12</v>
      </c>
      <c r="K1505" s="19"/>
      <c r="L1505" s="19" t="n">
        <v>6</v>
      </c>
      <c r="M1505" s="19"/>
      <c r="N1505" s="19"/>
      <c r="O1505" s="19"/>
      <c r="P1505" s="19"/>
      <c r="Q1505" s="19"/>
      <c r="R1505" s="19"/>
      <c r="S1505" s="19"/>
      <c r="T1505" s="19"/>
      <c r="U1505" s="19"/>
      <c r="V1505" s="19" t="n">
        <v>1035</v>
      </c>
      <c r="W1505" s="19"/>
      <c r="X1505" s="19" t="n">
        <v>7</v>
      </c>
      <c r="Y1505" s="19"/>
      <c r="Z1505" s="19"/>
      <c r="AA1505" s="19"/>
      <c r="AB1505" s="19"/>
      <c r="AC1505" s="19" t="n">
        <v>5</v>
      </c>
      <c r="AD1505" s="19"/>
      <c r="AE1505" s="19" t="n">
        <v>7</v>
      </c>
      <c r="AF1505" s="19"/>
      <c r="AG1505" s="19" t="n">
        <v>9</v>
      </c>
      <c r="AH1505" s="19" t="n">
        <v>821</v>
      </c>
      <c r="AI1505" s="19"/>
      <c r="AJ1505" s="19" t="n">
        <v>218</v>
      </c>
      <c r="AK1505" s="19"/>
      <c r="AL1505" s="19" t="n">
        <v>12</v>
      </c>
      <c r="AM1505" s="19" t="n">
        <v>441</v>
      </c>
      <c r="AN1505" s="19" t="n">
        <v>607</v>
      </c>
      <c r="AO1505" s="19"/>
      <c r="AP1505" s="19"/>
      <c r="AQ1505" s="19"/>
      <c r="AR1505" s="19"/>
      <c r="AS1505" s="20" t="str">
        <f aca="false">HYPERLINK("http://www.openstreetmap.org/?mlat=37.1471&amp;mlon=42.6825&amp;zoom=12#map=12/37.1471/42.6825","Maplink1")</f>
        <v>Maplink1</v>
      </c>
      <c r="AT1505" s="20" t="str">
        <f aca="false">HYPERLINK("https://www.google.iq/maps/search/+37.1471,42.6825/@37.1471,42.6825,14z?hl=en","Maplink2")</f>
        <v>Maplink2</v>
      </c>
      <c r="AU1505" s="20" t="str">
        <f aca="false">HYPERLINK("http://www.bing.com/maps/?lvl=14&amp;sty=h&amp;cp=37.1471~42.6825&amp;sp=point.37.1471_42.6825","Maplink3")</f>
        <v>Maplink3</v>
      </c>
    </row>
    <row r="1506" customFormat="false" ht="15" hidden="false" customHeight="true" outlineLevel="0" collapsed="false">
      <c r="A1506" s="15" t="n">
        <v>29638</v>
      </c>
      <c r="B1506" s="16" t="s">
        <v>19</v>
      </c>
      <c r="C1506" s="16" t="s">
        <v>2948</v>
      </c>
      <c r="D1506" s="16" t="s">
        <v>2987</v>
      </c>
      <c r="E1506" s="17" t="s">
        <v>2988</v>
      </c>
      <c r="F1506" s="16" t="n">
        <v>37.142432</v>
      </c>
      <c r="G1506" s="16" t="n">
        <v>42.67672</v>
      </c>
      <c r="H1506" s="18" t="n">
        <v>727</v>
      </c>
      <c r="I1506" s="18" t="n">
        <v>4362</v>
      </c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 t="n">
        <v>724</v>
      </c>
      <c r="W1506" s="19"/>
      <c r="X1506" s="19" t="n">
        <v>3</v>
      </c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 t="n">
        <v>727</v>
      </c>
      <c r="AI1506" s="19"/>
      <c r="AJ1506" s="19"/>
      <c r="AK1506" s="19"/>
      <c r="AL1506" s="19"/>
      <c r="AM1506" s="19" t="n">
        <v>302</v>
      </c>
      <c r="AN1506" s="19" t="n">
        <v>425</v>
      </c>
      <c r="AO1506" s="19"/>
      <c r="AP1506" s="19"/>
      <c r="AQ1506" s="19"/>
      <c r="AR1506" s="19"/>
      <c r="AS1506" s="20" t="str">
        <f aca="false">HYPERLINK("http://www.openstreetmap.org/?mlat=37.1424&amp;mlon=42.6767&amp;zoom=12#map=12/37.1424/42.6767","Maplink1")</f>
        <v>Maplink1</v>
      </c>
      <c r="AT1506" s="20" t="str">
        <f aca="false">HYPERLINK("https://www.google.iq/maps/search/+37.1424,42.6767/@37.1424,42.6767,14z?hl=en","Maplink2")</f>
        <v>Maplink2</v>
      </c>
      <c r="AU1506" s="20" t="str">
        <f aca="false">HYPERLINK("http://www.bing.com/maps/?lvl=14&amp;sty=h&amp;cp=37.1424~42.6767&amp;sp=point.37.1424_42.6767","Maplink3")</f>
        <v>Maplink3</v>
      </c>
    </row>
    <row r="1507" customFormat="false" ht="15" hidden="false" customHeight="true" outlineLevel="0" collapsed="false">
      <c r="A1507" s="15" t="n">
        <v>29639</v>
      </c>
      <c r="B1507" s="16" t="s">
        <v>19</v>
      </c>
      <c r="C1507" s="16" t="s">
        <v>2948</v>
      </c>
      <c r="D1507" s="16" t="s">
        <v>2989</v>
      </c>
      <c r="E1507" s="17" t="s">
        <v>2990</v>
      </c>
      <c r="F1507" s="16" t="n">
        <v>37.149053</v>
      </c>
      <c r="G1507" s="16" t="n">
        <v>42.747979</v>
      </c>
      <c r="H1507" s="18" t="n">
        <v>3689</v>
      </c>
      <c r="I1507" s="18" t="n">
        <v>22134</v>
      </c>
      <c r="J1507" s="19" t="n">
        <v>2</v>
      </c>
      <c r="K1507" s="19"/>
      <c r="L1507" s="19" t="n">
        <v>33</v>
      </c>
      <c r="M1507" s="19"/>
      <c r="N1507" s="19"/>
      <c r="O1507" s="19"/>
      <c r="P1507" s="19"/>
      <c r="Q1507" s="19"/>
      <c r="R1507" s="19"/>
      <c r="S1507" s="19"/>
      <c r="T1507" s="19"/>
      <c r="U1507" s="19"/>
      <c r="V1507" s="19" t="n">
        <v>3628</v>
      </c>
      <c r="W1507" s="19"/>
      <c r="X1507" s="19" t="n">
        <v>26</v>
      </c>
      <c r="Y1507" s="19"/>
      <c r="Z1507" s="19"/>
      <c r="AA1507" s="19"/>
      <c r="AB1507" s="19"/>
      <c r="AC1507" s="19" t="n">
        <v>195</v>
      </c>
      <c r="AD1507" s="19"/>
      <c r="AE1507" s="19"/>
      <c r="AF1507" s="19"/>
      <c r="AG1507" s="19"/>
      <c r="AH1507" s="19" t="n">
        <v>3301</v>
      </c>
      <c r="AI1507" s="19"/>
      <c r="AJ1507" s="19" t="n">
        <v>193</v>
      </c>
      <c r="AK1507" s="19"/>
      <c r="AL1507" s="19" t="n">
        <v>2</v>
      </c>
      <c r="AM1507" s="19" t="n">
        <v>1659</v>
      </c>
      <c r="AN1507" s="19" t="n">
        <v>2015</v>
      </c>
      <c r="AO1507" s="19"/>
      <c r="AP1507" s="19" t="n">
        <v>13</v>
      </c>
      <c r="AQ1507" s="19"/>
      <c r="AR1507" s="19"/>
      <c r="AS1507" s="20" t="str">
        <f aca="false">HYPERLINK("http://www.openstreetmap.org/?mlat=37.1491&amp;mlon=42.748&amp;zoom=12#map=12/37.1491/42.748","Maplink1")</f>
        <v>Maplink1</v>
      </c>
      <c r="AT1507" s="20" t="str">
        <f aca="false">HYPERLINK("https://www.google.iq/maps/search/+37.1491,42.748/@37.1491,42.748,14z?hl=en","Maplink2")</f>
        <v>Maplink2</v>
      </c>
      <c r="AU1507" s="20" t="str">
        <f aca="false">HYPERLINK("http://www.bing.com/maps/?lvl=14&amp;sty=h&amp;cp=37.1491~42.748&amp;sp=point.37.1491_42.748","Maplink3")</f>
        <v>Maplink3</v>
      </c>
    </row>
    <row r="1508" customFormat="false" ht="15" hidden="false" customHeight="true" outlineLevel="0" collapsed="false">
      <c r="A1508" s="15" t="n">
        <v>29640</v>
      </c>
      <c r="B1508" s="16" t="s">
        <v>19</v>
      </c>
      <c r="C1508" s="16" t="s">
        <v>2948</v>
      </c>
      <c r="D1508" s="16" t="s">
        <v>2991</v>
      </c>
      <c r="E1508" s="17" t="s">
        <v>2992</v>
      </c>
      <c r="F1508" s="16" t="n">
        <v>37.1599</v>
      </c>
      <c r="G1508" s="16" t="n">
        <v>42.679255</v>
      </c>
      <c r="H1508" s="18" t="n">
        <v>1064</v>
      </c>
      <c r="I1508" s="18" t="n">
        <v>6384</v>
      </c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 t="n">
        <v>1064</v>
      </c>
      <c r="W1508" s="19"/>
      <c r="X1508" s="19"/>
      <c r="Y1508" s="19"/>
      <c r="Z1508" s="19"/>
      <c r="AA1508" s="19"/>
      <c r="AB1508" s="19"/>
      <c r="AC1508" s="19" t="n">
        <v>75</v>
      </c>
      <c r="AD1508" s="19"/>
      <c r="AE1508" s="19"/>
      <c r="AF1508" s="19"/>
      <c r="AG1508" s="19"/>
      <c r="AH1508" s="19" t="n">
        <v>934</v>
      </c>
      <c r="AI1508" s="19"/>
      <c r="AJ1508" s="19" t="n">
        <v>55</v>
      </c>
      <c r="AK1508" s="19"/>
      <c r="AL1508" s="19"/>
      <c r="AM1508" s="19" t="n">
        <v>170</v>
      </c>
      <c r="AN1508" s="19" t="n">
        <v>844</v>
      </c>
      <c r="AO1508" s="19"/>
      <c r="AP1508" s="19" t="n">
        <v>50</v>
      </c>
      <c r="AQ1508" s="19"/>
      <c r="AR1508" s="19"/>
      <c r="AS1508" s="20" t="str">
        <f aca="false">HYPERLINK("http://www.openstreetmap.org/?mlat=37.1599&amp;mlon=42.6793&amp;zoom=12#map=12/37.1599/42.6793","Maplink1")</f>
        <v>Maplink1</v>
      </c>
      <c r="AT1508" s="20" t="str">
        <f aca="false">HYPERLINK("https://www.google.iq/maps/search/+37.1599,42.6793/@37.1599,42.6793,14z?hl=en","Maplink2")</f>
        <v>Maplink2</v>
      </c>
      <c r="AU1508" s="20" t="str">
        <f aca="false">HYPERLINK("http://www.bing.com/maps/?lvl=14&amp;sty=h&amp;cp=37.1599~42.6793&amp;sp=point.37.1599_42.6793","Maplink3")</f>
        <v>Maplink3</v>
      </c>
    </row>
    <row r="1509" customFormat="false" ht="15" hidden="false" customHeight="true" outlineLevel="0" collapsed="false">
      <c r="A1509" s="15" t="n">
        <v>29641</v>
      </c>
      <c r="B1509" s="16" t="s">
        <v>19</v>
      </c>
      <c r="C1509" s="16" t="s">
        <v>2948</v>
      </c>
      <c r="D1509" s="16" t="s">
        <v>2993</v>
      </c>
      <c r="E1509" s="17" t="s">
        <v>2994</v>
      </c>
      <c r="F1509" s="16" t="n">
        <v>37.060056</v>
      </c>
      <c r="G1509" s="16" t="n">
        <v>42.734918</v>
      </c>
      <c r="H1509" s="18" t="n">
        <v>417</v>
      </c>
      <c r="I1509" s="18" t="n">
        <v>2502</v>
      </c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 t="n">
        <v>417</v>
      </c>
      <c r="W1509" s="19"/>
      <c r="X1509" s="19"/>
      <c r="Y1509" s="19"/>
      <c r="Z1509" s="19"/>
      <c r="AA1509" s="19"/>
      <c r="AB1509" s="19"/>
      <c r="AC1509" s="19" t="n">
        <v>20</v>
      </c>
      <c r="AD1509" s="19"/>
      <c r="AE1509" s="19"/>
      <c r="AF1509" s="19"/>
      <c r="AG1509" s="19"/>
      <c r="AH1509" s="19" t="n">
        <v>257</v>
      </c>
      <c r="AI1509" s="19"/>
      <c r="AJ1509" s="19" t="n">
        <v>140</v>
      </c>
      <c r="AK1509" s="19"/>
      <c r="AL1509" s="19"/>
      <c r="AM1509" s="19" t="n">
        <v>100</v>
      </c>
      <c r="AN1509" s="19" t="n">
        <v>317</v>
      </c>
      <c r="AO1509" s="19"/>
      <c r="AP1509" s="19"/>
      <c r="AQ1509" s="19"/>
      <c r="AR1509" s="19"/>
      <c r="AS1509" s="20" t="str">
        <f aca="false">HYPERLINK("http://www.openstreetmap.org/?mlat=37.0601&amp;mlon=42.7349&amp;zoom=12#map=12/37.0601/42.7349","Maplink1")</f>
        <v>Maplink1</v>
      </c>
      <c r="AT1509" s="20" t="str">
        <f aca="false">HYPERLINK("https://www.google.iq/maps/search/+37.0601,42.7349/@37.0601,42.7349,14z?hl=en","Maplink2")</f>
        <v>Maplink2</v>
      </c>
      <c r="AU1509" s="20" t="str">
        <f aca="false">HYPERLINK("http://www.bing.com/maps/?lvl=14&amp;sty=h&amp;cp=37.0601~42.7349&amp;sp=point.37.0601_42.7349","Maplink3")</f>
        <v>Maplink3</v>
      </c>
    </row>
    <row r="1510" customFormat="false" ht="15" hidden="false" customHeight="true" outlineLevel="0" collapsed="false">
      <c r="A1510" s="15" t="n">
        <v>8560</v>
      </c>
      <c r="B1510" s="16" t="s">
        <v>19</v>
      </c>
      <c r="C1510" s="16" t="s">
        <v>2948</v>
      </c>
      <c r="D1510" s="16" t="s">
        <v>2995</v>
      </c>
      <c r="E1510" s="17" t="s">
        <v>2996</v>
      </c>
      <c r="F1510" s="16" t="n">
        <v>37.12710932</v>
      </c>
      <c r="G1510" s="16" t="n">
        <v>42.50546201</v>
      </c>
      <c r="H1510" s="18" t="n">
        <v>20</v>
      </c>
      <c r="I1510" s="18" t="n">
        <v>120</v>
      </c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 t="n">
        <v>20</v>
      </c>
      <c r="W1510" s="19"/>
      <c r="X1510" s="19"/>
      <c r="Y1510" s="19"/>
      <c r="Z1510" s="19"/>
      <c r="AA1510" s="19"/>
      <c r="AB1510" s="19"/>
      <c r="AC1510" s="19" t="n">
        <v>4</v>
      </c>
      <c r="AD1510" s="19"/>
      <c r="AE1510" s="19"/>
      <c r="AF1510" s="19"/>
      <c r="AG1510" s="19"/>
      <c r="AH1510" s="19"/>
      <c r="AI1510" s="19"/>
      <c r="AJ1510" s="19" t="n">
        <v>16</v>
      </c>
      <c r="AK1510" s="19"/>
      <c r="AL1510" s="19"/>
      <c r="AM1510" s="19"/>
      <c r="AN1510" s="19" t="n">
        <v>20</v>
      </c>
      <c r="AO1510" s="19"/>
      <c r="AP1510" s="19"/>
      <c r="AQ1510" s="19"/>
      <c r="AR1510" s="19"/>
      <c r="AS1510" s="20" t="str">
        <f aca="false">HYPERLINK("http://www.openstreetmap.org/?mlat=37.1271&amp;mlon=42.5055&amp;zoom=12#map=12/37.1271/42.5055","Maplink1")</f>
        <v>Maplink1</v>
      </c>
      <c r="AT1510" s="20" t="str">
        <f aca="false">HYPERLINK("https://www.google.iq/maps/search/+37.1271,42.5055/@37.1271,42.5055,14z?hl=en","Maplink2")</f>
        <v>Maplink2</v>
      </c>
      <c r="AU1510" s="20" t="str">
        <f aca="false">HYPERLINK("http://www.bing.com/maps/?lvl=14&amp;sty=h&amp;cp=37.1271~42.5055&amp;sp=point.37.1271_42.5055","Maplink3")</f>
        <v>Maplink3</v>
      </c>
    </row>
    <row r="1511" customFormat="false" ht="15" hidden="false" customHeight="true" outlineLevel="0" collapsed="false">
      <c r="A1511" s="15" t="n">
        <v>25032</v>
      </c>
      <c r="B1511" s="16" t="s">
        <v>20</v>
      </c>
      <c r="C1511" s="16" t="s">
        <v>2997</v>
      </c>
      <c r="D1511" s="16" t="s">
        <v>2998</v>
      </c>
      <c r="E1511" s="17" t="s">
        <v>300</v>
      </c>
      <c r="F1511" s="16" t="n">
        <v>33.78262522</v>
      </c>
      <c r="G1511" s="16" t="n">
        <v>44.51620971</v>
      </c>
      <c r="H1511" s="18" t="n">
        <v>25</v>
      </c>
      <c r="I1511" s="18" t="n">
        <v>150</v>
      </c>
      <c r="J1511" s="19" t="n">
        <v>3</v>
      </c>
      <c r="K1511" s="19"/>
      <c r="L1511" s="19"/>
      <c r="M1511" s="19"/>
      <c r="N1511" s="19"/>
      <c r="O1511" s="19" t="n">
        <v>12</v>
      </c>
      <c r="P1511" s="19"/>
      <c r="Q1511" s="19"/>
      <c r="R1511" s="19"/>
      <c r="S1511" s="19"/>
      <c r="T1511" s="19"/>
      <c r="U1511" s="19"/>
      <c r="V1511" s="19"/>
      <c r="W1511" s="19"/>
      <c r="X1511" s="19" t="n">
        <v>10</v>
      </c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 t="n">
        <v>25</v>
      </c>
      <c r="AI1511" s="19"/>
      <c r="AJ1511" s="19"/>
      <c r="AK1511" s="19"/>
      <c r="AL1511" s="19"/>
      <c r="AM1511" s="19" t="n">
        <v>8</v>
      </c>
      <c r="AN1511" s="19"/>
      <c r="AO1511" s="19" t="n">
        <v>17</v>
      </c>
      <c r="AP1511" s="19"/>
      <c r="AQ1511" s="19"/>
      <c r="AR1511" s="19"/>
      <c r="AS1511" s="20" t="str">
        <f aca="false">HYPERLINK("http://www.openstreetmap.org/?mlat=33.7826&amp;mlon=44.5162&amp;zoom=12#map=12/33.7826/44.5162","Maplink1")</f>
        <v>Maplink1</v>
      </c>
      <c r="AT1511" s="20" t="str">
        <f aca="false">HYPERLINK("https://www.google.iq/maps/search/+33.7826,44.5162/@33.7826,44.5162,14z?hl=en","Maplink2")</f>
        <v>Maplink2</v>
      </c>
      <c r="AU1511" s="20" t="str">
        <f aca="false">HYPERLINK("http://www.bing.com/maps/?lvl=14&amp;sty=h&amp;cp=33.7826~44.5162&amp;sp=point.33.7826_44.5162","Maplink3")</f>
        <v>Maplink3</v>
      </c>
    </row>
    <row r="1512" customFormat="false" ht="15" hidden="false" customHeight="true" outlineLevel="0" collapsed="false">
      <c r="A1512" s="15" t="n">
        <v>24094</v>
      </c>
      <c r="B1512" s="16" t="s">
        <v>20</v>
      </c>
      <c r="C1512" s="16" t="s">
        <v>2997</v>
      </c>
      <c r="D1512" s="16" t="s">
        <v>2999</v>
      </c>
      <c r="E1512" s="17" t="s">
        <v>3000</v>
      </c>
      <c r="F1512" s="16" t="n">
        <v>33.97457192</v>
      </c>
      <c r="G1512" s="16" t="n">
        <v>44.41410297</v>
      </c>
      <c r="H1512" s="18" t="n">
        <v>50</v>
      </c>
      <c r="I1512" s="18" t="n">
        <v>300</v>
      </c>
      <c r="J1512" s="19" t="n">
        <v>50</v>
      </c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 t="n">
        <v>50</v>
      </c>
      <c r="AD1512" s="19"/>
      <c r="AE1512" s="19"/>
      <c r="AF1512" s="19"/>
      <c r="AG1512" s="19"/>
      <c r="AH1512" s="19"/>
      <c r="AI1512" s="19"/>
      <c r="AJ1512" s="19"/>
      <c r="AK1512" s="19"/>
      <c r="AL1512" s="19" t="n">
        <v>15</v>
      </c>
      <c r="AM1512" s="19"/>
      <c r="AN1512" s="19"/>
      <c r="AO1512" s="19"/>
      <c r="AP1512" s="19" t="n">
        <v>35</v>
      </c>
      <c r="AQ1512" s="19"/>
      <c r="AR1512" s="19"/>
      <c r="AS1512" s="20" t="str">
        <f aca="false">HYPERLINK("http://www.openstreetmap.org/?mlat=33.9746&amp;mlon=44.4141&amp;zoom=12#map=12/33.9746/44.4141","Maplink1")</f>
        <v>Maplink1</v>
      </c>
      <c r="AT1512" s="20" t="str">
        <f aca="false">HYPERLINK("https://www.google.iq/maps/search/+33.9746,44.4141/@33.9746,44.4141,14z?hl=en","Maplink2")</f>
        <v>Maplink2</v>
      </c>
      <c r="AU1512" s="20" t="str">
        <f aca="false">HYPERLINK("http://www.bing.com/maps/?lvl=14&amp;sty=h&amp;cp=33.9746~44.4141&amp;sp=point.33.9746_44.4141","Maplink3")</f>
        <v>Maplink3</v>
      </c>
    </row>
    <row r="1513" customFormat="false" ht="15" hidden="false" customHeight="true" outlineLevel="0" collapsed="false">
      <c r="A1513" s="15" t="n">
        <v>11195</v>
      </c>
      <c r="B1513" s="16" t="s">
        <v>20</v>
      </c>
      <c r="C1513" s="16" t="s">
        <v>2997</v>
      </c>
      <c r="D1513" s="16" t="s">
        <v>3001</v>
      </c>
      <c r="E1513" s="17" t="s">
        <v>3002</v>
      </c>
      <c r="F1513" s="16" t="n">
        <v>33.73146527</v>
      </c>
      <c r="G1513" s="16" t="n">
        <v>44.48051638</v>
      </c>
      <c r="H1513" s="18" t="n">
        <v>60</v>
      </c>
      <c r="I1513" s="18" t="n">
        <v>360</v>
      </c>
      <c r="J1513" s="19" t="n">
        <v>10</v>
      </c>
      <c r="K1513" s="19"/>
      <c r="L1513" s="19"/>
      <c r="M1513" s="19"/>
      <c r="N1513" s="19"/>
      <c r="O1513" s="19" t="n">
        <v>42</v>
      </c>
      <c r="P1513" s="19"/>
      <c r="Q1513" s="19"/>
      <c r="R1513" s="19" t="n">
        <v>1</v>
      </c>
      <c r="S1513" s="19"/>
      <c r="T1513" s="19"/>
      <c r="U1513" s="19"/>
      <c r="V1513" s="19"/>
      <c r="W1513" s="19"/>
      <c r="X1513" s="19" t="n">
        <v>7</v>
      </c>
      <c r="Y1513" s="19"/>
      <c r="Z1513" s="19"/>
      <c r="AA1513" s="19"/>
      <c r="AB1513" s="19"/>
      <c r="AC1513" s="19" t="n">
        <v>7</v>
      </c>
      <c r="AD1513" s="19"/>
      <c r="AE1513" s="19"/>
      <c r="AF1513" s="19"/>
      <c r="AG1513" s="19"/>
      <c r="AH1513" s="19" t="n">
        <v>30</v>
      </c>
      <c r="AI1513" s="19"/>
      <c r="AJ1513" s="19" t="n">
        <v>23</v>
      </c>
      <c r="AK1513" s="19"/>
      <c r="AL1513" s="19"/>
      <c r="AM1513" s="19"/>
      <c r="AN1513" s="19"/>
      <c r="AO1513" s="19" t="n">
        <v>49</v>
      </c>
      <c r="AP1513" s="19" t="n">
        <v>10</v>
      </c>
      <c r="AQ1513" s="19" t="n">
        <v>1</v>
      </c>
      <c r="AR1513" s="19"/>
      <c r="AS1513" s="20" t="str">
        <f aca="false">HYPERLINK("http://www.openstreetmap.org/?mlat=33.7315&amp;mlon=44.4805&amp;zoom=12#map=12/33.7315/44.4805","Maplink1")</f>
        <v>Maplink1</v>
      </c>
      <c r="AT1513" s="20" t="str">
        <f aca="false">HYPERLINK("https://www.google.iq/maps/search/+33.7315,44.4805/@33.7315,44.4805,14z?hl=en","Maplink2")</f>
        <v>Maplink2</v>
      </c>
      <c r="AU1513" s="20" t="str">
        <f aca="false">HYPERLINK("http://www.bing.com/maps/?lvl=14&amp;sty=h&amp;cp=33.7315~44.4805&amp;sp=point.33.7315_44.4805","Maplink3")</f>
        <v>Maplink3</v>
      </c>
    </row>
    <row r="1514" customFormat="false" ht="15" hidden="false" customHeight="true" outlineLevel="0" collapsed="false">
      <c r="A1514" s="15" t="n">
        <v>25022</v>
      </c>
      <c r="B1514" s="16" t="s">
        <v>20</v>
      </c>
      <c r="C1514" s="16" t="s">
        <v>2997</v>
      </c>
      <c r="D1514" s="16" t="s">
        <v>3003</v>
      </c>
      <c r="E1514" s="17" t="s">
        <v>3004</v>
      </c>
      <c r="F1514" s="16" t="n">
        <v>33.691947</v>
      </c>
      <c r="G1514" s="16" t="n">
        <v>44.43540133</v>
      </c>
      <c r="H1514" s="18" t="n">
        <v>35</v>
      </c>
      <c r="I1514" s="18" t="n">
        <v>210</v>
      </c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 t="n">
        <v>30</v>
      </c>
      <c r="W1514" s="19"/>
      <c r="X1514" s="19" t="n">
        <v>5</v>
      </c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 t="n">
        <v>35</v>
      </c>
      <c r="AI1514" s="19"/>
      <c r="AJ1514" s="19"/>
      <c r="AK1514" s="19"/>
      <c r="AL1514" s="19"/>
      <c r="AM1514" s="19" t="n">
        <v>30</v>
      </c>
      <c r="AN1514" s="19" t="n">
        <v>5</v>
      </c>
      <c r="AO1514" s="19"/>
      <c r="AP1514" s="19"/>
      <c r="AQ1514" s="19"/>
      <c r="AR1514" s="19"/>
      <c r="AS1514" s="20" t="str">
        <f aca="false">HYPERLINK("http://www.openstreetmap.org/?mlat=33.6919&amp;mlon=44.4354&amp;zoom=12#map=12/33.6919/44.4354","Maplink1")</f>
        <v>Maplink1</v>
      </c>
      <c r="AT1514" s="20" t="str">
        <f aca="false">HYPERLINK("https://www.google.iq/maps/search/+33.6919,44.4354/@33.6919,44.4354,14z?hl=en","Maplink2")</f>
        <v>Maplink2</v>
      </c>
      <c r="AU1514" s="20" t="str">
        <f aca="false">HYPERLINK("http://www.bing.com/maps/?lvl=14&amp;sty=h&amp;cp=33.6919~44.4354&amp;sp=point.33.6919_44.4354","Maplink3")</f>
        <v>Maplink3</v>
      </c>
    </row>
    <row r="1515" customFormat="false" ht="15" hidden="false" customHeight="true" outlineLevel="0" collapsed="false">
      <c r="A1515" s="15" t="n">
        <v>23966</v>
      </c>
      <c r="B1515" s="16" t="s">
        <v>20</v>
      </c>
      <c r="C1515" s="16" t="s">
        <v>2997</v>
      </c>
      <c r="D1515" s="16" t="s">
        <v>3005</v>
      </c>
      <c r="E1515" s="17" t="s">
        <v>3006</v>
      </c>
      <c r="F1515" s="16" t="n">
        <v>33.76836894</v>
      </c>
      <c r="G1515" s="16" t="n">
        <v>44.56361976</v>
      </c>
      <c r="H1515" s="18" t="n">
        <v>180</v>
      </c>
      <c r="I1515" s="18" t="n">
        <v>1080</v>
      </c>
      <c r="J1515" s="19" t="n">
        <v>6</v>
      </c>
      <c r="K1515" s="19"/>
      <c r="L1515" s="19"/>
      <c r="M1515" s="19"/>
      <c r="N1515" s="19"/>
      <c r="O1515" s="19" t="n">
        <v>167</v>
      </c>
      <c r="P1515" s="19"/>
      <c r="Q1515" s="19"/>
      <c r="R1515" s="19"/>
      <c r="S1515" s="19"/>
      <c r="T1515" s="19"/>
      <c r="U1515" s="19"/>
      <c r="V1515" s="19"/>
      <c r="W1515" s="19"/>
      <c r="X1515" s="19" t="n">
        <v>7</v>
      </c>
      <c r="Y1515" s="19"/>
      <c r="Z1515" s="19"/>
      <c r="AA1515" s="19"/>
      <c r="AB1515" s="19"/>
      <c r="AC1515" s="19" t="n">
        <v>98</v>
      </c>
      <c r="AD1515" s="19"/>
      <c r="AE1515" s="19"/>
      <c r="AF1515" s="19"/>
      <c r="AG1515" s="19"/>
      <c r="AH1515" s="19" t="n">
        <v>32</v>
      </c>
      <c r="AI1515" s="19"/>
      <c r="AJ1515" s="19" t="n">
        <v>50</v>
      </c>
      <c r="AK1515" s="19"/>
      <c r="AL1515" s="19" t="n">
        <v>6</v>
      </c>
      <c r="AM1515" s="19"/>
      <c r="AN1515" s="19" t="n">
        <v>10</v>
      </c>
      <c r="AO1515" s="19" t="n">
        <v>157</v>
      </c>
      <c r="AP1515" s="19" t="n">
        <v>7</v>
      </c>
      <c r="AQ1515" s="19"/>
      <c r="AR1515" s="19"/>
      <c r="AS1515" s="20" t="str">
        <f aca="false">HYPERLINK("http://www.openstreetmap.org/?mlat=33.7684&amp;mlon=44.5636&amp;zoom=12#map=12/33.7684/44.5636","Maplink1")</f>
        <v>Maplink1</v>
      </c>
      <c r="AT1515" s="20" t="str">
        <f aca="false">HYPERLINK("https://www.google.iq/maps/search/+33.7684,44.5636/@33.7684,44.5636,14z?hl=en","Maplink2")</f>
        <v>Maplink2</v>
      </c>
      <c r="AU1515" s="20" t="str">
        <f aca="false">HYPERLINK("http://www.bing.com/maps/?lvl=14&amp;sty=h&amp;cp=33.7684~44.5636&amp;sp=point.33.7684_44.5636","Maplink3")</f>
        <v>Maplink3</v>
      </c>
    </row>
    <row r="1516" customFormat="false" ht="15" hidden="false" customHeight="true" outlineLevel="0" collapsed="false">
      <c r="A1516" s="15" t="n">
        <v>25814</v>
      </c>
      <c r="B1516" s="16" t="s">
        <v>20</v>
      </c>
      <c r="C1516" s="16" t="s">
        <v>2997</v>
      </c>
      <c r="D1516" s="16" t="s">
        <v>3007</v>
      </c>
      <c r="E1516" s="17" t="s">
        <v>3008</v>
      </c>
      <c r="F1516" s="16" t="n">
        <v>33.77636511</v>
      </c>
      <c r="G1516" s="16" t="n">
        <v>44.56509314</v>
      </c>
      <c r="H1516" s="18" t="n">
        <v>39</v>
      </c>
      <c r="I1516" s="18" t="n">
        <v>234</v>
      </c>
      <c r="J1516" s="19" t="n">
        <v>25</v>
      </c>
      <c r="K1516" s="19"/>
      <c r="L1516" s="19"/>
      <c r="M1516" s="19"/>
      <c r="N1516" s="19"/>
      <c r="O1516" s="19" t="n">
        <v>10</v>
      </c>
      <c r="P1516" s="19"/>
      <c r="Q1516" s="19"/>
      <c r="R1516" s="19"/>
      <c r="S1516" s="19"/>
      <c r="T1516" s="19"/>
      <c r="U1516" s="19"/>
      <c r="V1516" s="19"/>
      <c r="W1516" s="19"/>
      <c r="X1516" s="19" t="n">
        <v>4</v>
      </c>
      <c r="Y1516" s="19"/>
      <c r="Z1516" s="19"/>
      <c r="AA1516" s="19"/>
      <c r="AB1516" s="19"/>
      <c r="AC1516" s="19" t="n">
        <v>39</v>
      </c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  <c r="AO1516" s="19" t="n">
        <v>10</v>
      </c>
      <c r="AP1516" s="19" t="n">
        <v>29</v>
      </c>
      <c r="AQ1516" s="19"/>
      <c r="AR1516" s="19"/>
      <c r="AS1516" s="20" t="str">
        <f aca="false">HYPERLINK("http://www.openstreetmap.org/?mlat=33.7764&amp;mlon=44.5651&amp;zoom=12#map=12/33.7764/44.5651","Maplink1")</f>
        <v>Maplink1</v>
      </c>
      <c r="AT1516" s="20" t="str">
        <f aca="false">HYPERLINK("https://www.google.iq/maps/search/+33.7764,44.5651/@33.7764,44.5651,14z?hl=en","Maplink2")</f>
        <v>Maplink2</v>
      </c>
      <c r="AU1516" s="20" t="str">
        <f aca="false">HYPERLINK("http://www.bing.com/maps/?lvl=14&amp;sty=h&amp;cp=33.7764~44.5651&amp;sp=point.33.7764_44.5651","Maplink3")</f>
        <v>Maplink3</v>
      </c>
    </row>
    <row r="1517" customFormat="false" ht="15" hidden="false" customHeight="true" outlineLevel="0" collapsed="false">
      <c r="A1517" s="15" t="n">
        <v>25815</v>
      </c>
      <c r="B1517" s="16" t="s">
        <v>20</v>
      </c>
      <c r="C1517" s="16" t="s">
        <v>2997</v>
      </c>
      <c r="D1517" s="16" t="s">
        <v>3009</v>
      </c>
      <c r="E1517" s="17" t="s">
        <v>3010</v>
      </c>
      <c r="F1517" s="16" t="n">
        <v>33.77212236</v>
      </c>
      <c r="G1517" s="16" t="n">
        <v>44.55467837</v>
      </c>
      <c r="H1517" s="18" t="n">
        <v>35</v>
      </c>
      <c r="I1517" s="18" t="n">
        <v>210</v>
      </c>
      <c r="J1517" s="19" t="n">
        <v>35</v>
      </c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 t="n">
        <v>35</v>
      </c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9" t="n">
        <v>35</v>
      </c>
      <c r="AQ1517" s="19"/>
      <c r="AR1517" s="19"/>
      <c r="AS1517" s="20" t="str">
        <f aca="false">HYPERLINK("http://www.openstreetmap.org/?mlat=33.7721&amp;mlon=44.5547&amp;zoom=12#map=12/33.7721/44.5547","Maplink1")</f>
        <v>Maplink1</v>
      </c>
      <c r="AT1517" s="20" t="str">
        <f aca="false">HYPERLINK("https://www.google.iq/maps/search/+33.7721,44.5547/@33.7721,44.5547,14z?hl=en","Maplink2")</f>
        <v>Maplink2</v>
      </c>
      <c r="AU1517" s="20" t="str">
        <f aca="false">HYPERLINK("http://www.bing.com/maps/?lvl=14&amp;sty=h&amp;cp=33.7721~44.5547&amp;sp=point.33.7721_44.5547","Maplink3")</f>
        <v>Maplink3</v>
      </c>
    </row>
    <row r="1518" customFormat="false" ht="15" hidden="false" customHeight="true" outlineLevel="0" collapsed="false">
      <c r="A1518" s="15" t="n">
        <v>25667</v>
      </c>
      <c r="B1518" s="16" t="s">
        <v>20</v>
      </c>
      <c r="C1518" s="16" t="s">
        <v>2997</v>
      </c>
      <c r="D1518" s="16" t="s">
        <v>3011</v>
      </c>
      <c r="E1518" s="17" t="s">
        <v>3012</v>
      </c>
      <c r="F1518" s="16" t="n">
        <v>34.0797975537</v>
      </c>
      <c r="G1518" s="16" t="n">
        <v>44.882956991</v>
      </c>
      <c r="H1518" s="18" t="n">
        <v>18</v>
      </c>
      <c r="I1518" s="18" t="n">
        <v>108</v>
      </c>
      <c r="J1518" s="19"/>
      <c r="K1518" s="19"/>
      <c r="L1518" s="19"/>
      <c r="M1518" s="19"/>
      <c r="N1518" s="19"/>
      <c r="O1518" s="19" t="n">
        <v>18</v>
      </c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 t="n">
        <v>18</v>
      </c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 t="n">
        <v>18</v>
      </c>
      <c r="AP1518" s="19"/>
      <c r="AQ1518" s="19"/>
      <c r="AR1518" s="19"/>
      <c r="AS1518" s="20" t="str">
        <f aca="false">HYPERLINK("http://www.openstreetmap.org/?mlat=34.0798&amp;mlon=44.883&amp;zoom=12#map=12/34.0798/44.883","Maplink1")</f>
        <v>Maplink1</v>
      </c>
      <c r="AT1518" s="20" t="str">
        <f aca="false">HYPERLINK("https://www.google.iq/maps/search/+34.0798,44.883/@34.0798,44.883,14z?hl=en","Maplink2")</f>
        <v>Maplink2</v>
      </c>
      <c r="AU1518" s="20" t="str">
        <f aca="false">HYPERLINK("http://www.bing.com/maps/?lvl=14&amp;sty=h&amp;cp=34.0798~44.883&amp;sp=point.34.0798_44.883","Maplink3")</f>
        <v>Maplink3</v>
      </c>
    </row>
    <row r="1519" customFormat="false" ht="15" hidden="false" customHeight="true" outlineLevel="0" collapsed="false">
      <c r="A1519" s="15" t="n">
        <v>25666</v>
      </c>
      <c r="B1519" s="16" t="s">
        <v>20</v>
      </c>
      <c r="C1519" s="16" t="s">
        <v>2997</v>
      </c>
      <c r="D1519" s="16" t="s">
        <v>3013</v>
      </c>
      <c r="E1519" s="17" t="s">
        <v>3014</v>
      </c>
      <c r="F1519" s="16" t="n">
        <v>34.0846144228</v>
      </c>
      <c r="G1519" s="16" t="n">
        <v>44.7757549456</v>
      </c>
      <c r="H1519" s="18" t="n">
        <v>3</v>
      </c>
      <c r="I1519" s="18" t="n">
        <v>18</v>
      </c>
      <c r="J1519" s="19"/>
      <c r="K1519" s="19"/>
      <c r="L1519" s="19"/>
      <c r="M1519" s="19"/>
      <c r="N1519" s="19"/>
      <c r="O1519" s="19" t="n">
        <v>3</v>
      </c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 t="n">
        <v>3</v>
      </c>
      <c r="AK1519" s="19"/>
      <c r="AL1519" s="19"/>
      <c r="AM1519" s="19"/>
      <c r="AN1519" s="19"/>
      <c r="AO1519" s="19" t="n">
        <v>3</v>
      </c>
      <c r="AP1519" s="19"/>
      <c r="AQ1519" s="19"/>
      <c r="AR1519" s="19"/>
      <c r="AS1519" s="20" t="str">
        <f aca="false">HYPERLINK("http://www.openstreetmap.org/?mlat=34.0846&amp;mlon=44.7758&amp;zoom=12#map=12/34.0846/44.7758","Maplink1")</f>
        <v>Maplink1</v>
      </c>
      <c r="AT1519" s="20" t="str">
        <f aca="false">HYPERLINK("https://www.google.iq/maps/search/+34.0846,44.7758/@34.0846,44.7758,14z?hl=en","Maplink2")</f>
        <v>Maplink2</v>
      </c>
      <c r="AU1519" s="20" t="str">
        <f aca="false">HYPERLINK("http://www.bing.com/maps/?lvl=14&amp;sty=h&amp;cp=34.0846~44.7758&amp;sp=point.34.0846_44.7758","Maplink3")</f>
        <v>Maplink3</v>
      </c>
    </row>
    <row r="1520" customFormat="false" ht="15" hidden="false" customHeight="true" outlineLevel="0" collapsed="false">
      <c r="A1520" s="15" t="n">
        <v>25026</v>
      </c>
      <c r="B1520" s="16" t="s">
        <v>20</v>
      </c>
      <c r="C1520" s="16" t="s">
        <v>2997</v>
      </c>
      <c r="D1520" s="16" t="s">
        <v>3015</v>
      </c>
      <c r="E1520" s="17" t="s">
        <v>3016</v>
      </c>
      <c r="F1520" s="16" t="n">
        <v>33.72038242</v>
      </c>
      <c r="G1520" s="16" t="n">
        <v>44.49006027</v>
      </c>
      <c r="H1520" s="18" t="n">
        <v>36</v>
      </c>
      <c r="I1520" s="18" t="n">
        <v>216</v>
      </c>
      <c r="J1520" s="19"/>
      <c r="K1520" s="19"/>
      <c r="L1520" s="19"/>
      <c r="M1520" s="19"/>
      <c r="N1520" s="19"/>
      <c r="O1520" s="19" t="n">
        <v>36</v>
      </c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 t="n">
        <v>36</v>
      </c>
      <c r="AI1520" s="19"/>
      <c r="AJ1520" s="19"/>
      <c r="AK1520" s="19"/>
      <c r="AL1520" s="19"/>
      <c r="AM1520" s="19"/>
      <c r="AN1520" s="19"/>
      <c r="AO1520" s="19" t="n">
        <v>36</v>
      </c>
      <c r="AP1520" s="19"/>
      <c r="AQ1520" s="19"/>
      <c r="AR1520" s="19"/>
      <c r="AS1520" s="20" t="str">
        <f aca="false">HYPERLINK("http://www.openstreetmap.org/?mlat=33.7204&amp;mlon=44.4901&amp;zoom=12#map=12/33.7204/44.4901","Maplink1")</f>
        <v>Maplink1</v>
      </c>
      <c r="AT1520" s="20" t="str">
        <f aca="false">HYPERLINK("https://www.google.iq/maps/search/+33.7204,44.4901/@33.7204,44.4901,14z?hl=en","Maplink2")</f>
        <v>Maplink2</v>
      </c>
      <c r="AU1520" s="20" t="str">
        <f aca="false">HYPERLINK("http://www.bing.com/maps/?lvl=14&amp;sty=h&amp;cp=33.7204~44.4901&amp;sp=point.33.7204_44.4901","Maplink3")</f>
        <v>Maplink3</v>
      </c>
    </row>
    <row r="1521" customFormat="false" ht="15" hidden="false" customHeight="true" outlineLevel="0" collapsed="false">
      <c r="A1521" s="15" t="n">
        <v>22041</v>
      </c>
      <c r="B1521" s="16" t="s">
        <v>20</v>
      </c>
      <c r="C1521" s="16" t="s">
        <v>2997</v>
      </c>
      <c r="D1521" s="16" t="s">
        <v>3017</v>
      </c>
      <c r="E1521" s="17" t="s">
        <v>135</v>
      </c>
      <c r="F1521" s="16" t="n">
        <v>33.78542276</v>
      </c>
      <c r="G1521" s="16" t="n">
        <v>44.50239432</v>
      </c>
      <c r="H1521" s="18" t="n">
        <v>40</v>
      </c>
      <c r="I1521" s="18" t="n">
        <v>240</v>
      </c>
      <c r="J1521" s="19"/>
      <c r="K1521" s="19"/>
      <c r="L1521" s="19"/>
      <c r="M1521" s="19"/>
      <c r="N1521" s="19"/>
      <c r="O1521" s="19" t="n">
        <v>40</v>
      </c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 t="n">
        <v>40</v>
      </c>
      <c r="AI1521" s="19"/>
      <c r="AJ1521" s="19"/>
      <c r="AK1521" s="19"/>
      <c r="AL1521" s="19"/>
      <c r="AM1521" s="19"/>
      <c r="AN1521" s="19"/>
      <c r="AO1521" s="19" t="n">
        <v>40</v>
      </c>
      <c r="AP1521" s="19"/>
      <c r="AQ1521" s="19"/>
      <c r="AR1521" s="19"/>
      <c r="AS1521" s="20" t="str">
        <f aca="false">HYPERLINK("http://www.openstreetmap.org/?mlat=33.7854&amp;mlon=44.5024&amp;zoom=12#map=12/33.7854/44.5024","Maplink1")</f>
        <v>Maplink1</v>
      </c>
      <c r="AT1521" s="20" t="str">
        <f aca="false">HYPERLINK("https://www.google.iq/maps/search/+33.7854,44.5024/@33.7854,44.5024,14z?hl=en","Maplink2")</f>
        <v>Maplink2</v>
      </c>
      <c r="AU1521" s="20" t="str">
        <f aca="false">HYPERLINK("http://www.bing.com/maps/?lvl=14&amp;sty=h&amp;cp=33.7854~44.5024&amp;sp=point.33.7854_44.5024","Maplink3")</f>
        <v>Maplink3</v>
      </c>
    </row>
    <row r="1522" customFormat="false" ht="15" hidden="false" customHeight="true" outlineLevel="0" collapsed="false">
      <c r="A1522" s="15" t="n">
        <v>26057</v>
      </c>
      <c r="B1522" s="16" t="s">
        <v>20</v>
      </c>
      <c r="C1522" s="16" t="s">
        <v>2997</v>
      </c>
      <c r="D1522" s="16" t="s">
        <v>3018</v>
      </c>
      <c r="E1522" s="17" t="s">
        <v>3019</v>
      </c>
      <c r="F1522" s="16" t="n">
        <v>34.07924516</v>
      </c>
      <c r="G1522" s="16" t="n">
        <v>44.86357098</v>
      </c>
      <c r="H1522" s="18" t="n">
        <v>5</v>
      </c>
      <c r="I1522" s="18" t="n">
        <v>30</v>
      </c>
      <c r="J1522" s="19"/>
      <c r="K1522" s="19"/>
      <c r="L1522" s="19"/>
      <c r="M1522" s="19"/>
      <c r="N1522" s="19"/>
      <c r="O1522" s="19" t="n">
        <v>5</v>
      </c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 t="n">
        <v>5</v>
      </c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 t="n">
        <v>5</v>
      </c>
      <c r="AP1522" s="19"/>
      <c r="AQ1522" s="19"/>
      <c r="AR1522" s="19"/>
      <c r="AS1522" s="20" t="str">
        <f aca="false">HYPERLINK("http://www.openstreetmap.org/?mlat=34.0792&amp;mlon=44.8636&amp;zoom=12#map=12/34.0792/44.8636","Maplink1")</f>
        <v>Maplink1</v>
      </c>
      <c r="AT1522" s="20" t="str">
        <f aca="false">HYPERLINK("https://www.google.iq/maps/search/+34.0792,44.8636/@34.0792,44.8636,14z?hl=en","Maplink2")</f>
        <v>Maplink2</v>
      </c>
      <c r="AU1522" s="20" t="str">
        <f aca="false">HYPERLINK("http://www.bing.com/maps/?lvl=14&amp;sty=h&amp;cp=34.0792~44.8636&amp;sp=point.34.0792_44.8636","Maplink3")</f>
        <v>Maplink3</v>
      </c>
    </row>
    <row r="1523" customFormat="false" ht="15" hidden="false" customHeight="true" outlineLevel="0" collapsed="false">
      <c r="A1523" s="15" t="n">
        <v>25031</v>
      </c>
      <c r="B1523" s="16" t="s">
        <v>20</v>
      </c>
      <c r="C1523" s="16" t="s">
        <v>2997</v>
      </c>
      <c r="D1523" s="16" t="s">
        <v>3020</v>
      </c>
      <c r="E1523" s="17" t="s">
        <v>3021</v>
      </c>
      <c r="F1523" s="16" t="n">
        <v>33.76800091</v>
      </c>
      <c r="G1523" s="16" t="n">
        <v>44.49307212</v>
      </c>
      <c r="H1523" s="18" t="n">
        <v>8</v>
      </c>
      <c r="I1523" s="18" t="n">
        <v>48</v>
      </c>
      <c r="J1523" s="19"/>
      <c r="K1523" s="19"/>
      <c r="L1523" s="19"/>
      <c r="M1523" s="19"/>
      <c r="N1523" s="19"/>
      <c r="O1523" s="19" t="n">
        <v>8</v>
      </c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 t="n">
        <v>8</v>
      </c>
      <c r="AI1523" s="19"/>
      <c r="AJ1523" s="19"/>
      <c r="AK1523" s="19"/>
      <c r="AL1523" s="19"/>
      <c r="AM1523" s="19"/>
      <c r="AN1523" s="19"/>
      <c r="AO1523" s="19" t="n">
        <v>8</v>
      </c>
      <c r="AP1523" s="19"/>
      <c r="AQ1523" s="19"/>
      <c r="AR1523" s="19"/>
      <c r="AS1523" s="20" t="str">
        <f aca="false">HYPERLINK("http://www.openstreetmap.org/?mlat=33.768&amp;mlon=44.4931&amp;zoom=12#map=12/33.768/44.4931","Maplink1")</f>
        <v>Maplink1</v>
      </c>
      <c r="AT1523" s="20" t="str">
        <f aca="false">HYPERLINK("https://www.google.iq/maps/search/+33.768,44.4931/@33.768,44.4931,14z?hl=en","Maplink2")</f>
        <v>Maplink2</v>
      </c>
      <c r="AU1523" s="20" t="str">
        <f aca="false">HYPERLINK("http://www.bing.com/maps/?lvl=14&amp;sty=h&amp;cp=33.768~44.4931&amp;sp=point.33.768_44.4931","Maplink3")</f>
        <v>Maplink3</v>
      </c>
    </row>
    <row r="1524" customFormat="false" ht="15" hidden="false" customHeight="true" outlineLevel="0" collapsed="false">
      <c r="A1524" s="15" t="n">
        <v>25661</v>
      </c>
      <c r="B1524" s="16" t="s">
        <v>20</v>
      </c>
      <c r="C1524" s="16" t="s">
        <v>2997</v>
      </c>
      <c r="D1524" s="16" t="s">
        <v>3022</v>
      </c>
      <c r="E1524" s="17" t="s">
        <v>3023</v>
      </c>
      <c r="F1524" s="16" t="n">
        <v>34.08593048</v>
      </c>
      <c r="G1524" s="16" t="n">
        <v>44.92841069</v>
      </c>
      <c r="H1524" s="18" t="n">
        <v>19</v>
      </c>
      <c r="I1524" s="18" t="n">
        <v>114</v>
      </c>
      <c r="J1524" s="19"/>
      <c r="K1524" s="19"/>
      <c r="L1524" s="19"/>
      <c r="M1524" s="19"/>
      <c r="N1524" s="19"/>
      <c r="O1524" s="19" t="n">
        <v>19</v>
      </c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 t="n">
        <v>19</v>
      </c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 t="n">
        <v>19</v>
      </c>
      <c r="AP1524" s="19"/>
      <c r="AQ1524" s="19"/>
      <c r="AR1524" s="19"/>
      <c r="AS1524" s="20" t="str">
        <f aca="false">HYPERLINK("http://www.openstreetmap.org/?mlat=34.0859&amp;mlon=44.9284&amp;zoom=12#map=12/34.0859/44.9284","Maplink1")</f>
        <v>Maplink1</v>
      </c>
      <c r="AT1524" s="20" t="str">
        <f aca="false">HYPERLINK("https://www.google.iq/maps/search/+34.0859,44.9284/@34.0859,44.9284,14z?hl=en","Maplink2")</f>
        <v>Maplink2</v>
      </c>
      <c r="AU1524" s="20" t="str">
        <f aca="false">HYPERLINK("http://www.bing.com/maps/?lvl=14&amp;sty=h&amp;cp=34.0859~44.9284&amp;sp=point.34.0859_44.9284","Maplink3")</f>
        <v>Maplink3</v>
      </c>
    </row>
    <row r="1525" customFormat="false" ht="15" hidden="false" customHeight="true" outlineLevel="0" collapsed="false">
      <c r="A1525" s="15" t="n">
        <v>24483</v>
      </c>
      <c r="B1525" s="16" t="s">
        <v>20</v>
      </c>
      <c r="C1525" s="16" t="s">
        <v>2997</v>
      </c>
      <c r="D1525" s="16" t="s">
        <v>1199</v>
      </c>
      <c r="E1525" s="17" t="s">
        <v>3024</v>
      </c>
      <c r="F1525" s="16" t="n">
        <v>33.93362232</v>
      </c>
      <c r="G1525" s="16" t="n">
        <v>44.72657487</v>
      </c>
      <c r="H1525" s="18" t="n">
        <v>10</v>
      </c>
      <c r="I1525" s="18" t="n">
        <v>60</v>
      </c>
      <c r="J1525" s="19"/>
      <c r="K1525" s="19"/>
      <c r="L1525" s="19"/>
      <c r="M1525" s="19"/>
      <c r="N1525" s="19"/>
      <c r="O1525" s="19" t="n">
        <v>10</v>
      </c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 t="n">
        <v>10</v>
      </c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 t="n">
        <v>10</v>
      </c>
      <c r="AO1525" s="19"/>
      <c r="AP1525" s="19"/>
      <c r="AQ1525" s="19"/>
      <c r="AR1525" s="19"/>
      <c r="AS1525" s="20" t="str">
        <f aca="false">HYPERLINK("http://www.openstreetmap.org/?mlat=33.9336&amp;mlon=44.7266&amp;zoom=12#map=12/33.9336/44.7266","Maplink1")</f>
        <v>Maplink1</v>
      </c>
      <c r="AT1525" s="20" t="str">
        <f aca="false">HYPERLINK("https://www.google.iq/maps/search/+33.9336,44.7266/@33.9336,44.7266,14z?hl=en","Maplink2")</f>
        <v>Maplink2</v>
      </c>
      <c r="AU1525" s="20" t="str">
        <f aca="false">HYPERLINK("http://www.bing.com/maps/?lvl=14&amp;sty=h&amp;cp=33.9336~44.7266&amp;sp=point.33.9336_44.7266","Maplink3")</f>
        <v>Maplink3</v>
      </c>
    </row>
    <row r="1526" customFormat="false" ht="15" hidden="false" customHeight="true" outlineLevel="0" collapsed="false">
      <c r="A1526" s="15" t="n">
        <v>26058</v>
      </c>
      <c r="B1526" s="16" t="s">
        <v>20</v>
      </c>
      <c r="C1526" s="16" t="s">
        <v>2997</v>
      </c>
      <c r="D1526" s="16" t="s">
        <v>3025</v>
      </c>
      <c r="E1526" s="17" t="s">
        <v>85</v>
      </c>
      <c r="F1526" s="16" t="n">
        <v>34.06771587</v>
      </c>
      <c r="G1526" s="16" t="n">
        <v>44.86560113</v>
      </c>
      <c r="H1526" s="18" t="n">
        <v>150</v>
      </c>
      <c r="I1526" s="18" t="n">
        <v>900</v>
      </c>
      <c r="J1526" s="19"/>
      <c r="K1526" s="19"/>
      <c r="L1526" s="19"/>
      <c r="M1526" s="19"/>
      <c r="N1526" s="19"/>
      <c r="O1526" s="19" t="n">
        <v>150</v>
      </c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 t="n">
        <v>15</v>
      </c>
      <c r="AD1526" s="19"/>
      <c r="AE1526" s="19"/>
      <c r="AF1526" s="19"/>
      <c r="AG1526" s="19"/>
      <c r="AH1526" s="19" t="n">
        <v>129</v>
      </c>
      <c r="AI1526" s="19"/>
      <c r="AJ1526" s="19" t="n">
        <v>6</v>
      </c>
      <c r="AK1526" s="19"/>
      <c r="AL1526" s="19"/>
      <c r="AM1526" s="19"/>
      <c r="AN1526" s="19" t="n">
        <v>6</v>
      </c>
      <c r="AO1526" s="19" t="n">
        <v>144</v>
      </c>
      <c r="AP1526" s="19"/>
      <c r="AQ1526" s="19"/>
      <c r="AR1526" s="19"/>
      <c r="AS1526" s="20" t="str">
        <f aca="false">HYPERLINK("http://www.openstreetmap.org/?mlat=34.0677&amp;mlon=44.8656&amp;zoom=12#map=12/34.0677/44.8656","Maplink1")</f>
        <v>Maplink1</v>
      </c>
      <c r="AT1526" s="20" t="str">
        <f aca="false">HYPERLINK("https://www.google.iq/maps/search/+34.0677,44.8656/@34.0677,44.8656,14z?hl=en","Maplink2")</f>
        <v>Maplink2</v>
      </c>
      <c r="AU1526" s="20" t="str">
        <f aca="false">HYPERLINK("http://www.bing.com/maps/?lvl=14&amp;sty=h&amp;cp=34.0677~44.8656&amp;sp=point.34.0677_44.8656","Maplink3")</f>
        <v>Maplink3</v>
      </c>
    </row>
    <row r="1527" customFormat="false" ht="15" hidden="false" customHeight="true" outlineLevel="0" collapsed="false">
      <c r="A1527" s="15" t="n">
        <v>24912</v>
      </c>
      <c r="B1527" s="16" t="s">
        <v>20</v>
      </c>
      <c r="C1527" s="16" t="s">
        <v>2997</v>
      </c>
      <c r="D1527" s="16" t="s">
        <v>3026</v>
      </c>
      <c r="E1527" s="17" t="s">
        <v>3027</v>
      </c>
      <c r="F1527" s="16" t="n">
        <v>33.87837653</v>
      </c>
      <c r="G1527" s="16" t="n">
        <v>44.44399353</v>
      </c>
      <c r="H1527" s="18" t="n">
        <v>32</v>
      </c>
      <c r="I1527" s="18" t="n">
        <v>192</v>
      </c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 t="n">
        <v>32</v>
      </c>
      <c r="Y1527" s="19"/>
      <c r="Z1527" s="19"/>
      <c r="AA1527" s="19"/>
      <c r="AB1527" s="19"/>
      <c r="AC1527" s="19" t="n">
        <v>32</v>
      </c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 t="n">
        <v>32</v>
      </c>
      <c r="AP1527" s="19"/>
      <c r="AQ1527" s="19"/>
      <c r="AR1527" s="19"/>
      <c r="AS1527" s="20" t="str">
        <f aca="false">HYPERLINK("http://www.openstreetmap.org/?mlat=33.8784&amp;mlon=44.444&amp;zoom=12#map=12/33.8784/44.444","Maplink1")</f>
        <v>Maplink1</v>
      </c>
      <c r="AT1527" s="20" t="str">
        <f aca="false">HYPERLINK("https://www.google.iq/maps/search/+33.8784,44.444/@33.8784,44.444,14z?hl=en","Maplink2")</f>
        <v>Maplink2</v>
      </c>
      <c r="AU1527" s="20" t="str">
        <f aca="false">HYPERLINK("http://www.bing.com/maps/?lvl=14&amp;sty=h&amp;cp=33.8784~44.444&amp;sp=point.33.8784_44.444","Maplink3")</f>
        <v>Maplink3</v>
      </c>
    </row>
    <row r="1528" customFormat="false" ht="15" hidden="false" customHeight="true" outlineLevel="0" collapsed="false">
      <c r="A1528" s="15" t="n">
        <v>11484</v>
      </c>
      <c r="B1528" s="16" t="s">
        <v>20</v>
      </c>
      <c r="C1528" s="16" t="s">
        <v>2997</v>
      </c>
      <c r="D1528" s="16" t="s">
        <v>3028</v>
      </c>
      <c r="E1528" s="17" t="s">
        <v>3029</v>
      </c>
      <c r="F1528" s="16" t="n">
        <v>33.916342</v>
      </c>
      <c r="G1528" s="16" t="n">
        <v>44.602325</v>
      </c>
      <c r="H1528" s="18" t="n">
        <v>7</v>
      </c>
      <c r="I1528" s="18" t="n">
        <v>42</v>
      </c>
      <c r="J1528" s="19" t="n">
        <v>7</v>
      </c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 t="n">
        <v>7</v>
      </c>
      <c r="AD1528" s="19"/>
      <c r="AE1528" s="19"/>
      <c r="AF1528" s="19"/>
      <c r="AG1528" s="19"/>
      <c r="AH1528" s="19"/>
      <c r="AI1528" s="19"/>
      <c r="AJ1528" s="19"/>
      <c r="AK1528" s="19"/>
      <c r="AL1528" s="19" t="n">
        <v>7</v>
      </c>
      <c r="AM1528" s="19"/>
      <c r="AN1528" s="19"/>
      <c r="AO1528" s="19"/>
      <c r="AP1528" s="19"/>
      <c r="AQ1528" s="19"/>
      <c r="AR1528" s="19"/>
      <c r="AS1528" s="20" t="str">
        <f aca="false">HYPERLINK("http://www.openstreetmap.org/?mlat=33.9163&amp;mlon=44.6023&amp;zoom=12#map=12/33.9163/44.6023","Maplink1")</f>
        <v>Maplink1</v>
      </c>
      <c r="AT1528" s="20" t="str">
        <f aca="false">HYPERLINK("https://www.google.iq/maps/search/+33.9163,44.6023/@33.9163,44.6023,14z?hl=en","Maplink2")</f>
        <v>Maplink2</v>
      </c>
      <c r="AU1528" s="20" t="str">
        <f aca="false">HYPERLINK("http://www.bing.com/maps/?lvl=14&amp;sty=h&amp;cp=33.9163~44.6023&amp;sp=point.33.9163_44.6023","Maplink3")</f>
        <v>Maplink3</v>
      </c>
    </row>
    <row r="1529" customFormat="false" ht="15" hidden="false" customHeight="true" outlineLevel="0" collapsed="false">
      <c r="A1529" s="15" t="n">
        <v>25681</v>
      </c>
      <c r="B1529" s="16" t="s">
        <v>20</v>
      </c>
      <c r="C1529" s="16" t="s">
        <v>2997</v>
      </c>
      <c r="D1529" s="16" t="s">
        <v>3030</v>
      </c>
      <c r="E1529" s="17" t="s">
        <v>3031</v>
      </c>
      <c r="F1529" s="16" t="n">
        <v>34.08053941</v>
      </c>
      <c r="G1529" s="16" t="n">
        <v>44.91651188</v>
      </c>
      <c r="H1529" s="18" t="n">
        <v>2</v>
      </c>
      <c r="I1529" s="18" t="n">
        <v>12</v>
      </c>
      <c r="J1529" s="19"/>
      <c r="K1529" s="19"/>
      <c r="L1529" s="19"/>
      <c r="M1529" s="19"/>
      <c r="N1529" s="19"/>
      <c r="O1529" s="19" t="n">
        <v>2</v>
      </c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 t="n">
        <v>1</v>
      </c>
      <c r="AD1529" s="19"/>
      <c r="AE1529" s="19"/>
      <c r="AF1529" s="19"/>
      <c r="AG1529" s="19"/>
      <c r="AH1529" s="19" t="n">
        <v>1</v>
      </c>
      <c r="AI1529" s="19"/>
      <c r="AJ1529" s="19"/>
      <c r="AK1529" s="19"/>
      <c r="AL1529" s="19"/>
      <c r="AM1529" s="19"/>
      <c r="AN1529" s="19"/>
      <c r="AO1529" s="19" t="n">
        <v>2</v>
      </c>
      <c r="AP1529" s="19"/>
      <c r="AQ1529" s="19"/>
      <c r="AR1529" s="19"/>
      <c r="AS1529" s="20" t="str">
        <f aca="false">HYPERLINK("http://www.openstreetmap.org/?mlat=34.0805&amp;mlon=44.9165&amp;zoom=12#map=12/34.0805/44.9165","Maplink1")</f>
        <v>Maplink1</v>
      </c>
      <c r="AT1529" s="20" t="str">
        <f aca="false">HYPERLINK("https://www.google.iq/maps/search/+34.0805,44.9165/@34.0805,44.9165,14z?hl=en","Maplink2")</f>
        <v>Maplink2</v>
      </c>
      <c r="AU1529" s="20" t="str">
        <f aca="false">HYPERLINK("http://www.bing.com/maps/?lvl=14&amp;sty=h&amp;cp=34.0805~44.9165&amp;sp=point.34.0805_44.9165","Maplink3")</f>
        <v>Maplink3</v>
      </c>
    </row>
    <row r="1530" customFormat="false" ht="15" hidden="false" customHeight="true" outlineLevel="0" collapsed="false">
      <c r="A1530" s="15" t="n">
        <v>26056</v>
      </c>
      <c r="B1530" s="16" t="s">
        <v>20</v>
      </c>
      <c r="C1530" s="16" t="s">
        <v>2997</v>
      </c>
      <c r="D1530" s="16" t="s">
        <v>3032</v>
      </c>
      <c r="E1530" s="17" t="s">
        <v>3033</v>
      </c>
      <c r="F1530" s="16" t="n">
        <v>34.07304156</v>
      </c>
      <c r="G1530" s="16" t="n">
        <v>44.87986544</v>
      </c>
      <c r="H1530" s="18" t="n">
        <v>11</v>
      </c>
      <c r="I1530" s="18" t="n">
        <v>66</v>
      </c>
      <c r="J1530" s="19"/>
      <c r="K1530" s="19"/>
      <c r="L1530" s="19"/>
      <c r="M1530" s="19"/>
      <c r="N1530" s="19"/>
      <c r="O1530" s="19" t="n">
        <v>11</v>
      </c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 t="n">
        <v>1</v>
      </c>
      <c r="AI1530" s="19"/>
      <c r="AJ1530" s="19" t="n">
        <v>10</v>
      </c>
      <c r="AK1530" s="19"/>
      <c r="AL1530" s="19"/>
      <c r="AM1530" s="19"/>
      <c r="AN1530" s="19"/>
      <c r="AO1530" s="19" t="n">
        <v>11</v>
      </c>
      <c r="AP1530" s="19"/>
      <c r="AQ1530" s="19"/>
      <c r="AR1530" s="19"/>
      <c r="AS1530" s="20" t="str">
        <f aca="false">HYPERLINK("http://www.openstreetmap.org/?mlat=34.073&amp;mlon=44.8799&amp;zoom=12#map=12/34.073/44.8799","Maplink1")</f>
        <v>Maplink1</v>
      </c>
      <c r="AT1530" s="20" t="str">
        <f aca="false">HYPERLINK("https://www.google.iq/maps/search/+34.073,44.8799/@34.073,44.8799,14z?hl=en","Maplink2")</f>
        <v>Maplink2</v>
      </c>
      <c r="AU1530" s="20" t="str">
        <f aca="false">HYPERLINK("http://www.bing.com/maps/?lvl=14&amp;sty=h&amp;cp=34.073~44.8799&amp;sp=point.34.073_44.8799","Maplink3")</f>
        <v>Maplink3</v>
      </c>
    </row>
    <row r="1531" customFormat="false" ht="15" hidden="false" customHeight="true" outlineLevel="0" collapsed="false">
      <c r="A1531" s="15" t="n">
        <v>26055</v>
      </c>
      <c r="B1531" s="16" t="s">
        <v>20</v>
      </c>
      <c r="C1531" s="16" t="s">
        <v>2997</v>
      </c>
      <c r="D1531" s="16" t="s">
        <v>3034</v>
      </c>
      <c r="E1531" s="17" t="s">
        <v>3035</v>
      </c>
      <c r="F1531" s="16" t="n">
        <v>34.05606302</v>
      </c>
      <c r="G1531" s="16" t="n">
        <v>44.84652199</v>
      </c>
      <c r="H1531" s="18" t="n">
        <v>5</v>
      </c>
      <c r="I1531" s="18" t="n">
        <v>30</v>
      </c>
      <c r="J1531" s="19"/>
      <c r="K1531" s="19"/>
      <c r="L1531" s="19"/>
      <c r="M1531" s="19"/>
      <c r="N1531" s="19"/>
      <c r="O1531" s="19" t="n">
        <v>5</v>
      </c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 t="n">
        <v>5</v>
      </c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9" t="n">
        <v>5</v>
      </c>
      <c r="AP1531" s="19"/>
      <c r="AQ1531" s="19"/>
      <c r="AR1531" s="19"/>
      <c r="AS1531" s="20" t="str">
        <f aca="false">HYPERLINK("http://www.openstreetmap.org/?mlat=34.0561&amp;mlon=44.8465&amp;zoom=12#map=12/34.0561/44.8465","Maplink1")</f>
        <v>Maplink1</v>
      </c>
      <c r="AT1531" s="20" t="str">
        <f aca="false">HYPERLINK("https://www.google.iq/maps/search/+34.0561,44.8465/@34.0561,44.8465,14z?hl=en","Maplink2")</f>
        <v>Maplink2</v>
      </c>
      <c r="AU1531" s="20" t="str">
        <f aca="false">HYPERLINK("http://www.bing.com/maps/?lvl=14&amp;sty=h&amp;cp=34.0561~44.8465&amp;sp=point.34.0561_44.8465","Maplink3")</f>
        <v>Maplink3</v>
      </c>
    </row>
    <row r="1532" customFormat="false" ht="15" hidden="false" customHeight="true" outlineLevel="0" collapsed="false">
      <c r="A1532" s="15" t="n">
        <v>23965</v>
      </c>
      <c r="B1532" s="16" t="s">
        <v>20</v>
      </c>
      <c r="C1532" s="16" t="s">
        <v>2997</v>
      </c>
      <c r="D1532" s="16" t="s">
        <v>3036</v>
      </c>
      <c r="E1532" s="17" t="s">
        <v>3037</v>
      </c>
      <c r="F1532" s="16" t="n">
        <v>33.82690181</v>
      </c>
      <c r="G1532" s="16" t="n">
        <v>44.56148029</v>
      </c>
      <c r="H1532" s="18" t="n">
        <v>28</v>
      </c>
      <c r="I1532" s="18" t="n">
        <v>168</v>
      </c>
      <c r="J1532" s="19"/>
      <c r="K1532" s="19"/>
      <c r="L1532" s="19"/>
      <c r="M1532" s="19"/>
      <c r="N1532" s="19"/>
      <c r="O1532" s="19" t="n">
        <v>23</v>
      </c>
      <c r="P1532" s="19"/>
      <c r="Q1532" s="19"/>
      <c r="R1532" s="19"/>
      <c r="S1532" s="19"/>
      <c r="T1532" s="19"/>
      <c r="U1532" s="19"/>
      <c r="V1532" s="19" t="n">
        <v>5</v>
      </c>
      <c r="W1532" s="19"/>
      <c r="X1532" s="19"/>
      <c r="Y1532" s="19"/>
      <c r="Z1532" s="19"/>
      <c r="AA1532" s="19"/>
      <c r="AB1532" s="19"/>
      <c r="AC1532" s="19" t="n">
        <v>20</v>
      </c>
      <c r="AD1532" s="19"/>
      <c r="AE1532" s="19"/>
      <c r="AF1532" s="19"/>
      <c r="AG1532" s="19"/>
      <c r="AH1532" s="19" t="n">
        <v>8</v>
      </c>
      <c r="AI1532" s="19"/>
      <c r="AJ1532" s="19"/>
      <c r="AK1532" s="19"/>
      <c r="AL1532" s="19"/>
      <c r="AM1532" s="19"/>
      <c r="AN1532" s="19"/>
      <c r="AO1532" s="19" t="n">
        <v>28</v>
      </c>
      <c r="AP1532" s="19"/>
      <c r="AQ1532" s="19"/>
      <c r="AR1532" s="19"/>
      <c r="AS1532" s="20" t="str">
        <f aca="false">HYPERLINK("http://www.openstreetmap.org/?mlat=33.8269&amp;mlon=44.5615&amp;zoom=12#map=12/33.8269/44.5615","Maplink1")</f>
        <v>Maplink1</v>
      </c>
      <c r="AT1532" s="20" t="str">
        <f aca="false">HYPERLINK("https://www.google.iq/maps/search/+33.8269,44.5615/@33.8269,44.5615,14z?hl=en","Maplink2")</f>
        <v>Maplink2</v>
      </c>
      <c r="AU1532" s="20" t="str">
        <f aca="false">HYPERLINK("http://www.bing.com/maps/?lvl=14&amp;sty=h&amp;cp=33.8269~44.5615&amp;sp=point.33.8269_44.5615","Maplink3")</f>
        <v>Maplink3</v>
      </c>
    </row>
    <row r="1533" customFormat="false" ht="15" hidden="false" customHeight="true" outlineLevel="0" collapsed="false">
      <c r="A1533" s="15" t="n">
        <v>24913</v>
      </c>
      <c r="B1533" s="16" t="s">
        <v>20</v>
      </c>
      <c r="C1533" s="16" t="s">
        <v>2997</v>
      </c>
      <c r="D1533" s="16" t="s">
        <v>3038</v>
      </c>
      <c r="E1533" s="17" t="s">
        <v>3039</v>
      </c>
      <c r="F1533" s="16" t="n">
        <v>33.75642594</v>
      </c>
      <c r="G1533" s="16" t="n">
        <v>44.54859009</v>
      </c>
      <c r="H1533" s="18" t="n">
        <v>13</v>
      </c>
      <c r="I1533" s="18" t="n">
        <v>78</v>
      </c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 t="n">
        <v>13</v>
      </c>
      <c r="Y1533" s="19"/>
      <c r="Z1533" s="19"/>
      <c r="AA1533" s="19"/>
      <c r="AB1533" s="19"/>
      <c r="AC1533" s="19" t="n">
        <v>13</v>
      </c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 t="n">
        <v>3</v>
      </c>
      <c r="AO1533" s="19" t="n">
        <v>10</v>
      </c>
      <c r="AP1533" s="19"/>
      <c r="AQ1533" s="19"/>
      <c r="AR1533" s="19"/>
      <c r="AS1533" s="20" t="str">
        <f aca="false">HYPERLINK("http://www.openstreetmap.org/?mlat=33.7564&amp;mlon=44.5486&amp;zoom=12#map=12/33.7564/44.5486","Maplink1")</f>
        <v>Maplink1</v>
      </c>
      <c r="AT1533" s="20" t="str">
        <f aca="false">HYPERLINK("https://www.google.iq/maps/search/+33.7564,44.5486/@33.7564,44.5486,14z?hl=en","Maplink2")</f>
        <v>Maplink2</v>
      </c>
      <c r="AU1533" s="20" t="str">
        <f aca="false">HYPERLINK("http://www.bing.com/maps/?lvl=14&amp;sty=h&amp;cp=33.7564~44.5486&amp;sp=point.33.7564_44.5486","Maplink3")</f>
        <v>Maplink3</v>
      </c>
    </row>
    <row r="1534" customFormat="false" ht="15" hidden="false" customHeight="true" outlineLevel="0" collapsed="false">
      <c r="A1534" s="15" t="n">
        <v>24194</v>
      </c>
      <c r="B1534" s="16" t="s">
        <v>20</v>
      </c>
      <c r="C1534" s="16" t="s">
        <v>2997</v>
      </c>
      <c r="D1534" s="16" t="s">
        <v>3040</v>
      </c>
      <c r="E1534" s="17" t="s">
        <v>3041</v>
      </c>
      <c r="F1534" s="16" t="n">
        <v>34.0736809792</v>
      </c>
      <c r="G1534" s="16" t="n">
        <v>44.8570292071</v>
      </c>
      <c r="H1534" s="18" t="n">
        <v>32</v>
      </c>
      <c r="I1534" s="18" t="n">
        <v>192</v>
      </c>
      <c r="J1534" s="19"/>
      <c r="K1534" s="19"/>
      <c r="L1534" s="19"/>
      <c r="M1534" s="19"/>
      <c r="N1534" s="19"/>
      <c r="O1534" s="19" t="n">
        <v>28</v>
      </c>
      <c r="P1534" s="19"/>
      <c r="Q1534" s="19"/>
      <c r="R1534" s="19"/>
      <c r="S1534" s="19"/>
      <c r="T1534" s="19"/>
      <c r="U1534" s="19"/>
      <c r="V1534" s="19"/>
      <c r="W1534" s="19"/>
      <c r="X1534" s="19" t="n">
        <v>4</v>
      </c>
      <c r="Y1534" s="19"/>
      <c r="Z1534" s="19"/>
      <c r="AA1534" s="19"/>
      <c r="AB1534" s="19"/>
      <c r="AC1534" s="19" t="n">
        <v>28</v>
      </c>
      <c r="AD1534" s="19"/>
      <c r="AE1534" s="19"/>
      <c r="AF1534" s="19"/>
      <c r="AG1534" s="19"/>
      <c r="AH1534" s="19" t="n">
        <v>4</v>
      </c>
      <c r="AI1534" s="19"/>
      <c r="AJ1534" s="19"/>
      <c r="AK1534" s="19"/>
      <c r="AL1534" s="19"/>
      <c r="AM1534" s="19"/>
      <c r="AN1534" s="19" t="n">
        <v>4</v>
      </c>
      <c r="AO1534" s="19" t="n">
        <v>28</v>
      </c>
      <c r="AP1534" s="19"/>
      <c r="AQ1534" s="19"/>
      <c r="AR1534" s="19"/>
      <c r="AS1534" s="20" t="str">
        <f aca="false">HYPERLINK("http://www.openstreetmap.org/?mlat=34.0737&amp;mlon=44.857&amp;zoom=12#map=12/34.0737/44.857","Maplink1")</f>
        <v>Maplink1</v>
      </c>
      <c r="AT1534" s="20" t="str">
        <f aca="false">HYPERLINK("https://www.google.iq/maps/search/+34.0737,44.857/@34.0737,44.857,14z?hl=en","Maplink2")</f>
        <v>Maplink2</v>
      </c>
      <c r="AU1534" s="20" t="str">
        <f aca="false">HYPERLINK("http://www.bing.com/maps/?lvl=14&amp;sty=h&amp;cp=34.0737~44.857&amp;sp=point.34.0737_44.857","Maplink3")</f>
        <v>Maplink3</v>
      </c>
    </row>
    <row r="1535" customFormat="false" ht="15" hidden="false" customHeight="true" outlineLevel="0" collapsed="false">
      <c r="A1535" s="15" t="n">
        <v>25656</v>
      </c>
      <c r="B1535" s="16" t="s">
        <v>20</v>
      </c>
      <c r="C1535" s="16" t="s">
        <v>2997</v>
      </c>
      <c r="D1535" s="16" t="s">
        <v>3042</v>
      </c>
      <c r="E1535" s="17" t="s">
        <v>3043</v>
      </c>
      <c r="F1535" s="16" t="n">
        <v>34.06963956</v>
      </c>
      <c r="G1535" s="16" t="n">
        <v>44.85989045</v>
      </c>
      <c r="H1535" s="18" t="n">
        <v>5</v>
      </c>
      <c r="I1535" s="18" t="n">
        <v>30</v>
      </c>
      <c r="J1535" s="19"/>
      <c r="K1535" s="19"/>
      <c r="L1535" s="19"/>
      <c r="M1535" s="19"/>
      <c r="N1535" s="19"/>
      <c r="O1535" s="19" t="n">
        <v>5</v>
      </c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 t="n">
        <v>5</v>
      </c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  <c r="AO1535" s="19" t="n">
        <v>5</v>
      </c>
      <c r="AP1535" s="19"/>
      <c r="AQ1535" s="19"/>
      <c r="AR1535" s="19"/>
      <c r="AS1535" s="20" t="str">
        <f aca="false">HYPERLINK("http://www.openstreetmap.org/?mlat=34.0696&amp;mlon=44.8599&amp;zoom=12#map=12/34.0696/44.8599","Maplink1")</f>
        <v>Maplink1</v>
      </c>
      <c r="AT1535" s="20" t="str">
        <f aca="false">HYPERLINK("https://www.google.iq/maps/search/+34.0696,44.8599/@34.0696,44.8599,14z?hl=en","Maplink2")</f>
        <v>Maplink2</v>
      </c>
      <c r="AU1535" s="20" t="str">
        <f aca="false">HYPERLINK("http://www.bing.com/maps/?lvl=14&amp;sty=h&amp;cp=34.0696~44.8599&amp;sp=point.34.0696_44.8599","Maplink3")</f>
        <v>Maplink3</v>
      </c>
    </row>
    <row r="1536" customFormat="false" ht="15" hidden="false" customHeight="true" outlineLevel="0" collapsed="false">
      <c r="A1536" s="15" t="n">
        <v>25678</v>
      </c>
      <c r="B1536" s="16" t="s">
        <v>20</v>
      </c>
      <c r="C1536" s="16" t="s">
        <v>2997</v>
      </c>
      <c r="D1536" s="16" t="s">
        <v>3044</v>
      </c>
      <c r="E1536" s="17" t="s">
        <v>3045</v>
      </c>
      <c r="F1536" s="16" t="n">
        <v>34.07822675</v>
      </c>
      <c r="G1536" s="16" t="n">
        <v>44.93444755</v>
      </c>
      <c r="H1536" s="18" t="n">
        <v>13</v>
      </c>
      <c r="I1536" s="18" t="n">
        <v>78</v>
      </c>
      <c r="J1536" s="19"/>
      <c r="K1536" s="19"/>
      <c r="L1536" s="19"/>
      <c r="M1536" s="19"/>
      <c r="N1536" s="19"/>
      <c r="O1536" s="19" t="n">
        <v>13</v>
      </c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 t="n">
        <v>10</v>
      </c>
      <c r="AD1536" s="19"/>
      <c r="AE1536" s="19"/>
      <c r="AF1536" s="19"/>
      <c r="AG1536" s="19"/>
      <c r="AH1536" s="19" t="n">
        <v>3</v>
      </c>
      <c r="AI1536" s="19"/>
      <c r="AJ1536" s="19"/>
      <c r="AK1536" s="19"/>
      <c r="AL1536" s="19"/>
      <c r="AM1536" s="19"/>
      <c r="AN1536" s="19"/>
      <c r="AO1536" s="19" t="n">
        <v>13</v>
      </c>
      <c r="AP1536" s="19"/>
      <c r="AQ1536" s="19"/>
      <c r="AR1536" s="19"/>
      <c r="AS1536" s="20" t="str">
        <f aca="false">HYPERLINK("http://www.openstreetmap.org/?mlat=34.0782&amp;mlon=44.9344&amp;zoom=12#map=12/34.0782/44.9344","Maplink1")</f>
        <v>Maplink1</v>
      </c>
      <c r="AT1536" s="20" t="str">
        <f aca="false">HYPERLINK("https://www.google.iq/maps/search/+34.0782,44.9344/@34.0782,44.9344,14z?hl=en","Maplink2")</f>
        <v>Maplink2</v>
      </c>
      <c r="AU1536" s="20" t="str">
        <f aca="false">HYPERLINK("http://www.bing.com/maps/?lvl=14&amp;sty=h&amp;cp=34.0782~44.9344&amp;sp=point.34.0782_44.9344","Maplink3")</f>
        <v>Maplink3</v>
      </c>
    </row>
    <row r="1537" customFormat="false" ht="15" hidden="false" customHeight="true" outlineLevel="0" collapsed="false">
      <c r="A1537" s="15" t="n">
        <v>11206</v>
      </c>
      <c r="B1537" s="16" t="s">
        <v>20</v>
      </c>
      <c r="C1537" s="16" t="s">
        <v>2997</v>
      </c>
      <c r="D1537" s="16" t="s">
        <v>3046</v>
      </c>
      <c r="E1537" s="17" t="s">
        <v>3047</v>
      </c>
      <c r="F1537" s="16" t="n">
        <v>33.68368088</v>
      </c>
      <c r="G1537" s="16" t="n">
        <v>44.4218102</v>
      </c>
      <c r="H1537" s="18" t="n">
        <v>22</v>
      </c>
      <c r="I1537" s="18" t="n">
        <v>132</v>
      </c>
      <c r="J1537" s="19"/>
      <c r="K1537" s="19"/>
      <c r="L1537" s="19"/>
      <c r="M1537" s="19"/>
      <c r="N1537" s="19"/>
      <c r="O1537" s="19" t="n">
        <v>10</v>
      </c>
      <c r="P1537" s="19"/>
      <c r="Q1537" s="19"/>
      <c r="R1537" s="19"/>
      <c r="S1537" s="19"/>
      <c r="T1537" s="19"/>
      <c r="U1537" s="19"/>
      <c r="V1537" s="19"/>
      <c r="W1537" s="19"/>
      <c r="X1537" s="19" t="n">
        <v>12</v>
      </c>
      <c r="Y1537" s="19"/>
      <c r="Z1537" s="19"/>
      <c r="AA1537" s="19"/>
      <c r="AB1537" s="19"/>
      <c r="AC1537" s="19" t="n">
        <v>22</v>
      </c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 t="n">
        <v>12</v>
      </c>
      <c r="AN1537" s="19"/>
      <c r="AO1537" s="19" t="n">
        <v>10</v>
      </c>
      <c r="AP1537" s="19"/>
      <c r="AQ1537" s="19"/>
      <c r="AR1537" s="19"/>
      <c r="AS1537" s="20" t="str">
        <f aca="false">HYPERLINK("http://www.openstreetmap.org/?mlat=33.6837&amp;mlon=44.4218&amp;zoom=12#map=12/33.6837/44.4218","Maplink1")</f>
        <v>Maplink1</v>
      </c>
      <c r="AT1537" s="20" t="str">
        <f aca="false">HYPERLINK("https://www.google.iq/maps/search/+33.6837,44.4218/@33.6837,44.4218,14z?hl=en","Maplink2")</f>
        <v>Maplink2</v>
      </c>
      <c r="AU1537" s="20" t="str">
        <f aca="false">HYPERLINK("http://www.bing.com/maps/?lvl=14&amp;sty=h&amp;cp=33.6837~44.4218&amp;sp=point.33.6837_44.4218","Maplink3")</f>
        <v>Maplink3</v>
      </c>
    </row>
    <row r="1538" customFormat="false" ht="15" hidden="false" customHeight="true" outlineLevel="0" collapsed="false">
      <c r="A1538" s="15" t="n">
        <v>25029</v>
      </c>
      <c r="B1538" s="16" t="s">
        <v>20</v>
      </c>
      <c r="C1538" s="16" t="s">
        <v>2997</v>
      </c>
      <c r="D1538" s="16" t="s">
        <v>3048</v>
      </c>
      <c r="E1538" s="17" t="s">
        <v>3049</v>
      </c>
      <c r="F1538" s="16" t="n">
        <v>33.80501496</v>
      </c>
      <c r="G1538" s="16" t="n">
        <v>44.52059872</v>
      </c>
      <c r="H1538" s="18" t="n">
        <v>15</v>
      </c>
      <c r="I1538" s="18" t="n">
        <v>90</v>
      </c>
      <c r="J1538" s="19"/>
      <c r="K1538" s="19"/>
      <c r="L1538" s="19"/>
      <c r="M1538" s="19"/>
      <c r="N1538" s="19"/>
      <c r="O1538" s="19" t="n">
        <v>15</v>
      </c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 t="n">
        <v>5</v>
      </c>
      <c r="AD1538" s="19"/>
      <c r="AE1538" s="19"/>
      <c r="AF1538" s="19"/>
      <c r="AG1538" s="19"/>
      <c r="AH1538" s="19"/>
      <c r="AI1538" s="19"/>
      <c r="AJ1538" s="19" t="n">
        <v>10</v>
      </c>
      <c r="AK1538" s="19"/>
      <c r="AL1538" s="19"/>
      <c r="AM1538" s="19"/>
      <c r="AN1538" s="19"/>
      <c r="AO1538" s="19" t="n">
        <v>15</v>
      </c>
      <c r="AP1538" s="19"/>
      <c r="AQ1538" s="19"/>
      <c r="AR1538" s="19"/>
      <c r="AS1538" s="20" t="str">
        <f aca="false">HYPERLINK("http://www.openstreetmap.org/?mlat=33.805&amp;mlon=44.5206&amp;zoom=12#map=12/33.805/44.5206","Maplink1")</f>
        <v>Maplink1</v>
      </c>
      <c r="AT1538" s="20" t="str">
        <f aca="false">HYPERLINK("https://www.google.iq/maps/search/+33.805,44.5206/@33.805,44.5206,14z?hl=en","Maplink2")</f>
        <v>Maplink2</v>
      </c>
      <c r="AU1538" s="20" t="str">
        <f aca="false">HYPERLINK("http://www.bing.com/maps/?lvl=14&amp;sty=h&amp;cp=33.805~44.5206&amp;sp=point.33.805_44.5206","Maplink3")</f>
        <v>Maplink3</v>
      </c>
    </row>
    <row r="1539" customFormat="false" ht="15" hidden="false" customHeight="true" outlineLevel="0" collapsed="false">
      <c r="A1539" s="15" t="n">
        <v>25027</v>
      </c>
      <c r="B1539" s="16" t="s">
        <v>20</v>
      </c>
      <c r="C1539" s="16" t="s">
        <v>2997</v>
      </c>
      <c r="D1539" s="16" t="s">
        <v>3050</v>
      </c>
      <c r="E1539" s="17" t="s">
        <v>3051</v>
      </c>
      <c r="F1539" s="16" t="n">
        <v>33.7808581</v>
      </c>
      <c r="G1539" s="16" t="n">
        <v>44.51504689</v>
      </c>
      <c r="H1539" s="18" t="n">
        <v>12</v>
      </c>
      <c r="I1539" s="18" t="n">
        <v>72</v>
      </c>
      <c r="J1539" s="19"/>
      <c r="K1539" s="19"/>
      <c r="L1539" s="19"/>
      <c r="M1539" s="19"/>
      <c r="N1539" s="19"/>
      <c r="O1539" s="19" t="n">
        <v>12</v>
      </c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 t="n">
        <v>8</v>
      </c>
      <c r="AD1539" s="19"/>
      <c r="AE1539" s="19"/>
      <c r="AF1539" s="19"/>
      <c r="AG1539" s="19"/>
      <c r="AH1539" s="19" t="n">
        <v>4</v>
      </c>
      <c r="AI1539" s="19"/>
      <c r="AJ1539" s="19"/>
      <c r="AK1539" s="19"/>
      <c r="AL1539" s="19"/>
      <c r="AM1539" s="19"/>
      <c r="AN1539" s="19"/>
      <c r="AO1539" s="19" t="n">
        <v>12</v>
      </c>
      <c r="AP1539" s="19"/>
      <c r="AQ1539" s="19"/>
      <c r="AR1539" s="19"/>
      <c r="AS1539" s="20" t="str">
        <f aca="false">HYPERLINK("http://www.openstreetmap.org/?mlat=33.7809&amp;mlon=44.515&amp;zoom=12#map=12/33.7809/44.515","Maplink1")</f>
        <v>Maplink1</v>
      </c>
      <c r="AT1539" s="20" t="str">
        <f aca="false">HYPERLINK("https://www.google.iq/maps/search/+33.7809,44.515/@33.7809,44.515,14z?hl=en","Maplink2")</f>
        <v>Maplink2</v>
      </c>
      <c r="AU1539" s="20" t="str">
        <f aca="false">HYPERLINK("http://www.bing.com/maps/?lvl=14&amp;sty=h&amp;cp=33.7809~44.515&amp;sp=point.33.7809_44.515","Maplink3")</f>
        <v>Maplink3</v>
      </c>
    </row>
    <row r="1540" customFormat="false" ht="15" hidden="false" customHeight="true" outlineLevel="0" collapsed="false">
      <c r="A1540" s="15" t="n">
        <v>25034</v>
      </c>
      <c r="B1540" s="16" t="s">
        <v>20</v>
      </c>
      <c r="C1540" s="16" t="s">
        <v>2997</v>
      </c>
      <c r="D1540" s="16" t="s">
        <v>3052</v>
      </c>
      <c r="E1540" s="17" t="s">
        <v>3053</v>
      </c>
      <c r="F1540" s="16" t="n">
        <v>33.75033452</v>
      </c>
      <c r="G1540" s="16" t="n">
        <v>44.52273628</v>
      </c>
      <c r="H1540" s="18" t="n">
        <v>7</v>
      </c>
      <c r="I1540" s="18" t="n">
        <v>42</v>
      </c>
      <c r="J1540" s="19"/>
      <c r="K1540" s="19"/>
      <c r="L1540" s="19"/>
      <c r="M1540" s="19"/>
      <c r="N1540" s="19"/>
      <c r="O1540" s="19" t="n">
        <v>7</v>
      </c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 t="n">
        <v>7</v>
      </c>
      <c r="AI1540" s="19"/>
      <c r="AJ1540" s="19"/>
      <c r="AK1540" s="19"/>
      <c r="AL1540" s="19"/>
      <c r="AM1540" s="19" t="n">
        <v>5</v>
      </c>
      <c r="AN1540" s="19" t="n">
        <v>2</v>
      </c>
      <c r="AO1540" s="19"/>
      <c r="AP1540" s="19"/>
      <c r="AQ1540" s="19"/>
      <c r="AR1540" s="19"/>
      <c r="AS1540" s="20" t="str">
        <f aca="false">HYPERLINK("http://www.openstreetmap.org/?mlat=33.7503&amp;mlon=44.5227&amp;zoom=12#map=12/33.7503/44.5227","Maplink1")</f>
        <v>Maplink1</v>
      </c>
      <c r="AT1540" s="20" t="str">
        <f aca="false">HYPERLINK("https://www.google.iq/maps/search/+33.7503,44.5227/@33.7503,44.5227,14z?hl=en","Maplink2")</f>
        <v>Maplink2</v>
      </c>
      <c r="AU1540" s="20" t="str">
        <f aca="false">HYPERLINK("http://www.bing.com/maps/?lvl=14&amp;sty=h&amp;cp=33.7503~44.5227&amp;sp=point.33.7503_44.5227","Maplink3")</f>
        <v>Maplink3</v>
      </c>
    </row>
    <row r="1541" customFormat="false" ht="15" hidden="false" customHeight="true" outlineLevel="0" collapsed="false">
      <c r="A1541" s="15" t="n">
        <v>25028</v>
      </c>
      <c r="B1541" s="16" t="s">
        <v>20</v>
      </c>
      <c r="C1541" s="16" t="s">
        <v>2997</v>
      </c>
      <c r="D1541" s="16" t="s">
        <v>3054</v>
      </c>
      <c r="E1541" s="17" t="s">
        <v>3055</v>
      </c>
      <c r="F1541" s="16" t="n">
        <v>33.75080688</v>
      </c>
      <c r="G1541" s="16" t="n">
        <v>44.49239546</v>
      </c>
      <c r="H1541" s="18" t="n">
        <v>23</v>
      </c>
      <c r="I1541" s="18" t="n">
        <v>138</v>
      </c>
      <c r="J1541" s="19" t="n">
        <v>19</v>
      </c>
      <c r="K1541" s="19"/>
      <c r="L1541" s="19"/>
      <c r="M1541" s="19"/>
      <c r="N1541" s="19"/>
      <c r="O1541" s="19" t="n">
        <v>4</v>
      </c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 t="n">
        <v>23</v>
      </c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  <c r="AO1541" s="19" t="n">
        <v>4</v>
      </c>
      <c r="AP1541" s="19" t="n">
        <v>19</v>
      </c>
      <c r="AQ1541" s="19"/>
      <c r="AR1541" s="19"/>
      <c r="AS1541" s="20" t="str">
        <f aca="false">HYPERLINK("http://www.openstreetmap.org/?mlat=33.7508&amp;mlon=44.4924&amp;zoom=12#map=12/33.7508/44.4924","Maplink1")</f>
        <v>Maplink1</v>
      </c>
      <c r="AT1541" s="20" t="str">
        <f aca="false">HYPERLINK("https://www.google.iq/maps/search/+33.7508,44.4924/@33.7508,44.4924,14z?hl=en","Maplink2")</f>
        <v>Maplink2</v>
      </c>
      <c r="AU1541" s="20" t="str">
        <f aca="false">HYPERLINK("http://www.bing.com/maps/?lvl=14&amp;sty=h&amp;cp=33.7508~44.4924&amp;sp=point.33.7508_44.4924","Maplink3")</f>
        <v>Maplink3</v>
      </c>
    </row>
    <row r="1542" customFormat="false" ht="15" hidden="false" customHeight="true" outlineLevel="0" collapsed="false">
      <c r="A1542" s="15" t="n">
        <v>25035</v>
      </c>
      <c r="B1542" s="16" t="s">
        <v>20</v>
      </c>
      <c r="C1542" s="16" t="s">
        <v>2997</v>
      </c>
      <c r="D1542" s="16" t="s">
        <v>3056</v>
      </c>
      <c r="E1542" s="17" t="s">
        <v>3057</v>
      </c>
      <c r="F1542" s="16" t="n">
        <v>33.80902034</v>
      </c>
      <c r="G1542" s="16" t="n">
        <v>44.61665791</v>
      </c>
      <c r="H1542" s="18" t="n">
        <v>7</v>
      </c>
      <c r="I1542" s="18" t="n">
        <v>42</v>
      </c>
      <c r="J1542" s="19"/>
      <c r="K1542" s="19"/>
      <c r="L1542" s="19"/>
      <c r="M1542" s="19"/>
      <c r="N1542" s="19"/>
      <c r="O1542" s="19" t="n">
        <v>7</v>
      </c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 t="n">
        <v>7</v>
      </c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 t="n">
        <v>1</v>
      </c>
      <c r="AN1542" s="19"/>
      <c r="AO1542" s="19" t="n">
        <v>6</v>
      </c>
      <c r="AP1542" s="19"/>
      <c r="AQ1542" s="19"/>
      <c r="AR1542" s="19"/>
      <c r="AS1542" s="20" t="str">
        <f aca="false">HYPERLINK("http://www.openstreetmap.org/?mlat=33.809&amp;mlon=44.6167&amp;zoom=12#map=12/33.809/44.6167","Maplink1")</f>
        <v>Maplink1</v>
      </c>
      <c r="AT1542" s="20" t="str">
        <f aca="false">HYPERLINK("https://www.google.iq/maps/search/+33.809,44.6167/@33.809,44.6167,14z?hl=en","Maplink2")</f>
        <v>Maplink2</v>
      </c>
      <c r="AU1542" s="20" t="str">
        <f aca="false">HYPERLINK("http://www.bing.com/maps/?lvl=14&amp;sty=h&amp;cp=33.809~44.6167&amp;sp=point.33.809_44.6167","Maplink3")</f>
        <v>Maplink3</v>
      </c>
    </row>
    <row r="1543" customFormat="false" ht="15" hidden="false" customHeight="true" outlineLevel="0" collapsed="false">
      <c r="A1543" s="15" t="n">
        <v>25036</v>
      </c>
      <c r="B1543" s="16" t="s">
        <v>20</v>
      </c>
      <c r="C1543" s="16" t="s">
        <v>2997</v>
      </c>
      <c r="D1543" s="16" t="s">
        <v>3058</v>
      </c>
      <c r="E1543" s="17" t="s">
        <v>3059</v>
      </c>
      <c r="F1543" s="16" t="n">
        <v>33.78002306</v>
      </c>
      <c r="G1543" s="16" t="n">
        <v>44.51129171</v>
      </c>
      <c r="H1543" s="18" t="n">
        <v>28</v>
      </c>
      <c r="I1543" s="18" t="n">
        <v>168</v>
      </c>
      <c r="J1543" s="19"/>
      <c r="K1543" s="19"/>
      <c r="L1543" s="19"/>
      <c r="M1543" s="19"/>
      <c r="N1543" s="19"/>
      <c r="O1543" s="19" t="n">
        <v>20</v>
      </c>
      <c r="P1543" s="19"/>
      <c r="Q1543" s="19"/>
      <c r="R1543" s="19"/>
      <c r="S1543" s="19"/>
      <c r="T1543" s="19"/>
      <c r="U1543" s="19"/>
      <c r="V1543" s="19"/>
      <c r="W1543" s="19"/>
      <c r="X1543" s="19" t="n">
        <v>8</v>
      </c>
      <c r="Y1543" s="19"/>
      <c r="Z1543" s="19"/>
      <c r="AA1543" s="19"/>
      <c r="AB1543" s="19"/>
      <c r="AC1543" s="19" t="n">
        <v>13</v>
      </c>
      <c r="AD1543" s="19"/>
      <c r="AE1543" s="19"/>
      <c r="AF1543" s="19"/>
      <c r="AG1543" s="19"/>
      <c r="AH1543" s="19" t="n">
        <v>15</v>
      </c>
      <c r="AI1543" s="19"/>
      <c r="AJ1543" s="19"/>
      <c r="AK1543" s="19"/>
      <c r="AL1543" s="19"/>
      <c r="AM1543" s="19" t="n">
        <v>8</v>
      </c>
      <c r="AN1543" s="19"/>
      <c r="AO1543" s="19" t="n">
        <v>20</v>
      </c>
      <c r="AP1543" s="19"/>
      <c r="AQ1543" s="19"/>
      <c r="AR1543" s="19"/>
      <c r="AS1543" s="20" t="str">
        <f aca="false">HYPERLINK("http://www.openstreetmap.org/?mlat=33.78&amp;mlon=44.5113&amp;zoom=12#map=12/33.78/44.5113","Maplink1")</f>
        <v>Maplink1</v>
      </c>
      <c r="AT1543" s="20" t="str">
        <f aca="false">HYPERLINK("https://www.google.iq/maps/search/+33.78,44.5113/@33.78,44.5113,14z?hl=en","Maplink2")</f>
        <v>Maplink2</v>
      </c>
      <c r="AU1543" s="20" t="str">
        <f aca="false">HYPERLINK("http://www.bing.com/maps/?lvl=14&amp;sty=h&amp;cp=33.78~44.5113&amp;sp=point.33.78_44.5113","Maplink3")</f>
        <v>Maplink3</v>
      </c>
    </row>
    <row r="1544" customFormat="false" ht="15" hidden="false" customHeight="true" outlineLevel="0" collapsed="false">
      <c r="A1544" s="15" t="n">
        <v>25025</v>
      </c>
      <c r="B1544" s="16" t="s">
        <v>20</v>
      </c>
      <c r="C1544" s="16" t="s">
        <v>2997</v>
      </c>
      <c r="D1544" s="16" t="s">
        <v>3060</v>
      </c>
      <c r="E1544" s="17" t="s">
        <v>3061</v>
      </c>
      <c r="F1544" s="16" t="n">
        <v>33.78305357</v>
      </c>
      <c r="G1544" s="16" t="n">
        <v>44.50889071</v>
      </c>
      <c r="H1544" s="18" t="n">
        <v>17</v>
      </c>
      <c r="I1544" s="18" t="n">
        <v>102</v>
      </c>
      <c r="J1544" s="19"/>
      <c r="K1544" s="19"/>
      <c r="L1544" s="19"/>
      <c r="M1544" s="19"/>
      <c r="N1544" s="19"/>
      <c r="O1544" s="19" t="n">
        <v>17</v>
      </c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 t="n">
        <v>17</v>
      </c>
      <c r="AI1544" s="19"/>
      <c r="AJ1544" s="19"/>
      <c r="AK1544" s="19"/>
      <c r="AL1544" s="19"/>
      <c r="AM1544" s="19"/>
      <c r="AN1544" s="19"/>
      <c r="AO1544" s="19" t="n">
        <v>17</v>
      </c>
      <c r="AP1544" s="19"/>
      <c r="AQ1544" s="19"/>
      <c r="AR1544" s="19"/>
      <c r="AS1544" s="20" t="str">
        <f aca="false">HYPERLINK("http://www.openstreetmap.org/?mlat=33.7831&amp;mlon=44.5089&amp;zoom=12#map=12/33.7831/44.5089","Maplink1")</f>
        <v>Maplink1</v>
      </c>
      <c r="AT1544" s="20" t="str">
        <f aca="false">HYPERLINK("https://www.google.iq/maps/search/+33.7831,44.5089/@33.7831,44.5089,14z?hl=en","Maplink2")</f>
        <v>Maplink2</v>
      </c>
      <c r="AU1544" s="20" t="str">
        <f aca="false">HYPERLINK("http://www.bing.com/maps/?lvl=14&amp;sty=h&amp;cp=33.7831~44.5089&amp;sp=point.33.7831_44.5089","Maplink3")</f>
        <v>Maplink3</v>
      </c>
    </row>
    <row r="1545" customFormat="false" ht="15" hidden="false" customHeight="true" outlineLevel="0" collapsed="false">
      <c r="A1545" s="15" t="n">
        <v>25024</v>
      </c>
      <c r="B1545" s="16" t="s">
        <v>20</v>
      </c>
      <c r="C1545" s="16" t="s">
        <v>2997</v>
      </c>
      <c r="D1545" s="16" t="s">
        <v>3062</v>
      </c>
      <c r="E1545" s="17" t="s">
        <v>3063</v>
      </c>
      <c r="F1545" s="16" t="n">
        <v>33.78597672</v>
      </c>
      <c r="G1545" s="16" t="n">
        <v>44.5110944</v>
      </c>
      <c r="H1545" s="18" t="n">
        <v>5</v>
      </c>
      <c r="I1545" s="18" t="n">
        <v>30</v>
      </c>
      <c r="J1545" s="19"/>
      <c r="K1545" s="19"/>
      <c r="L1545" s="19"/>
      <c r="M1545" s="19"/>
      <c r="N1545" s="19"/>
      <c r="O1545" s="19" t="n">
        <v>5</v>
      </c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 t="n">
        <v>5</v>
      </c>
      <c r="AI1545" s="19"/>
      <c r="AJ1545" s="19"/>
      <c r="AK1545" s="19"/>
      <c r="AL1545" s="19"/>
      <c r="AM1545" s="19"/>
      <c r="AN1545" s="19"/>
      <c r="AO1545" s="19" t="n">
        <v>5</v>
      </c>
      <c r="AP1545" s="19"/>
      <c r="AQ1545" s="19"/>
      <c r="AR1545" s="19"/>
      <c r="AS1545" s="20" t="str">
        <f aca="false">HYPERLINK("http://www.openstreetmap.org/?mlat=33.786&amp;mlon=44.5111&amp;zoom=12#map=12/33.786/44.5111","Maplink1")</f>
        <v>Maplink1</v>
      </c>
      <c r="AT1545" s="20" t="str">
        <f aca="false">HYPERLINK("https://www.google.iq/maps/search/+33.786,44.5111/@33.786,44.5111,14z?hl=en","Maplink2")</f>
        <v>Maplink2</v>
      </c>
      <c r="AU1545" s="20" t="str">
        <f aca="false">HYPERLINK("http://www.bing.com/maps/?lvl=14&amp;sty=h&amp;cp=33.786~44.5111&amp;sp=point.33.786_44.5111","Maplink3")</f>
        <v>Maplink3</v>
      </c>
    </row>
    <row r="1546" customFormat="false" ht="15" hidden="false" customHeight="true" outlineLevel="0" collapsed="false">
      <c r="A1546" s="15" t="n">
        <v>11425</v>
      </c>
      <c r="B1546" s="16" t="s">
        <v>20</v>
      </c>
      <c r="C1546" s="16" t="s">
        <v>2997</v>
      </c>
      <c r="D1546" s="16" t="s">
        <v>3064</v>
      </c>
      <c r="E1546" s="17" t="s">
        <v>3065</v>
      </c>
      <c r="F1546" s="16" t="n">
        <v>33.64231856</v>
      </c>
      <c r="G1546" s="16" t="n">
        <v>44.41510784</v>
      </c>
      <c r="H1546" s="18" t="n">
        <v>118</v>
      </c>
      <c r="I1546" s="18" t="n">
        <v>708</v>
      </c>
      <c r="J1546" s="19"/>
      <c r="K1546" s="19"/>
      <c r="L1546" s="19"/>
      <c r="M1546" s="19"/>
      <c r="N1546" s="19"/>
      <c r="O1546" s="19" t="n">
        <v>97</v>
      </c>
      <c r="P1546" s="19"/>
      <c r="Q1546" s="19"/>
      <c r="R1546" s="19"/>
      <c r="S1546" s="19"/>
      <c r="T1546" s="19"/>
      <c r="U1546" s="19"/>
      <c r="V1546" s="19" t="n">
        <v>5</v>
      </c>
      <c r="W1546" s="19"/>
      <c r="X1546" s="19" t="n">
        <v>16</v>
      </c>
      <c r="Y1546" s="19"/>
      <c r="Z1546" s="19"/>
      <c r="AA1546" s="19"/>
      <c r="AB1546" s="19"/>
      <c r="AC1546" s="19" t="n">
        <v>67</v>
      </c>
      <c r="AD1546" s="19"/>
      <c r="AE1546" s="19"/>
      <c r="AF1546" s="19"/>
      <c r="AG1546" s="19"/>
      <c r="AH1546" s="19" t="n">
        <v>35</v>
      </c>
      <c r="AI1546" s="19"/>
      <c r="AJ1546" s="19" t="n">
        <v>16</v>
      </c>
      <c r="AK1546" s="19"/>
      <c r="AL1546" s="19"/>
      <c r="AM1546" s="19" t="n">
        <v>67</v>
      </c>
      <c r="AN1546" s="19" t="n">
        <v>26</v>
      </c>
      <c r="AO1546" s="19" t="n">
        <v>25</v>
      </c>
      <c r="AP1546" s="19"/>
      <c r="AQ1546" s="19"/>
      <c r="AR1546" s="19"/>
      <c r="AS1546" s="20" t="str">
        <f aca="false">HYPERLINK("http://www.openstreetmap.org/?mlat=33.6423&amp;mlon=44.4151&amp;zoom=12#map=12/33.6423/44.4151","Maplink1")</f>
        <v>Maplink1</v>
      </c>
      <c r="AT1546" s="20" t="str">
        <f aca="false">HYPERLINK("https://www.google.iq/maps/search/+33.6423,44.4151/@33.6423,44.4151,14z?hl=en","Maplink2")</f>
        <v>Maplink2</v>
      </c>
      <c r="AU1546" s="20" t="str">
        <f aca="false">HYPERLINK("http://www.bing.com/maps/?lvl=14&amp;sty=h&amp;cp=33.6423~44.4151&amp;sp=point.33.6423_44.4151","Maplink3")</f>
        <v>Maplink3</v>
      </c>
    </row>
    <row r="1547" customFormat="false" ht="15" hidden="false" customHeight="true" outlineLevel="0" collapsed="false">
      <c r="A1547" s="15" t="n">
        <v>25033</v>
      </c>
      <c r="B1547" s="16" t="s">
        <v>20</v>
      </c>
      <c r="C1547" s="16" t="s">
        <v>2997</v>
      </c>
      <c r="D1547" s="16" t="s">
        <v>3066</v>
      </c>
      <c r="E1547" s="17" t="s">
        <v>3067</v>
      </c>
      <c r="F1547" s="16" t="n">
        <v>33.69882224</v>
      </c>
      <c r="G1547" s="16" t="n">
        <v>44.45613158</v>
      </c>
      <c r="H1547" s="18" t="n">
        <v>11</v>
      </c>
      <c r="I1547" s="18" t="n">
        <v>66</v>
      </c>
      <c r="J1547" s="19"/>
      <c r="K1547" s="19"/>
      <c r="L1547" s="19"/>
      <c r="M1547" s="19"/>
      <c r="N1547" s="19"/>
      <c r="O1547" s="19" t="n">
        <v>7</v>
      </c>
      <c r="P1547" s="19"/>
      <c r="Q1547" s="19"/>
      <c r="R1547" s="19"/>
      <c r="S1547" s="19"/>
      <c r="T1547" s="19"/>
      <c r="U1547" s="19"/>
      <c r="V1547" s="19"/>
      <c r="W1547" s="19"/>
      <c r="X1547" s="19" t="n">
        <v>4</v>
      </c>
      <c r="Y1547" s="19"/>
      <c r="Z1547" s="19"/>
      <c r="AA1547" s="19"/>
      <c r="AB1547" s="19"/>
      <c r="AC1547" s="19" t="n">
        <v>11</v>
      </c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  <c r="AO1547" s="19" t="n">
        <v>7</v>
      </c>
      <c r="AP1547" s="19" t="n">
        <v>4</v>
      </c>
      <c r="AQ1547" s="19"/>
      <c r="AR1547" s="19"/>
      <c r="AS1547" s="20" t="str">
        <f aca="false">HYPERLINK("http://www.openstreetmap.org/?mlat=33.6988&amp;mlon=44.4561&amp;zoom=12#map=12/33.6988/44.4561","Maplink1")</f>
        <v>Maplink1</v>
      </c>
      <c r="AT1547" s="20" t="str">
        <f aca="false">HYPERLINK("https://www.google.iq/maps/search/+33.6988,44.4561/@33.6988,44.4561,14z?hl=en","Maplink2")</f>
        <v>Maplink2</v>
      </c>
      <c r="AU1547" s="20" t="str">
        <f aca="false">HYPERLINK("http://www.bing.com/maps/?lvl=14&amp;sty=h&amp;cp=33.6988~44.4561&amp;sp=point.33.6988_44.4561","Maplink3")</f>
        <v>Maplink3</v>
      </c>
    </row>
    <row r="1548" customFormat="false" ht="15" hidden="false" customHeight="true" outlineLevel="0" collapsed="false">
      <c r="A1548" s="15" t="n">
        <v>11081</v>
      </c>
      <c r="B1548" s="16" t="s">
        <v>20</v>
      </c>
      <c r="C1548" s="16" t="s">
        <v>2997</v>
      </c>
      <c r="D1548" s="16" t="s">
        <v>3068</v>
      </c>
      <c r="E1548" s="17" t="s">
        <v>3069</v>
      </c>
      <c r="F1548" s="16" t="n">
        <v>33.85054606</v>
      </c>
      <c r="G1548" s="16" t="n">
        <v>44.52228428</v>
      </c>
      <c r="H1548" s="18" t="n">
        <v>160</v>
      </c>
      <c r="I1548" s="18" t="n">
        <v>960</v>
      </c>
      <c r="J1548" s="19"/>
      <c r="K1548" s="19"/>
      <c r="L1548" s="19"/>
      <c r="M1548" s="19"/>
      <c r="N1548" s="19"/>
      <c r="O1548" s="19" t="n">
        <v>160</v>
      </c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 t="n">
        <v>110</v>
      </c>
      <c r="AD1548" s="19"/>
      <c r="AE1548" s="19"/>
      <c r="AF1548" s="19"/>
      <c r="AG1548" s="19"/>
      <c r="AH1548" s="19" t="n">
        <v>50</v>
      </c>
      <c r="AI1548" s="19"/>
      <c r="AJ1548" s="19"/>
      <c r="AK1548" s="19"/>
      <c r="AL1548" s="19"/>
      <c r="AM1548" s="19"/>
      <c r="AN1548" s="19"/>
      <c r="AO1548" s="19" t="n">
        <v>160</v>
      </c>
      <c r="AP1548" s="19"/>
      <c r="AQ1548" s="19"/>
      <c r="AR1548" s="19"/>
      <c r="AS1548" s="20" t="str">
        <f aca="false">HYPERLINK("http://www.openstreetmap.org/?mlat=33.8505&amp;mlon=44.5223&amp;zoom=12#map=12/33.8505/44.5223","Maplink1")</f>
        <v>Maplink1</v>
      </c>
      <c r="AT1548" s="20" t="str">
        <f aca="false">HYPERLINK("https://www.google.iq/maps/search/+33.8505,44.5223/@33.8505,44.5223,14z?hl=en","Maplink2")</f>
        <v>Maplink2</v>
      </c>
      <c r="AU1548" s="20" t="str">
        <f aca="false">HYPERLINK("http://www.bing.com/maps/?lvl=14&amp;sty=h&amp;cp=33.8505~44.5223&amp;sp=point.33.8505_44.5223","Maplink3")</f>
        <v>Maplink3</v>
      </c>
    </row>
    <row r="1549" customFormat="false" ht="15" hidden="false" customHeight="true" outlineLevel="0" collapsed="false">
      <c r="A1549" s="15" t="n">
        <v>10445</v>
      </c>
      <c r="B1549" s="16" t="s">
        <v>20</v>
      </c>
      <c r="C1549" s="16" t="s">
        <v>2997</v>
      </c>
      <c r="D1549" s="16" t="s">
        <v>3070</v>
      </c>
      <c r="E1549" s="17" t="s">
        <v>3071</v>
      </c>
      <c r="F1549" s="16" t="n">
        <v>33.78374213</v>
      </c>
      <c r="G1549" s="16" t="n">
        <v>44.51518451</v>
      </c>
      <c r="H1549" s="18" t="n">
        <v>125</v>
      </c>
      <c r="I1549" s="18" t="n">
        <v>750</v>
      </c>
      <c r="J1549" s="19" t="n">
        <v>10</v>
      </c>
      <c r="K1549" s="19"/>
      <c r="L1549" s="19"/>
      <c r="M1549" s="19"/>
      <c r="N1549" s="19"/>
      <c r="O1549" s="19" t="n">
        <v>115</v>
      </c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 t="n">
        <v>76</v>
      </c>
      <c r="AD1549" s="19"/>
      <c r="AE1549" s="19"/>
      <c r="AF1549" s="19"/>
      <c r="AG1549" s="19"/>
      <c r="AH1549" s="19" t="n">
        <v>49</v>
      </c>
      <c r="AI1549" s="19"/>
      <c r="AJ1549" s="19"/>
      <c r="AK1549" s="19"/>
      <c r="AL1549" s="19"/>
      <c r="AM1549" s="19"/>
      <c r="AN1549" s="19" t="n">
        <v>46</v>
      </c>
      <c r="AO1549" s="19" t="n">
        <v>69</v>
      </c>
      <c r="AP1549" s="19"/>
      <c r="AQ1549" s="19" t="n">
        <v>10</v>
      </c>
      <c r="AR1549" s="19"/>
      <c r="AS1549" s="20" t="str">
        <f aca="false">HYPERLINK("http://www.openstreetmap.org/?mlat=33.7837&amp;mlon=44.5152&amp;zoom=12#map=12/33.7837/44.5152","Maplink1")</f>
        <v>Maplink1</v>
      </c>
      <c r="AT1549" s="20" t="str">
        <f aca="false">HYPERLINK("https://www.google.iq/maps/search/+33.7837,44.5152/@33.7837,44.5152,14z?hl=en","Maplink2")</f>
        <v>Maplink2</v>
      </c>
      <c r="AU1549" s="20" t="str">
        <f aca="false">HYPERLINK("http://www.bing.com/maps/?lvl=14&amp;sty=h&amp;cp=33.7837~44.5152&amp;sp=point.33.7837_44.5152","Maplink3")</f>
        <v>Maplink3</v>
      </c>
    </row>
    <row r="1550" customFormat="false" ht="15" hidden="false" customHeight="true" outlineLevel="0" collapsed="false">
      <c r="A1550" s="15" t="n">
        <v>11392</v>
      </c>
      <c r="B1550" s="16" t="s">
        <v>20</v>
      </c>
      <c r="C1550" s="16" t="s">
        <v>2997</v>
      </c>
      <c r="D1550" s="16" t="s">
        <v>3072</v>
      </c>
      <c r="E1550" s="17" t="s">
        <v>3073</v>
      </c>
      <c r="F1550" s="16" t="n">
        <v>33.84408193</v>
      </c>
      <c r="G1550" s="16" t="n">
        <v>44.61594063</v>
      </c>
      <c r="H1550" s="18" t="n">
        <v>25</v>
      </c>
      <c r="I1550" s="18" t="n">
        <v>150</v>
      </c>
      <c r="J1550" s="19"/>
      <c r="K1550" s="19"/>
      <c r="L1550" s="19"/>
      <c r="M1550" s="19"/>
      <c r="N1550" s="19"/>
      <c r="O1550" s="19" t="n">
        <v>25</v>
      </c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 t="n">
        <v>25</v>
      </c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 t="n">
        <v>25</v>
      </c>
      <c r="AN1550" s="19"/>
      <c r="AO1550" s="19"/>
      <c r="AP1550" s="19"/>
      <c r="AQ1550" s="19"/>
      <c r="AR1550" s="19"/>
      <c r="AS1550" s="20" t="str">
        <f aca="false">HYPERLINK("http://www.openstreetmap.org/?mlat=33.8441&amp;mlon=44.6159&amp;zoom=12#map=12/33.8441/44.6159","Maplink1")</f>
        <v>Maplink1</v>
      </c>
      <c r="AT1550" s="20" t="str">
        <f aca="false">HYPERLINK("https://www.google.iq/maps/search/+33.8441,44.6159/@33.8441,44.6159,14z?hl=en","Maplink2")</f>
        <v>Maplink2</v>
      </c>
      <c r="AU1550" s="20" t="str">
        <f aca="false">HYPERLINK("http://www.bing.com/maps/?lvl=14&amp;sty=h&amp;cp=33.8441~44.6159&amp;sp=point.33.8441_44.6159","Maplink3")</f>
        <v>Maplink3</v>
      </c>
    </row>
    <row r="1551" customFormat="false" ht="15" hidden="false" customHeight="true" outlineLevel="0" collapsed="false">
      <c r="A1551" s="15" t="n">
        <v>25023</v>
      </c>
      <c r="B1551" s="16" t="s">
        <v>20</v>
      </c>
      <c r="C1551" s="16" t="s">
        <v>2997</v>
      </c>
      <c r="D1551" s="16" t="s">
        <v>3074</v>
      </c>
      <c r="E1551" s="17" t="s">
        <v>3075</v>
      </c>
      <c r="F1551" s="16" t="n">
        <v>33.74095086</v>
      </c>
      <c r="G1551" s="16" t="n">
        <v>44.49490543</v>
      </c>
      <c r="H1551" s="18" t="n">
        <v>72</v>
      </c>
      <c r="I1551" s="18" t="n">
        <v>432</v>
      </c>
      <c r="J1551" s="19"/>
      <c r="K1551" s="19"/>
      <c r="L1551" s="19"/>
      <c r="M1551" s="19"/>
      <c r="N1551" s="19"/>
      <c r="O1551" s="19" t="n">
        <v>36</v>
      </c>
      <c r="P1551" s="19"/>
      <c r="Q1551" s="19"/>
      <c r="R1551" s="19"/>
      <c r="S1551" s="19"/>
      <c r="T1551" s="19"/>
      <c r="U1551" s="19"/>
      <c r="V1551" s="19" t="n">
        <v>3</v>
      </c>
      <c r="W1551" s="19"/>
      <c r="X1551" s="19" t="n">
        <v>33</v>
      </c>
      <c r="Y1551" s="19"/>
      <c r="Z1551" s="19"/>
      <c r="AA1551" s="19"/>
      <c r="AB1551" s="19"/>
      <c r="AC1551" s="19" t="n">
        <v>27</v>
      </c>
      <c r="AD1551" s="19"/>
      <c r="AE1551" s="19"/>
      <c r="AF1551" s="19"/>
      <c r="AG1551" s="19"/>
      <c r="AH1551" s="19" t="n">
        <v>45</v>
      </c>
      <c r="AI1551" s="19"/>
      <c r="AJ1551" s="19"/>
      <c r="AK1551" s="19"/>
      <c r="AL1551" s="19"/>
      <c r="AM1551" s="19" t="n">
        <v>27</v>
      </c>
      <c r="AN1551" s="19"/>
      <c r="AO1551" s="19" t="n">
        <v>45</v>
      </c>
      <c r="AP1551" s="19"/>
      <c r="AQ1551" s="19"/>
      <c r="AR1551" s="19"/>
      <c r="AS1551" s="20" t="str">
        <f aca="false">HYPERLINK("http://www.openstreetmap.org/?mlat=33.741&amp;mlon=44.4949&amp;zoom=12#map=12/33.741/44.4949","Maplink1")</f>
        <v>Maplink1</v>
      </c>
      <c r="AT1551" s="20" t="str">
        <f aca="false">HYPERLINK("https://www.google.iq/maps/search/+33.741,44.4949/@33.741,44.4949,14z?hl=en","Maplink2")</f>
        <v>Maplink2</v>
      </c>
      <c r="AU1551" s="20" t="str">
        <f aca="false">HYPERLINK("http://www.bing.com/maps/?lvl=14&amp;sty=h&amp;cp=33.741~44.4949&amp;sp=point.33.741_44.4949","Maplink3")</f>
        <v>Maplink3</v>
      </c>
    </row>
    <row r="1552" customFormat="false" ht="15" hidden="false" customHeight="true" outlineLevel="0" collapsed="false">
      <c r="A1552" s="15" t="n">
        <v>25624</v>
      </c>
      <c r="B1552" s="16" t="s">
        <v>20</v>
      </c>
      <c r="C1552" s="16" t="s">
        <v>3076</v>
      </c>
      <c r="D1552" s="16" t="s">
        <v>3077</v>
      </c>
      <c r="E1552" s="17" t="s">
        <v>3078</v>
      </c>
      <c r="F1552" s="16" t="n">
        <v>34.014</v>
      </c>
      <c r="G1552" s="16" t="n">
        <v>45.0198</v>
      </c>
      <c r="H1552" s="18" t="n">
        <v>30</v>
      </c>
      <c r="I1552" s="18" t="n">
        <v>180</v>
      </c>
      <c r="J1552" s="19"/>
      <c r="K1552" s="19"/>
      <c r="L1552" s="19"/>
      <c r="M1552" s="19"/>
      <c r="N1552" s="19"/>
      <c r="O1552" s="19" t="n">
        <v>30</v>
      </c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 t="n">
        <v>30</v>
      </c>
      <c r="AK1552" s="19"/>
      <c r="AL1552" s="19"/>
      <c r="AM1552" s="19" t="n">
        <v>30</v>
      </c>
      <c r="AN1552" s="19"/>
      <c r="AO1552" s="19"/>
      <c r="AP1552" s="19"/>
      <c r="AQ1552" s="19"/>
      <c r="AR1552" s="19"/>
      <c r="AS1552" s="20" t="str">
        <f aca="false">HYPERLINK("http://www.openstreetmap.org/?mlat=34.014&amp;mlon=45.0198&amp;zoom=12#map=12/34.014/45.0198","Maplink1")</f>
        <v>Maplink1</v>
      </c>
      <c r="AT1552" s="20" t="str">
        <f aca="false">HYPERLINK("https://www.google.iq/maps/search/+34.014,45.0198/@34.014,45.0198,14z?hl=en","Maplink2")</f>
        <v>Maplink2</v>
      </c>
      <c r="AU1552" s="20" t="str">
        <f aca="false">HYPERLINK("http://www.bing.com/maps/?lvl=14&amp;sty=h&amp;cp=34.014~45.0198&amp;sp=point.34.014_45.0198","Maplink3")</f>
        <v>Maplink3</v>
      </c>
    </row>
    <row r="1553" customFormat="false" ht="15" hidden="false" customHeight="true" outlineLevel="0" collapsed="false">
      <c r="A1553" s="15" t="n">
        <v>25040</v>
      </c>
      <c r="B1553" s="16" t="s">
        <v>20</v>
      </c>
      <c r="C1553" s="16" t="s">
        <v>3079</v>
      </c>
      <c r="D1553" s="16" t="s">
        <v>3080</v>
      </c>
      <c r="E1553" s="17" t="s">
        <v>3081</v>
      </c>
      <c r="F1553" s="16" t="n">
        <v>33.69177433</v>
      </c>
      <c r="G1553" s="16" t="n">
        <v>44.80075708</v>
      </c>
      <c r="H1553" s="18" t="n">
        <v>75</v>
      </c>
      <c r="I1553" s="18" t="n">
        <v>450</v>
      </c>
      <c r="J1553" s="19"/>
      <c r="K1553" s="19"/>
      <c r="L1553" s="19"/>
      <c r="M1553" s="19"/>
      <c r="N1553" s="19"/>
      <c r="O1553" s="19" t="n">
        <v>75</v>
      </c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 t="n">
        <v>45</v>
      </c>
      <c r="AI1553" s="19"/>
      <c r="AJ1553" s="19" t="n">
        <v>30</v>
      </c>
      <c r="AK1553" s="19"/>
      <c r="AL1553" s="19"/>
      <c r="AM1553" s="19"/>
      <c r="AN1553" s="19"/>
      <c r="AO1553" s="19" t="n">
        <v>75</v>
      </c>
      <c r="AP1553" s="19"/>
      <c r="AQ1553" s="19"/>
      <c r="AR1553" s="19"/>
      <c r="AS1553" s="20" t="str">
        <f aca="false">HYPERLINK("http://www.openstreetmap.org/?mlat=33.6918&amp;mlon=44.8008&amp;zoom=12#map=12/33.6918/44.8008","Maplink1")</f>
        <v>Maplink1</v>
      </c>
      <c r="AT1553" s="20" t="str">
        <f aca="false">HYPERLINK("https://www.google.iq/maps/search/+33.6918,44.8008/@33.6918,44.8008,14z?hl=en","Maplink2")</f>
        <v>Maplink2</v>
      </c>
      <c r="AU1553" s="20" t="str">
        <f aca="false">HYPERLINK("http://www.bing.com/maps/?lvl=14&amp;sty=h&amp;cp=33.6918~44.8008&amp;sp=point.33.6918_44.8008","Maplink3")</f>
        <v>Maplink3</v>
      </c>
    </row>
    <row r="1554" customFormat="false" ht="15" hidden="false" customHeight="true" outlineLevel="0" collapsed="false">
      <c r="A1554" s="15" t="n">
        <v>25052</v>
      </c>
      <c r="B1554" s="16" t="s">
        <v>20</v>
      </c>
      <c r="C1554" s="16" t="s">
        <v>3079</v>
      </c>
      <c r="D1554" s="16" t="s">
        <v>3082</v>
      </c>
      <c r="E1554" s="17" t="s">
        <v>1107</v>
      </c>
      <c r="F1554" s="16" t="n">
        <v>33.65537316</v>
      </c>
      <c r="G1554" s="16" t="n">
        <v>44.76889098</v>
      </c>
      <c r="H1554" s="18" t="n">
        <v>15</v>
      </c>
      <c r="I1554" s="18" t="n">
        <v>90</v>
      </c>
      <c r="J1554" s="19"/>
      <c r="K1554" s="19"/>
      <c r="L1554" s="19"/>
      <c r="M1554" s="19"/>
      <c r="N1554" s="19"/>
      <c r="O1554" s="19" t="n">
        <v>15</v>
      </c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 t="n">
        <v>15</v>
      </c>
      <c r="AI1554" s="19"/>
      <c r="AJ1554" s="19"/>
      <c r="AK1554" s="19"/>
      <c r="AL1554" s="19"/>
      <c r="AM1554" s="19"/>
      <c r="AN1554" s="19"/>
      <c r="AO1554" s="19" t="n">
        <v>15</v>
      </c>
      <c r="AP1554" s="19"/>
      <c r="AQ1554" s="19"/>
      <c r="AR1554" s="19"/>
      <c r="AS1554" s="20" t="str">
        <f aca="false">HYPERLINK("http://www.openstreetmap.org/?mlat=33.6554&amp;mlon=44.7689&amp;zoom=12#map=12/33.6554/44.7689","Maplink1")</f>
        <v>Maplink1</v>
      </c>
      <c r="AT1554" s="20" t="str">
        <f aca="false">HYPERLINK("https://www.google.iq/maps/search/+33.6554,44.7689/@33.6554,44.7689,14z?hl=en","Maplink2")</f>
        <v>Maplink2</v>
      </c>
      <c r="AU1554" s="20" t="str">
        <f aca="false">HYPERLINK("http://www.bing.com/maps/?lvl=14&amp;sty=h&amp;cp=33.6554~44.7689&amp;sp=point.33.6554_44.7689","Maplink3")</f>
        <v>Maplink3</v>
      </c>
    </row>
    <row r="1555" customFormat="false" ht="15" hidden="false" customHeight="true" outlineLevel="0" collapsed="false">
      <c r="A1555" s="15" t="n">
        <v>11250</v>
      </c>
      <c r="B1555" s="16" t="s">
        <v>20</v>
      </c>
      <c r="C1555" s="16" t="s">
        <v>3079</v>
      </c>
      <c r="D1555" s="16" t="s">
        <v>3083</v>
      </c>
      <c r="E1555" s="17" t="s">
        <v>3084</v>
      </c>
      <c r="F1555" s="16" t="n">
        <v>33.7072494</v>
      </c>
      <c r="G1555" s="16" t="n">
        <v>44.66115246</v>
      </c>
      <c r="H1555" s="18" t="n">
        <v>30</v>
      </c>
      <c r="I1555" s="18" t="n">
        <v>180</v>
      </c>
      <c r="J1555" s="19"/>
      <c r="K1555" s="19"/>
      <c r="L1555" s="19"/>
      <c r="M1555" s="19"/>
      <c r="N1555" s="19"/>
      <c r="O1555" s="19" t="n">
        <v>30</v>
      </c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 t="n">
        <v>30</v>
      </c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9" t="n">
        <v>30</v>
      </c>
      <c r="AP1555" s="19"/>
      <c r="AQ1555" s="19"/>
      <c r="AR1555" s="19"/>
      <c r="AS1555" s="20" t="str">
        <f aca="false">HYPERLINK("http://www.openstreetmap.org/?mlat=33.7072&amp;mlon=44.6612&amp;zoom=12#map=12/33.7072/44.6612","Maplink1")</f>
        <v>Maplink1</v>
      </c>
      <c r="AT1555" s="20" t="str">
        <f aca="false">HYPERLINK("https://www.google.iq/maps/search/+33.7072,44.6612/@33.7072,44.6612,14z?hl=en","Maplink2")</f>
        <v>Maplink2</v>
      </c>
      <c r="AU1555" s="20" t="str">
        <f aca="false">HYPERLINK("http://www.bing.com/maps/?lvl=14&amp;sty=h&amp;cp=33.7072~44.6612&amp;sp=point.33.7072_44.6612","Maplink3")</f>
        <v>Maplink3</v>
      </c>
    </row>
    <row r="1556" customFormat="false" ht="15" hidden="false" customHeight="true" outlineLevel="0" collapsed="false">
      <c r="A1556" s="15" t="n">
        <v>23155</v>
      </c>
      <c r="B1556" s="16" t="s">
        <v>20</v>
      </c>
      <c r="C1556" s="16" t="s">
        <v>3079</v>
      </c>
      <c r="D1556" s="16" t="s">
        <v>3085</v>
      </c>
      <c r="E1556" s="17" t="s">
        <v>3086</v>
      </c>
      <c r="F1556" s="16" t="n">
        <v>33.8331451</v>
      </c>
      <c r="G1556" s="16" t="n">
        <v>44.63916176</v>
      </c>
      <c r="H1556" s="18" t="n">
        <v>5</v>
      </c>
      <c r="I1556" s="18" t="n">
        <v>30</v>
      </c>
      <c r="J1556" s="19"/>
      <c r="K1556" s="19"/>
      <c r="L1556" s="19"/>
      <c r="M1556" s="19"/>
      <c r="N1556" s="19"/>
      <c r="O1556" s="19" t="n">
        <v>5</v>
      </c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 t="n">
        <v>5</v>
      </c>
      <c r="AI1556" s="19"/>
      <c r="AJ1556" s="19"/>
      <c r="AK1556" s="19"/>
      <c r="AL1556" s="19"/>
      <c r="AM1556" s="19"/>
      <c r="AN1556" s="19"/>
      <c r="AO1556" s="19" t="n">
        <v>5</v>
      </c>
      <c r="AP1556" s="19"/>
      <c r="AQ1556" s="19"/>
      <c r="AR1556" s="19"/>
      <c r="AS1556" s="20" t="str">
        <f aca="false">HYPERLINK("http://www.openstreetmap.org/?mlat=33.8331&amp;mlon=44.6392&amp;zoom=12#map=12/33.8331/44.6392","Maplink1")</f>
        <v>Maplink1</v>
      </c>
      <c r="AT1556" s="20" t="str">
        <f aca="false">HYPERLINK("https://www.google.iq/maps/search/+33.8331,44.6392/@33.8331,44.6392,14z?hl=en","Maplink2")</f>
        <v>Maplink2</v>
      </c>
      <c r="AU1556" s="20" t="str">
        <f aca="false">HYPERLINK("http://www.bing.com/maps/?lvl=14&amp;sty=h&amp;cp=33.8331~44.6392&amp;sp=point.33.8331_44.6392","Maplink3")</f>
        <v>Maplink3</v>
      </c>
    </row>
    <row r="1557" customFormat="false" ht="15" hidden="false" customHeight="true" outlineLevel="0" collapsed="false">
      <c r="A1557" s="15" t="n">
        <v>11177</v>
      </c>
      <c r="B1557" s="16" t="s">
        <v>20</v>
      </c>
      <c r="C1557" s="16" t="s">
        <v>3079</v>
      </c>
      <c r="D1557" s="16" t="s">
        <v>3087</v>
      </c>
      <c r="E1557" s="17" t="s">
        <v>3088</v>
      </c>
      <c r="F1557" s="16" t="n">
        <v>33.75758172</v>
      </c>
      <c r="G1557" s="16" t="n">
        <v>44.58232138</v>
      </c>
      <c r="H1557" s="18" t="n">
        <v>127</v>
      </c>
      <c r="I1557" s="18" t="n">
        <v>762</v>
      </c>
      <c r="J1557" s="19"/>
      <c r="K1557" s="19"/>
      <c r="L1557" s="19"/>
      <c r="M1557" s="19"/>
      <c r="N1557" s="19"/>
      <c r="O1557" s="19" t="n">
        <v>127</v>
      </c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 t="n">
        <v>127</v>
      </c>
      <c r="AI1557" s="19"/>
      <c r="AJ1557" s="19"/>
      <c r="AK1557" s="19"/>
      <c r="AL1557" s="19"/>
      <c r="AM1557" s="19"/>
      <c r="AN1557" s="19"/>
      <c r="AO1557" s="19" t="n">
        <v>127</v>
      </c>
      <c r="AP1557" s="19"/>
      <c r="AQ1557" s="19"/>
      <c r="AR1557" s="19"/>
      <c r="AS1557" s="20" t="str">
        <f aca="false">HYPERLINK("http://www.openstreetmap.org/?mlat=33.7576&amp;mlon=44.5823&amp;zoom=12#map=12/33.7576/44.5823","Maplink1")</f>
        <v>Maplink1</v>
      </c>
      <c r="AT1557" s="20" t="str">
        <f aca="false">HYPERLINK("https://www.google.iq/maps/search/+33.7576,44.5823/@33.7576,44.5823,14z?hl=en","Maplink2")</f>
        <v>Maplink2</v>
      </c>
      <c r="AU1557" s="20" t="str">
        <f aca="false">HYPERLINK("http://www.bing.com/maps/?lvl=14&amp;sty=h&amp;cp=33.7576~44.5823&amp;sp=point.33.7576_44.5823","Maplink3")</f>
        <v>Maplink3</v>
      </c>
    </row>
    <row r="1558" customFormat="false" ht="15" hidden="false" customHeight="true" outlineLevel="0" collapsed="false">
      <c r="A1558" s="15" t="n">
        <v>24915</v>
      </c>
      <c r="B1558" s="16" t="s">
        <v>20</v>
      </c>
      <c r="C1558" s="16" t="s">
        <v>3079</v>
      </c>
      <c r="D1558" s="16" t="s">
        <v>3089</v>
      </c>
      <c r="E1558" s="17" t="s">
        <v>3090</v>
      </c>
      <c r="F1558" s="16" t="n">
        <v>33.75693716</v>
      </c>
      <c r="G1558" s="16" t="n">
        <v>44.59453541</v>
      </c>
      <c r="H1558" s="18" t="n">
        <v>480</v>
      </c>
      <c r="I1558" s="18" t="n">
        <v>2880</v>
      </c>
      <c r="J1558" s="19" t="n">
        <v>9</v>
      </c>
      <c r="K1558" s="19"/>
      <c r="L1558" s="19"/>
      <c r="M1558" s="19"/>
      <c r="N1558" s="19"/>
      <c r="O1558" s="19" t="n">
        <v>471</v>
      </c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 t="n">
        <v>480</v>
      </c>
      <c r="AI1558" s="19"/>
      <c r="AJ1558" s="19"/>
      <c r="AK1558" s="19"/>
      <c r="AL1558" s="19"/>
      <c r="AM1558" s="19"/>
      <c r="AN1558" s="19"/>
      <c r="AO1558" s="19" t="n">
        <v>480</v>
      </c>
      <c r="AP1558" s="19"/>
      <c r="AQ1558" s="19"/>
      <c r="AR1558" s="19"/>
      <c r="AS1558" s="20" t="str">
        <f aca="false">HYPERLINK("http://www.openstreetmap.org/?mlat=33.7569&amp;mlon=44.5945&amp;zoom=12#map=12/33.7569/44.5945","Maplink1")</f>
        <v>Maplink1</v>
      </c>
      <c r="AT1558" s="20" t="str">
        <f aca="false">HYPERLINK("https://www.google.iq/maps/search/+33.7569,44.5945/@33.7569,44.5945,14z?hl=en","Maplink2")</f>
        <v>Maplink2</v>
      </c>
      <c r="AU1558" s="20" t="str">
        <f aca="false">HYPERLINK("http://www.bing.com/maps/?lvl=14&amp;sty=h&amp;cp=33.7569~44.5945&amp;sp=point.33.7569_44.5945","Maplink3")</f>
        <v>Maplink3</v>
      </c>
    </row>
    <row r="1559" customFormat="false" ht="15" hidden="false" customHeight="true" outlineLevel="0" collapsed="false">
      <c r="A1559" s="15" t="n">
        <v>24805</v>
      </c>
      <c r="B1559" s="16" t="s">
        <v>20</v>
      </c>
      <c r="C1559" s="16" t="s">
        <v>3079</v>
      </c>
      <c r="D1559" s="16" t="s">
        <v>3091</v>
      </c>
      <c r="E1559" s="17" t="s">
        <v>3092</v>
      </c>
      <c r="F1559" s="16" t="n">
        <v>33.71823879</v>
      </c>
      <c r="G1559" s="16" t="n">
        <v>44.60054968</v>
      </c>
      <c r="H1559" s="18" t="n">
        <v>750</v>
      </c>
      <c r="I1559" s="18" t="n">
        <v>4500</v>
      </c>
      <c r="J1559" s="19" t="n">
        <v>7</v>
      </c>
      <c r="K1559" s="19"/>
      <c r="L1559" s="19"/>
      <c r="M1559" s="19"/>
      <c r="N1559" s="19"/>
      <c r="O1559" s="19" t="n">
        <v>743</v>
      </c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 t="n">
        <v>250</v>
      </c>
      <c r="AD1559" s="19"/>
      <c r="AE1559" s="19"/>
      <c r="AF1559" s="19"/>
      <c r="AG1559" s="19"/>
      <c r="AH1559" s="19" t="n">
        <v>500</v>
      </c>
      <c r="AI1559" s="19"/>
      <c r="AJ1559" s="19"/>
      <c r="AK1559" s="19"/>
      <c r="AL1559" s="19"/>
      <c r="AM1559" s="19"/>
      <c r="AN1559" s="19"/>
      <c r="AO1559" s="19" t="n">
        <v>743</v>
      </c>
      <c r="AP1559" s="19" t="n">
        <v>7</v>
      </c>
      <c r="AQ1559" s="19"/>
      <c r="AR1559" s="19"/>
      <c r="AS1559" s="20" t="str">
        <f aca="false">HYPERLINK("http://www.openstreetmap.org/?mlat=33.7182&amp;mlon=44.6005&amp;zoom=12#map=12/33.7182/44.6005","Maplink1")</f>
        <v>Maplink1</v>
      </c>
      <c r="AT1559" s="20" t="str">
        <f aca="false">HYPERLINK("https://www.google.iq/maps/search/+33.7182,44.6005/@33.7182,44.6005,14z?hl=en","Maplink2")</f>
        <v>Maplink2</v>
      </c>
      <c r="AU1559" s="20" t="str">
        <f aca="false">HYPERLINK("http://www.bing.com/maps/?lvl=14&amp;sty=h&amp;cp=33.7182~44.6005&amp;sp=point.33.7182_44.6005","Maplink3")</f>
        <v>Maplink3</v>
      </c>
    </row>
    <row r="1560" customFormat="false" ht="15" hidden="false" customHeight="true" outlineLevel="0" collapsed="false">
      <c r="A1560" s="15" t="n">
        <v>23740</v>
      </c>
      <c r="B1560" s="16" t="s">
        <v>20</v>
      </c>
      <c r="C1560" s="16" t="s">
        <v>3079</v>
      </c>
      <c r="D1560" s="16" t="s">
        <v>3093</v>
      </c>
      <c r="E1560" s="17" t="s">
        <v>3094</v>
      </c>
      <c r="F1560" s="16" t="n">
        <v>33.76970804</v>
      </c>
      <c r="G1560" s="16" t="n">
        <v>44.62416306</v>
      </c>
      <c r="H1560" s="18" t="n">
        <v>31</v>
      </c>
      <c r="I1560" s="18" t="n">
        <v>186</v>
      </c>
      <c r="J1560" s="19" t="n">
        <v>5</v>
      </c>
      <c r="K1560" s="19"/>
      <c r="L1560" s="19"/>
      <c r="M1560" s="19"/>
      <c r="N1560" s="19"/>
      <c r="O1560" s="19" t="n">
        <v>26</v>
      </c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 t="n">
        <v>25</v>
      </c>
      <c r="AD1560" s="19"/>
      <c r="AE1560" s="19"/>
      <c r="AF1560" s="19"/>
      <c r="AG1560" s="19"/>
      <c r="AH1560" s="19" t="n">
        <v>6</v>
      </c>
      <c r="AI1560" s="19"/>
      <c r="AJ1560" s="19"/>
      <c r="AK1560" s="19"/>
      <c r="AL1560" s="19" t="n">
        <v>5</v>
      </c>
      <c r="AM1560" s="19"/>
      <c r="AN1560" s="19" t="n">
        <v>6</v>
      </c>
      <c r="AO1560" s="19" t="n">
        <v>20</v>
      </c>
      <c r="AP1560" s="19"/>
      <c r="AQ1560" s="19"/>
      <c r="AR1560" s="19"/>
      <c r="AS1560" s="20" t="str">
        <f aca="false">HYPERLINK("http://www.openstreetmap.org/?mlat=33.7697&amp;mlon=44.6242&amp;zoom=12#map=12/33.7697/44.6242","Maplink1")</f>
        <v>Maplink1</v>
      </c>
      <c r="AT1560" s="20" t="str">
        <f aca="false">HYPERLINK("https://www.google.iq/maps/search/+33.7697,44.6242/@33.7697,44.6242,14z?hl=en","Maplink2")</f>
        <v>Maplink2</v>
      </c>
      <c r="AU1560" s="20" t="str">
        <f aca="false">HYPERLINK("http://www.bing.com/maps/?lvl=14&amp;sty=h&amp;cp=33.7697~44.6242&amp;sp=point.33.7697_44.6242","Maplink3")</f>
        <v>Maplink3</v>
      </c>
    </row>
    <row r="1561" customFormat="false" ht="15" hidden="false" customHeight="true" outlineLevel="0" collapsed="false">
      <c r="A1561" s="15" t="n">
        <v>23694</v>
      </c>
      <c r="B1561" s="16" t="s">
        <v>20</v>
      </c>
      <c r="C1561" s="16" t="s">
        <v>3079</v>
      </c>
      <c r="D1561" s="16" t="s">
        <v>3095</v>
      </c>
      <c r="E1561" s="17" t="s">
        <v>3096</v>
      </c>
      <c r="F1561" s="16" t="n">
        <v>33.58392269</v>
      </c>
      <c r="G1561" s="16" t="n">
        <v>44.55654611</v>
      </c>
      <c r="H1561" s="18" t="n">
        <v>68</v>
      </c>
      <c r="I1561" s="18" t="n">
        <v>408</v>
      </c>
      <c r="J1561" s="19" t="n">
        <v>19</v>
      </c>
      <c r="K1561" s="19"/>
      <c r="L1561" s="19"/>
      <c r="M1561" s="19"/>
      <c r="N1561" s="19"/>
      <c r="O1561" s="19" t="n">
        <v>35</v>
      </c>
      <c r="P1561" s="19"/>
      <c r="Q1561" s="19"/>
      <c r="R1561" s="19"/>
      <c r="S1561" s="19"/>
      <c r="T1561" s="19"/>
      <c r="U1561" s="19"/>
      <c r="V1561" s="19"/>
      <c r="W1561" s="19"/>
      <c r="X1561" s="19" t="n">
        <v>14</v>
      </c>
      <c r="Y1561" s="19"/>
      <c r="Z1561" s="19"/>
      <c r="AA1561" s="19"/>
      <c r="AB1561" s="19"/>
      <c r="AC1561" s="19" t="n">
        <v>36</v>
      </c>
      <c r="AD1561" s="19"/>
      <c r="AE1561" s="19"/>
      <c r="AF1561" s="19"/>
      <c r="AG1561" s="19"/>
      <c r="AH1561" s="19" t="n">
        <v>32</v>
      </c>
      <c r="AI1561" s="19"/>
      <c r="AJ1561" s="19"/>
      <c r="AK1561" s="19"/>
      <c r="AL1561" s="19" t="n">
        <v>8</v>
      </c>
      <c r="AM1561" s="19"/>
      <c r="AN1561" s="19" t="n">
        <v>38</v>
      </c>
      <c r="AO1561" s="19" t="n">
        <v>9</v>
      </c>
      <c r="AP1561" s="19" t="n">
        <v>13</v>
      </c>
      <c r="AQ1561" s="19"/>
      <c r="AR1561" s="19"/>
      <c r="AS1561" s="20" t="str">
        <f aca="false">HYPERLINK("http://www.openstreetmap.org/?mlat=33.5839&amp;mlon=44.5565&amp;zoom=12#map=12/33.5839/44.5565","Maplink1")</f>
        <v>Maplink1</v>
      </c>
      <c r="AT1561" s="20" t="str">
        <f aca="false">HYPERLINK("https://www.google.iq/maps/search/+33.5839,44.5565/@33.5839,44.5565,14z?hl=en","Maplink2")</f>
        <v>Maplink2</v>
      </c>
      <c r="AU1561" s="20" t="str">
        <f aca="false">HYPERLINK("http://www.bing.com/maps/?lvl=14&amp;sty=h&amp;cp=33.5839~44.5565&amp;sp=point.33.5839_44.5565","Maplink3")</f>
        <v>Maplink3</v>
      </c>
    </row>
    <row r="1562" customFormat="false" ht="15" hidden="false" customHeight="true" outlineLevel="0" collapsed="false">
      <c r="A1562" s="15" t="n">
        <v>11220</v>
      </c>
      <c r="B1562" s="16" t="s">
        <v>20</v>
      </c>
      <c r="C1562" s="16" t="s">
        <v>3079</v>
      </c>
      <c r="D1562" s="16" t="s">
        <v>3097</v>
      </c>
      <c r="E1562" s="17" t="s">
        <v>3098</v>
      </c>
      <c r="F1562" s="16" t="n">
        <v>33.48084297</v>
      </c>
      <c r="G1562" s="16" t="n">
        <v>44.52692136</v>
      </c>
      <c r="H1562" s="18" t="n">
        <v>8</v>
      </c>
      <c r="I1562" s="18" t="n">
        <v>48</v>
      </c>
      <c r="J1562" s="19"/>
      <c r="K1562" s="19"/>
      <c r="L1562" s="19"/>
      <c r="M1562" s="19"/>
      <c r="N1562" s="19"/>
      <c r="O1562" s="19" t="n">
        <v>8</v>
      </c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 t="n">
        <v>8</v>
      </c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  <c r="AO1562" s="19" t="n">
        <v>8</v>
      </c>
      <c r="AP1562" s="19"/>
      <c r="AQ1562" s="19"/>
      <c r="AR1562" s="19"/>
      <c r="AS1562" s="20" t="str">
        <f aca="false">HYPERLINK("http://www.openstreetmap.org/?mlat=33.4808&amp;mlon=44.5269&amp;zoom=12#map=12/33.4808/44.5269","Maplink1")</f>
        <v>Maplink1</v>
      </c>
      <c r="AT1562" s="20" t="str">
        <f aca="false">HYPERLINK("https://www.google.iq/maps/search/+33.4808,44.5269/@33.4808,44.5269,14z?hl=en","Maplink2")</f>
        <v>Maplink2</v>
      </c>
      <c r="AU1562" s="20" t="str">
        <f aca="false">HYPERLINK("http://www.bing.com/maps/?lvl=14&amp;sty=h&amp;cp=33.4808~44.5269&amp;sp=point.33.4808_44.5269","Maplink3")</f>
        <v>Maplink3</v>
      </c>
    </row>
    <row r="1563" customFormat="false" ht="15" hidden="false" customHeight="true" outlineLevel="0" collapsed="false">
      <c r="A1563" s="15" t="n">
        <v>25047</v>
      </c>
      <c r="B1563" s="16" t="s">
        <v>20</v>
      </c>
      <c r="C1563" s="16" t="s">
        <v>3079</v>
      </c>
      <c r="D1563" s="16" t="s">
        <v>3099</v>
      </c>
      <c r="E1563" s="17" t="s">
        <v>2581</v>
      </c>
      <c r="F1563" s="16" t="n">
        <v>33.69515301</v>
      </c>
      <c r="G1563" s="16" t="n">
        <v>44.79395529</v>
      </c>
      <c r="H1563" s="18" t="n">
        <v>55</v>
      </c>
      <c r="I1563" s="18" t="n">
        <v>330</v>
      </c>
      <c r="J1563" s="19"/>
      <c r="K1563" s="19"/>
      <c r="L1563" s="19"/>
      <c r="M1563" s="19"/>
      <c r="N1563" s="19"/>
      <c r="O1563" s="19" t="n">
        <v>40</v>
      </c>
      <c r="P1563" s="19"/>
      <c r="Q1563" s="19"/>
      <c r="R1563" s="19"/>
      <c r="S1563" s="19"/>
      <c r="T1563" s="19"/>
      <c r="U1563" s="19"/>
      <c r="V1563" s="19"/>
      <c r="W1563" s="19"/>
      <c r="X1563" s="19" t="n">
        <v>15</v>
      </c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 t="n">
        <v>55</v>
      </c>
      <c r="AI1563" s="19"/>
      <c r="AJ1563" s="19"/>
      <c r="AK1563" s="19"/>
      <c r="AL1563" s="19"/>
      <c r="AM1563" s="19"/>
      <c r="AN1563" s="19"/>
      <c r="AO1563" s="19" t="n">
        <v>55</v>
      </c>
      <c r="AP1563" s="19"/>
      <c r="AQ1563" s="19"/>
      <c r="AR1563" s="19"/>
      <c r="AS1563" s="20" t="str">
        <f aca="false">HYPERLINK("http://www.openstreetmap.org/?mlat=33.6952&amp;mlon=44.794&amp;zoom=12#map=12/33.6952/44.794","Maplink1")</f>
        <v>Maplink1</v>
      </c>
      <c r="AT1563" s="20" t="str">
        <f aca="false">HYPERLINK("https://www.google.iq/maps/search/+33.6952,44.794/@33.6952,44.794,14z?hl=en","Maplink2")</f>
        <v>Maplink2</v>
      </c>
      <c r="AU1563" s="20" t="str">
        <f aca="false">HYPERLINK("http://www.bing.com/maps/?lvl=14&amp;sty=h&amp;cp=33.6952~44.794&amp;sp=point.33.6952_44.794","Maplink3")</f>
        <v>Maplink3</v>
      </c>
    </row>
    <row r="1564" customFormat="false" ht="15" hidden="false" customHeight="true" outlineLevel="0" collapsed="false">
      <c r="A1564" s="15" t="n">
        <v>11189</v>
      </c>
      <c r="B1564" s="16" t="s">
        <v>20</v>
      </c>
      <c r="C1564" s="16" t="s">
        <v>3079</v>
      </c>
      <c r="D1564" s="16" t="s">
        <v>3100</v>
      </c>
      <c r="E1564" s="17" t="s">
        <v>3101</v>
      </c>
      <c r="F1564" s="16" t="n">
        <v>33.74972453</v>
      </c>
      <c r="G1564" s="16" t="n">
        <v>44.60888539</v>
      </c>
      <c r="H1564" s="18" t="n">
        <v>311</v>
      </c>
      <c r="I1564" s="18" t="n">
        <v>1866</v>
      </c>
      <c r="J1564" s="19"/>
      <c r="K1564" s="19"/>
      <c r="L1564" s="19"/>
      <c r="M1564" s="19"/>
      <c r="N1564" s="19"/>
      <c r="O1564" s="19" t="n">
        <v>311</v>
      </c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 t="n">
        <v>17</v>
      </c>
      <c r="AD1564" s="19"/>
      <c r="AE1564" s="19"/>
      <c r="AF1564" s="19"/>
      <c r="AG1564" s="19"/>
      <c r="AH1564" s="19" t="n">
        <v>224</v>
      </c>
      <c r="AI1564" s="19"/>
      <c r="AJ1564" s="19" t="n">
        <v>70</v>
      </c>
      <c r="AK1564" s="19"/>
      <c r="AL1564" s="19"/>
      <c r="AM1564" s="19"/>
      <c r="AN1564" s="19"/>
      <c r="AO1564" s="19" t="n">
        <v>311</v>
      </c>
      <c r="AP1564" s="19"/>
      <c r="AQ1564" s="19"/>
      <c r="AR1564" s="19"/>
      <c r="AS1564" s="20" t="str">
        <f aca="false">HYPERLINK("http://www.openstreetmap.org/?mlat=33.7497&amp;mlon=44.6089&amp;zoom=12#map=12/33.7497/44.6089","Maplink1")</f>
        <v>Maplink1</v>
      </c>
      <c r="AT1564" s="20" t="str">
        <f aca="false">HYPERLINK("https://www.google.iq/maps/search/+33.7497,44.6089/@33.7497,44.6089,14z?hl=en","Maplink2")</f>
        <v>Maplink2</v>
      </c>
      <c r="AU1564" s="20" t="str">
        <f aca="false">HYPERLINK("http://www.bing.com/maps/?lvl=14&amp;sty=h&amp;cp=33.7497~44.6089&amp;sp=point.33.7497_44.6089","Maplink3")</f>
        <v>Maplink3</v>
      </c>
    </row>
    <row r="1565" customFormat="false" ht="15" hidden="false" customHeight="true" outlineLevel="0" collapsed="false">
      <c r="A1565" s="15" t="n">
        <v>25054</v>
      </c>
      <c r="B1565" s="16" t="s">
        <v>20</v>
      </c>
      <c r="C1565" s="16" t="s">
        <v>3079</v>
      </c>
      <c r="D1565" s="16" t="s">
        <v>3102</v>
      </c>
      <c r="E1565" s="17" t="s">
        <v>409</v>
      </c>
      <c r="F1565" s="16" t="n">
        <v>33.69435684</v>
      </c>
      <c r="G1565" s="16" t="n">
        <v>44.80192296</v>
      </c>
      <c r="H1565" s="18" t="n">
        <v>18</v>
      </c>
      <c r="I1565" s="18" t="n">
        <v>108</v>
      </c>
      <c r="J1565" s="19"/>
      <c r="K1565" s="19"/>
      <c r="L1565" s="19"/>
      <c r="M1565" s="19"/>
      <c r="N1565" s="19"/>
      <c r="O1565" s="19" t="n">
        <v>13</v>
      </c>
      <c r="P1565" s="19"/>
      <c r="Q1565" s="19"/>
      <c r="R1565" s="19"/>
      <c r="S1565" s="19"/>
      <c r="T1565" s="19"/>
      <c r="U1565" s="19"/>
      <c r="V1565" s="19" t="n">
        <v>5</v>
      </c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 t="n">
        <v>18</v>
      </c>
      <c r="AI1565" s="19"/>
      <c r="AJ1565" s="19"/>
      <c r="AK1565" s="19"/>
      <c r="AL1565" s="19"/>
      <c r="AM1565" s="19"/>
      <c r="AN1565" s="19"/>
      <c r="AO1565" s="19" t="n">
        <v>18</v>
      </c>
      <c r="AP1565" s="19"/>
      <c r="AQ1565" s="19"/>
      <c r="AR1565" s="19"/>
      <c r="AS1565" s="20" t="str">
        <f aca="false">HYPERLINK("http://www.openstreetmap.org/?mlat=33.6944&amp;mlon=44.8019&amp;zoom=12#map=12/33.6944/44.8019","Maplink1")</f>
        <v>Maplink1</v>
      </c>
      <c r="AT1565" s="20" t="str">
        <f aca="false">HYPERLINK("https://www.google.iq/maps/search/+33.6944,44.8019/@33.6944,44.8019,14z?hl=en","Maplink2")</f>
        <v>Maplink2</v>
      </c>
      <c r="AU1565" s="20" t="str">
        <f aca="false">HYPERLINK("http://www.bing.com/maps/?lvl=14&amp;sty=h&amp;cp=33.6944~44.8019&amp;sp=point.33.6944_44.8019","Maplink3")</f>
        <v>Maplink3</v>
      </c>
    </row>
    <row r="1566" customFormat="false" ht="15" hidden="false" customHeight="true" outlineLevel="0" collapsed="false">
      <c r="A1566" s="15" t="n">
        <v>25049</v>
      </c>
      <c r="B1566" s="16" t="s">
        <v>20</v>
      </c>
      <c r="C1566" s="16" t="s">
        <v>3079</v>
      </c>
      <c r="D1566" s="16" t="s">
        <v>3103</v>
      </c>
      <c r="E1566" s="17" t="s">
        <v>133</v>
      </c>
      <c r="F1566" s="16" t="n">
        <v>33.68893431</v>
      </c>
      <c r="G1566" s="16" t="n">
        <v>44.79485446</v>
      </c>
      <c r="H1566" s="18" t="n">
        <v>13</v>
      </c>
      <c r="I1566" s="18" t="n">
        <v>78</v>
      </c>
      <c r="J1566" s="19"/>
      <c r="K1566" s="19"/>
      <c r="L1566" s="19"/>
      <c r="M1566" s="19"/>
      <c r="N1566" s="19"/>
      <c r="O1566" s="19" t="n">
        <v>13</v>
      </c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 t="n">
        <v>13</v>
      </c>
      <c r="AI1566" s="19"/>
      <c r="AJ1566" s="19"/>
      <c r="AK1566" s="19"/>
      <c r="AL1566" s="19"/>
      <c r="AM1566" s="19"/>
      <c r="AN1566" s="19"/>
      <c r="AO1566" s="19" t="n">
        <v>13</v>
      </c>
      <c r="AP1566" s="19"/>
      <c r="AQ1566" s="19"/>
      <c r="AR1566" s="19"/>
      <c r="AS1566" s="20" t="str">
        <f aca="false">HYPERLINK("http://www.openstreetmap.org/?mlat=33.6889&amp;mlon=44.7949&amp;zoom=12#map=12/33.6889/44.7949","Maplink1")</f>
        <v>Maplink1</v>
      </c>
      <c r="AT1566" s="20" t="str">
        <f aca="false">HYPERLINK("https://www.google.iq/maps/search/+33.6889,44.7949/@33.6889,44.7949,14z?hl=en","Maplink2")</f>
        <v>Maplink2</v>
      </c>
      <c r="AU1566" s="20" t="str">
        <f aca="false">HYPERLINK("http://www.bing.com/maps/?lvl=14&amp;sty=h&amp;cp=33.6889~44.7949&amp;sp=point.33.6889_44.7949","Maplink3")</f>
        <v>Maplink3</v>
      </c>
    </row>
    <row r="1567" customFormat="false" ht="15" hidden="false" customHeight="true" outlineLevel="0" collapsed="false">
      <c r="A1567" s="15" t="n">
        <v>25044</v>
      </c>
      <c r="B1567" s="16" t="s">
        <v>20</v>
      </c>
      <c r="C1567" s="16" t="s">
        <v>3079</v>
      </c>
      <c r="D1567" s="16" t="s">
        <v>3104</v>
      </c>
      <c r="E1567" s="17" t="s">
        <v>2010</v>
      </c>
      <c r="F1567" s="16" t="n">
        <v>33.69312043</v>
      </c>
      <c r="G1567" s="16" t="n">
        <v>44.80148399</v>
      </c>
      <c r="H1567" s="18" t="n">
        <v>44</v>
      </c>
      <c r="I1567" s="18" t="n">
        <v>264</v>
      </c>
      <c r="J1567" s="19"/>
      <c r="K1567" s="19"/>
      <c r="L1567" s="19"/>
      <c r="M1567" s="19"/>
      <c r="N1567" s="19"/>
      <c r="O1567" s="19" t="n">
        <v>29</v>
      </c>
      <c r="P1567" s="19"/>
      <c r="Q1567" s="19"/>
      <c r="R1567" s="19"/>
      <c r="S1567" s="19"/>
      <c r="T1567" s="19"/>
      <c r="U1567" s="19"/>
      <c r="V1567" s="19"/>
      <c r="W1567" s="19"/>
      <c r="X1567" s="19" t="n">
        <v>15</v>
      </c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 t="n">
        <v>44</v>
      </c>
      <c r="AI1567" s="19"/>
      <c r="AJ1567" s="19"/>
      <c r="AK1567" s="19"/>
      <c r="AL1567" s="19"/>
      <c r="AM1567" s="19"/>
      <c r="AN1567" s="19" t="n">
        <v>15</v>
      </c>
      <c r="AO1567" s="19" t="n">
        <v>29</v>
      </c>
      <c r="AP1567" s="19"/>
      <c r="AQ1567" s="19"/>
      <c r="AR1567" s="19"/>
      <c r="AS1567" s="20" t="str">
        <f aca="false">HYPERLINK("http://www.openstreetmap.org/?mlat=33.6931&amp;mlon=44.8015&amp;zoom=12#map=12/33.6931/44.8015","Maplink1")</f>
        <v>Maplink1</v>
      </c>
      <c r="AT1567" s="20" t="str">
        <f aca="false">HYPERLINK("https://www.google.iq/maps/search/+33.6931,44.8015/@33.6931,44.8015,14z?hl=en","Maplink2")</f>
        <v>Maplink2</v>
      </c>
      <c r="AU1567" s="20" t="str">
        <f aca="false">HYPERLINK("http://www.bing.com/maps/?lvl=14&amp;sty=h&amp;cp=33.6931~44.8015&amp;sp=point.33.6931_44.8015","Maplink3")</f>
        <v>Maplink3</v>
      </c>
    </row>
    <row r="1568" customFormat="false" ht="15" hidden="false" customHeight="true" outlineLevel="0" collapsed="false">
      <c r="A1568" s="15" t="n">
        <v>11268</v>
      </c>
      <c r="B1568" s="16" t="s">
        <v>20</v>
      </c>
      <c r="C1568" s="16" t="s">
        <v>3079</v>
      </c>
      <c r="D1568" s="16" t="s">
        <v>3105</v>
      </c>
      <c r="E1568" s="17" t="s">
        <v>135</v>
      </c>
      <c r="F1568" s="16" t="n">
        <v>33.71974485</v>
      </c>
      <c r="G1568" s="16" t="n">
        <v>44.65219356</v>
      </c>
      <c r="H1568" s="18" t="n">
        <v>37</v>
      </c>
      <c r="I1568" s="18" t="n">
        <v>222</v>
      </c>
      <c r="J1568" s="19"/>
      <c r="K1568" s="19"/>
      <c r="L1568" s="19"/>
      <c r="M1568" s="19"/>
      <c r="N1568" s="19"/>
      <c r="O1568" s="19" t="n">
        <v>37</v>
      </c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 t="n">
        <v>37</v>
      </c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  <c r="AO1568" s="19" t="n">
        <v>37</v>
      </c>
      <c r="AP1568" s="19"/>
      <c r="AQ1568" s="19"/>
      <c r="AR1568" s="19"/>
      <c r="AS1568" s="20" t="str">
        <f aca="false">HYPERLINK("http://www.openstreetmap.org/?mlat=33.7197&amp;mlon=44.6522&amp;zoom=12#map=12/33.7197/44.6522","Maplink1")</f>
        <v>Maplink1</v>
      </c>
      <c r="AT1568" s="20" t="str">
        <f aca="false">HYPERLINK("https://www.google.iq/maps/search/+33.7197,44.6522/@33.7197,44.6522,14z?hl=en","Maplink2")</f>
        <v>Maplink2</v>
      </c>
      <c r="AU1568" s="20" t="str">
        <f aca="false">HYPERLINK("http://www.bing.com/maps/?lvl=14&amp;sty=h&amp;cp=33.7197~44.6522&amp;sp=point.33.7197_44.6522","Maplink3")</f>
        <v>Maplink3</v>
      </c>
    </row>
    <row r="1569" customFormat="false" ht="15" hidden="false" customHeight="true" outlineLevel="0" collapsed="false">
      <c r="A1569" s="15" t="n">
        <v>11410</v>
      </c>
      <c r="B1569" s="16" t="s">
        <v>20</v>
      </c>
      <c r="C1569" s="16" t="s">
        <v>3079</v>
      </c>
      <c r="D1569" s="16" t="s">
        <v>3106</v>
      </c>
      <c r="E1569" s="17" t="s">
        <v>442</v>
      </c>
      <c r="F1569" s="16" t="n">
        <v>33.58283774</v>
      </c>
      <c r="G1569" s="16" t="n">
        <v>44.55304608</v>
      </c>
      <c r="H1569" s="18" t="n">
        <v>45</v>
      </c>
      <c r="I1569" s="18" t="n">
        <v>270</v>
      </c>
      <c r="J1569" s="19"/>
      <c r="K1569" s="19"/>
      <c r="L1569" s="19"/>
      <c r="M1569" s="19"/>
      <c r="N1569" s="19"/>
      <c r="O1569" s="19" t="n">
        <v>36</v>
      </c>
      <c r="P1569" s="19"/>
      <c r="Q1569" s="19"/>
      <c r="R1569" s="19"/>
      <c r="S1569" s="19"/>
      <c r="T1569" s="19"/>
      <c r="U1569" s="19"/>
      <c r="V1569" s="19"/>
      <c r="W1569" s="19"/>
      <c r="X1569" s="19" t="n">
        <v>9</v>
      </c>
      <c r="Y1569" s="19"/>
      <c r="Z1569" s="19"/>
      <c r="AA1569" s="19"/>
      <c r="AB1569" s="19"/>
      <c r="AC1569" s="19" t="n">
        <v>25</v>
      </c>
      <c r="AD1569" s="19"/>
      <c r="AE1569" s="19"/>
      <c r="AF1569" s="19"/>
      <c r="AG1569" s="19"/>
      <c r="AH1569" s="19" t="n">
        <v>20</v>
      </c>
      <c r="AI1569" s="19"/>
      <c r="AJ1569" s="19"/>
      <c r="AK1569" s="19"/>
      <c r="AL1569" s="19"/>
      <c r="AM1569" s="19"/>
      <c r="AN1569" s="19"/>
      <c r="AO1569" s="19" t="n">
        <v>45</v>
      </c>
      <c r="AP1569" s="19"/>
      <c r="AQ1569" s="19"/>
      <c r="AR1569" s="19"/>
      <c r="AS1569" s="20" t="str">
        <f aca="false">HYPERLINK("http://www.openstreetmap.org/?mlat=33.5828&amp;mlon=44.553&amp;zoom=12#map=12/33.5828/44.553","Maplink1")</f>
        <v>Maplink1</v>
      </c>
      <c r="AT1569" s="20" t="str">
        <f aca="false">HYPERLINK("https://www.google.iq/maps/search/+33.5828,44.553/@33.5828,44.553,14z?hl=en","Maplink2")</f>
        <v>Maplink2</v>
      </c>
      <c r="AU1569" s="20" t="str">
        <f aca="false">HYPERLINK("http://www.bing.com/maps/?lvl=14&amp;sty=h&amp;cp=33.5828~44.553&amp;sp=point.33.5828_44.553","Maplink3")</f>
        <v>Maplink3</v>
      </c>
    </row>
    <row r="1570" customFormat="false" ht="15" hidden="false" customHeight="true" outlineLevel="0" collapsed="false">
      <c r="A1570" s="15" t="n">
        <v>25041</v>
      </c>
      <c r="B1570" s="16" t="s">
        <v>20</v>
      </c>
      <c r="C1570" s="16" t="s">
        <v>3079</v>
      </c>
      <c r="D1570" s="16" t="s">
        <v>3107</v>
      </c>
      <c r="E1570" s="17" t="s">
        <v>2151</v>
      </c>
      <c r="F1570" s="16" t="n">
        <v>33.69501704</v>
      </c>
      <c r="G1570" s="16" t="n">
        <v>44.80113663</v>
      </c>
      <c r="H1570" s="18" t="n">
        <v>45</v>
      </c>
      <c r="I1570" s="18" t="n">
        <v>270</v>
      </c>
      <c r="J1570" s="19"/>
      <c r="K1570" s="19"/>
      <c r="L1570" s="19"/>
      <c r="M1570" s="19"/>
      <c r="N1570" s="19"/>
      <c r="O1570" s="19" t="n">
        <v>45</v>
      </c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 t="n">
        <v>30</v>
      </c>
      <c r="AI1570" s="19"/>
      <c r="AJ1570" s="19" t="n">
        <v>15</v>
      </c>
      <c r="AK1570" s="19"/>
      <c r="AL1570" s="19"/>
      <c r="AM1570" s="19"/>
      <c r="AN1570" s="19"/>
      <c r="AO1570" s="19" t="n">
        <v>45</v>
      </c>
      <c r="AP1570" s="19"/>
      <c r="AQ1570" s="19"/>
      <c r="AR1570" s="19"/>
      <c r="AS1570" s="20" t="str">
        <f aca="false">HYPERLINK("http://www.openstreetmap.org/?mlat=33.695&amp;mlon=44.8011&amp;zoom=12#map=12/33.695/44.8011","Maplink1")</f>
        <v>Maplink1</v>
      </c>
      <c r="AT1570" s="20" t="str">
        <f aca="false">HYPERLINK("https://www.google.iq/maps/search/+33.695,44.8011/@33.695,44.8011,14z?hl=en","Maplink2")</f>
        <v>Maplink2</v>
      </c>
      <c r="AU1570" s="20" t="str">
        <f aca="false">HYPERLINK("http://www.bing.com/maps/?lvl=14&amp;sty=h&amp;cp=33.695~44.8011&amp;sp=point.33.695_44.8011","Maplink3")</f>
        <v>Maplink3</v>
      </c>
    </row>
    <row r="1571" customFormat="false" ht="15" hidden="false" customHeight="true" outlineLevel="0" collapsed="false">
      <c r="A1571" s="15" t="n">
        <v>11411</v>
      </c>
      <c r="B1571" s="16" t="s">
        <v>20</v>
      </c>
      <c r="C1571" s="16" t="s">
        <v>3079</v>
      </c>
      <c r="D1571" s="16" t="s">
        <v>3108</v>
      </c>
      <c r="E1571" s="17" t="s">
        <v>3109</v>
      </c>
      <c r="F1571" s="16" t="n">
        <v>33.7839172657</v>
      </c>
      <c r="G1571" s="16" t="n">
        <v>44.6092173758</v>
      </c>
      <c r="H1571" s="18" t="n">
        <v>38</v>
      </c>
      <c r="I1571" s="18" t="n">
        <v>228</v>
      </c>
      <c r="J1571" s="19"/>
      <c r="K1571" s="19"/>
      <c r="L1571" s="19"/>
      <c r="M1571" s="19"/>
      <c r="N1571" s="19"/>
      <c r="O1571" s="19" t="n">
        <v>38</v>
      </c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 t="n">
        <v>38</v>
      </c>
      <c r="AI1571" s="19"/>
      <c r="AJ1571" s="19"/>
      <c r="AK1571" s="19"/>
      <c r="AL1571" s="19"/>
      <c r="AM1571" s="19"/>
      <c r="AN1571" s="19"/>
      <c r="AO1571" s="19" t="n">
        <v>38</v>
      </c>
      <c r="AP1571" s="19"/>
      <c r="AQ1571" s="19"/>
      <c r="AR1571" s="19"/>
      <c r="AS1571" s="20" t="str">
        <f aca="false">HYPERLINK("http://www.openstreetmap.org/?mlat=33.7839&amp;mlon=44.6092&amp;zoom=12#map=12/33.7839/44.6092","Maplink1")</f>
        <v>Maplink1</v>
      </c>
      <c r="AT1571" s="20" t="str">
        <f aca="false">HYPERLINK("https://www.google.iq/maps/search/+33.7839,44.6092/@33.7839,44.6092,14z?hl=en","Maplink2")</f>
        <v>Maplink2</v>
      </c>
      <c r="AU1571" s="20" t="str">
        <f aca="false">HYPERLINK("http://www.bing.com/maps/?lvl=14&amp;sty=h&amp;cp=33.7839~44.6092&amp;sp=point.33.7839_44.6092","Maplink3")</f>
        <v>Maplink3</v>
      </c>
    </row>
    <row r="1572" customFormat="false" ht="15" hidden="false" customHeight="true" outlineLevel="0" collapsed="false">
      <c r="A1572" s="15" t="n">
        <v>11408</v>
      </c>
      <c r="B1572" s="16" t="s">
        <v>20</v>
      </c>
      <c r="C1572" s="16" t="s">
        <v>3079</v>
      </c>
      <c r="D1572" s="16" t="s">
        <v>3110</v>
      </c>
      <c r="E1572" s="17" t="s">
        <v>3111</v>
      </c>
      <c r="F1572" s="16" t="n">
        <v>33.78950394</v>
      </c>
      <c r="G1572" s="16" t="n">
        <v>44.66795093</v>
      </c>
      <c r="H1572" s="18" t="n">
        <v>50</v>
      </c>
      <c r="I1572" s="18" t="n">
        <v>300</v>
      </c>
      <c r="J1572" s="19" t="n">
        <v>15</v>
      </c>
      <c r="K1572" s="19"/>
      <c r="L1572" s="19"/>
      <c r="M1572" s="19"/>
      <c r="N1572" s="19"/>
      <c r="O1572" s="19" t="n">
        <v>35</v>
      </c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 t="n">
        <v>31</v>
      </c>
      <c r="AD1572" s="19"/>
      <c r="AE1572" s="19"/>
      <c r="AF1572" s="19"/>
      <c r="AG1572" s="19"/>
      <c r="AH1572" s="19" t="n">
        <v>19</v>
      </c>
      <c r="AI1572" s="19"/>
      <c r="AJ1572" s="19"/>
      <c r="AK1572" s="19"/>
      <c r="AL1572" s="19"/>
      <c r="AM1572" s="19"/>
      <c r="AN1572" s="19"/>
      <c r="AO1572" s="19" t="n">
        <v>35</v>
      </c>
      <c r="AP1572" s="19" t="n">
        <v>15</v>
      </c>
      <c r="AQ1572" s="19"/>
      <c r="AR1572" s="19"/>
      <c r="AS1572" s="20" t="str">
        <f aca="false">HYPERLINK("http://www.openstreetmap.org/?mlat=33.7895&amp;mlon=44.668&amp;zoom=12#map=12/33.7895/44.668","Maplink1")</f>
        <v>Maplink1</v>
      </c>
      <c r="AT1572" s="20" t="str">
        <f aca="false">HYPERLINK("https://www.google.iq/maps/search/+33.7895,44.668/@33.7895,44.668,14z?hl=en","Maplink2")</f>
        <v>Maplink2</v>
      </c>
      <c r="AU1572" s="20" t="str">
        <f aca="false">HYPERLINK("http://www.bing.com/maps/?lvl=14&amp;sty=h&amp;cp=33.7895~44.668&amp;sp=point.33.7895_44.668","Maplink3")</f>
        <v>Maplink3</v>
      </c>
    </row>
    <row r="1573" customFormat="false" ht="15" hidden="false" customHeight="true" outlineLevel="0" collapsed="false">
      <c r="A1573" s="15" t="n">
        <v>24917</v>
      </c>
      <c r="B1573" s="16" t="s">
        <v>20</v>
      </c>
      <c r="C1573" s="16" t="s">
        <v>3079</v>
      </c>
      <c r="D1573" s="16" t="s">
        <v>3022</v>
      </c>
      <c r="E1573" s="17" t="s">
        <v>3112</v>
      </c>
      <c r="F1573" s="16" t="n">
        <v>33.4892265</v>
      </c>
      <c r="G1573" s="16" t="n">
        <v>44.52482169</v>
      </c>
      <c r="H1573" s="18" t="n">
        <v>13</v>
      </c>
      <c r="I1573" s="18" t="n">
        <v>78</v>
      </c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 t="n">
        <v>13</v>
      </c>
      <c r="Y1573" s="19"/>
      <c r="Z1573" s="19"/>
      <c r="AA1573" s="19"/>
      <c r="AB1573" s="19"/>
      <c r="AC1573" s="19" t="n">
        <v>13</v>
      </c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 t="n">
        <v>13</v>
      </c>
      <c r="AP1573" s="19"/>
      <c r="AQ1573" s="19"/>
      <c r="AR1573" s="19"/>
      <c r="AS1573" s="20" t="str">
        <f aca="false">HYPERLINK("http://www.openstreetmap.org/?mlat=33.4892&amp;mlon=44.5248&amp;zoom=12#map=12/33.4892/44.5248","Maplink1")</f>
        <v>Maplink1</v>
      </c>
      <c r="AT1573" s="20" t="str">
        <f aca="false">HYPERLINK("https://www.google.iq/maps/search/+33.4892,44.5248/@33.4892,44.5248,14z?hl=en","Maplink2")</f>
        <v>Maplink2</v>
      </c>
      <c r="AU1573" s="20" t="str">
        <f aca="false">HYPERLINK("http://www.bing.com/maps/?lvl=14&amp;sty=h&amp;cp=33.4892~44.5248&amp;sp=point.33.4892_44.5248","Maplink3")</f>
        <v>Maplink3</v>
      </c>
    </row>
    <row r="1574" customFormat="false" ht="15" hidden="false" customHeight="true" outlineLevel="0" collapsed="false">
      <c r="A1574" s="15" t="n">
        <v>25046</v>
      </c>
      <c r="B1574" s="16" t="s">
        <v>20</v>
      </c>
      <c r="C1574" s="16" t="s">
        <v>3079</v>
      </c>
      <c r="D1574" s="16" t="s">
        <v>3113</v>
      </c>
      <c r="E1574" s="17" t="s">
        <v>312</v>
      </c>
      <c r="F1574" s="16" t="n">
        <v>33.68873304</v>
      </c>
      <c r="G1574" s="16" t="n">
        <v>44.78991448</v>
      </c>
      <c r="H1574" s="18" t="n">
        <v>20</v>
      </c>
      <c r="I1574" s="18" t="n">
        <v>120</v>
      </c>
      <c r="J1574" s="19"/>
      <c r="K1574" s="19"/>
      <c r="L1574" s="19"/>
      <c r="M1574" s="19"/>
      <c r="N1574" s="19"/>
      <c r="O1574" s="19" t="n">
        <v>20</v>
      </c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 t="n">
        <v>20</v>
      </c>
      <c r="AI1574" s="19"/>
      <c r="AJ1574" s="19"/>
      <c r="AK1574" s="19"/>
      <c r="AL1574" s="19"/>
      <c r="AM1574" s="19"/>
      <c r="AN1574" s="19"/>
      <c r="AO1574" s="19" t="n">
        <v>20</v>
      </c>
      <c r="AP1574" s="19"/>
      <c r="AQ1574" s="19"/>
      <c r="AR1574" s="19"/>
      <c r="AS1574" s="20" t="str">
        <f aca="false">HYPERLINK("http://www.openstreetmap.org/?mlat=33.6887&amp;mlon=44.7899&amp;zoom=12#map=12/33.6887/44.7899","Maplink1")</f>
        <v>Maplink1</v>
      </c>
      <c r="AT1574" s="20" t="str">
        <f aca="false">HYPERLINK("https://www.google.iq/maps/search/+33.6887,44.7899/@33.6887,44.7899,14z?hl=en","Maplink2")</f>
        <v>Maplink2</v>
      </c>
      <c r="AU1574" s="20" t="str">
        <f aca="false">HYPERLINK("http://www.bing.com/maps/?lvl=14&amp;sty=h&amp;cp=33.6887~44.7899&amp;sp=point.33.6887_44.7899","Maplink3")</f>
        <v>Maplink3</v>
      </c>
    </row>
    <row r="1575" customFormat="false" ht="15" hidden="false" customHeight="true" outlineLevel="0" collapsed="false">
      <c r="A1575" s="15" t="n">
        <v>11251</v>
      </c>
      <c r="B1575" s="16" t="s">
        <v>20</v>
      </c>
      <c r="C1575" s="16" t="s">
        <v>3079</v>
      </c>
      <c r="D1575" s="16" t="s">
        <v>3114</v>
      </c>
      <c r="E1575" s="17" t="s">
        <v>97</v>
      </c>
      <c r="F1575" s="16" t="n">
        <v>33.71542767</v>
      </c>
      <c r="G1575" s="16" t="n">
        <v>44.65180731</v>
      </c>
      <c r="H1575" s="18" t="n">
        <v>25</v>
      </c>
      <c r="I1575" s="18" t="n">
        <v>150</v>
      </c>
      <c r="J1575" s="19"/>
      <c r="K1575" s="19"/>
      <c r="L1575" s="19"/>
      <c r="M1575" s="19"/>
      <c r="N1575" s="19"/>
      <c r="O1575" s="19" t="n">
        <v>25</v>
      </c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 t="n">
        <v>25</v>
      </c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  <c r="AO1575" s="19" t="n">
        <v>25</v>
      </c>
      <c r="AP1575" s="19"/>
      <c r="AQ1575" s="19"/>
      <c r="AR1575" s="19"/>
      <c r="AS1575" s="20" t="str">
        <f aca="false">HYPERLINK("http://www.openstreetmap.org/?mlat=33.7154&amp;mlon=44.6518&amp;zoom=12#map=12/33.7154/44.6518","Maplink1")</f>
        <v>Maplink1</v>
      </c>
      <c r="AT1575" s="20" t="str">
        <f aca="false">HYPERLINK("https://www.google.iq/maps/search/+33.7154,44.6518/@33.7154,44.6518,14z?hl=en","Maplink2")</f>
        <v>Maplink2</v>
      </c>
      <c r="AU1575" s="20" t="str">
        <f aca="false">HYPERLINK("http://www.bing.com/maps/?lvl=14&amp;sty=h&amp;cp=33.7154~44.6518&amp;sp=point.33.7154_44.6518","Maplink3")</f>
        <v>Maplink3</v>
      </c>
    </row>
    <row r="1576" customFormat="false" ht="15" hidden="false" customHeight="true" outlineLevel="0" collapsed="false">
      <c r="A1576" s="15" t="n">
        <v>11420</v>
      </c>
      <c r="B1576" s="16" t="s">
        <v>20</v>
      </c>
      <c r="C1576" s="16" t="s">
        <v>3079</v>
      </c>
      <c r="D1576" s="16" t="s">
        <v>3115</v>
      </c>
      <c r="E1576" s="17" t="s">
        <v>3116</v>
      </c>
      <c r="F1576" s="16" t="n">
        <v>33.5613</v>
      </c>
      <c r="G1576" s="16" t="n">
        <v>44.564</v>
      </c>
      <c r="H1576" s="18" t="n">
        <v>23</v>
      </c>
      <c r="I1576" s="18" t="n">
        <v>138</v>
      </c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 t="n">
        <v>23</v>
      </c>
      <c r="Y1576" s="19"/>
      <c r="Z1576" s="19"/>
      <c r="AA1576" s="19"/>
      <c r="AB1576" s="19"/>
      <c r="AC1576" s="19" t="n">
        <v>23</v>
      </c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  <c r="AO1576" s="19" t="n">
        <v>23</v>
      </c>
      <c r="AP1576" s="19"/>
      <c r="AQ1576" s="19"/>
      <c r="AR1576" s="19"/>
      <c r="AS1576" s="20" t="str">
        <f aca="false">HYPERLINK("http://www.openstreetmap.org/?mlat=33.5613&amp;mlon=44.564&amp;zoom=12#map=12/33.5613/44.564","Maplink1")</f>
        <v>Maplink1</v>
      </c>
      <c r="AT1576" s="20" t="str">
        <f aca="false">HYPERLINK("https://www.google.iq/maps/search/+33.5613,44.564/@33.5613,44.564,14z?hl=en","Maplink2")</f>
        <v>Maplink2</v>
      </c>
      <c r="AU1576" s="20" t="str">
        <f aca="false">HYPERLINK("http://www.bing.com/maps/?lvl=14&amp;sty=h&amp;cp=33.5613~44.564&amp;sp=point.33.5613_44.564","Maplink3")</f>
        <v>Maplink3</v>
      </c>
    </row>
    <row r="1577" customFormat="false" ht="15" hidden="false" customHeight="true" outlineLevel="0" collapsed="false">
      <c r="A1577" s="15" t="n">
        <v>25055</v>
      </c>
      <c r="B1577" s="16" t="s">
        <v>20</v>
      </c>
      <c r="C1577" s="16" t="s">
        <v>3079</v>
      </c>
      <c r="D1577" s="16" t="s">
        <v>3117</v>
      </c>
      <c r="E1577" s="17" t="s">
        <v>3118</v>
      </c>
      <c r="F1577" s="16" t="n">
        <v>33.68841589</v>
      </c>
      <c r="G1577" s="16" t="n">
        <v>44.79351126</v>
      </c>
      <c r="H1577" s="18" t="n">
        <v>13</v>
      </c>
      <c r="I1577" s="18" t="n">
        <v>78</v>
      </c>
      <c r="J1577" s="19"/>
      <c r="K1577" s="19"/>
      <c r="L1577" s="19"/>
      <c r="M1577" s="19"/>
      <c r="N1577" s="19"/>
      <c r="O1577" s="19" t="n">
        <v>13</v>
      </c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 t="n">
        <v>13</v>
      </c>
      <c r="AI1577" s="19"/>
      <c r="AJ1577" s="19"/>
      <c r="AK1577" s="19"/>
      <c r="AL1577" s="19"/>
      <c r="AM1577" s="19"/>
      <c r="AN1577" s="19"/>
      <c r="AO1577" s="19" t="n">
        <v>13</v>
      </c>
      <c r="AP1577" s="19"/>
      <c r="AQ1577" s="19"/>
      <c r="AR1577" s="19"/>
      <c r="AS1577" s="20" t="str">
        <f aca="false">HYPERLINK("http://www.openstreetmap.org/?mlat=33.6884&amp;mlon=44.7935&amp;zoom=12#map=12/33.6884/44.7935","Maplink1")</f>
        <v>Maplink1</v>
      </c>
      <c r="AT1577" s="20" t="str">
        <f aca="false">HYPERLINK("https://www.google.iq/maps/search/+33.6884,44.7935/@33.6884,44.7935,14z?hl=en","Maplink2")</f>
        <v>Maplink2</v>
      </c>
      <c r="AU1577" s="20" t="str">
        <f aca="false">HYPERLINK("http://www.bing.com/maps/?lvl=14&amp;sty=h&amp;cp=33.6884~44.7935&amp;sp=point.33.6884_44.7935","Maplink3")</f>
        <v>Maplink3</v>
      </c>
    </row>
    <row r="1578" customFormat="false" ht="15" hidden="false" customHeight="true" outlineLevel="0" collapsed="false">
      <c r="A1578" s="15" t="n">
        <v>11178</v>
      </c>
      <c r="B1578" s="16" t="s">
        <v>20</v>
      </c>
      <c r="C1578" s="16" t="s">
        <v>3079</v>
      </c>
      <c r="D1578" s="16" t="s">
        <v>3119</v>
      </c>
      <c r="E1578" s="17" t="s">
        <v>3120</v>
      </c>
      <c r="F1578" s="16" t="n">
        <v>33.74153326</v>
      </c>
      <c r="G1578" s="16" t="n">
        <v>44.6513094</v>
      </c>
      <c r="H1578" s="18" t="n">
        <v>600</v>
      </c>
      <c r="I1578" s="18" t="n">
        <v>3600</v>
      </c>
      <c r="J1578" s="19"/>
      <c r="K1578" s="19"/>
      <c r="L1578" s="19"/>
      <c r="M1578" s="19"/>
      <c r="N1578" s="19"/>
      <c r="O1578" s="19" t="n">
        <v>600</v>
      </c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 t="n">
        <v>130</v>
      </c>
      <c r="AD1578" s="19"/>
      <c r="AE1578" s="19"/>
      <c r="AF1578" s="19"/>
      <c r="AG1578" s="19"/>
      <c r="AH1578" s="19" t="n">
        <v>470</v>
      </c>
      <c r="AI1578" s="19"/>
      <c r="AJ1578" s="19"/>
      <c r="AK1578" s="19"/>
      <c r="AL1578" s="19"/>
      <c r="AM1578" s="19" t="n">
        <v>140</v>
      </c>
      <c r="AN1578" s="19" t="n">
        <v>230</v>
      </c>
      <c r="AO1578" s="19" t="n">
        <v>230</v>
      </c>
      <c r="AP1578" s="19"/>
      <c r="AQ1578" s="19"/>
      <c r="AR1578" s="19"/>
      <c r="AS1578" s="20" t="str">
        <f aca="false">HYPERLINK("http://www.openstreetmap.org/?mlat=33.7415&amp;mlon=44.6513&amp;zoom=12#map=12/33.7415/44.6513","Maplink1")</f>
        <v>Maplink1</v>
      </c>
      <c r="AT1578" s="20" t="str">
        <f aca="false">HYPERLINK("https://www.google.iq/maps/search/+33.7415,44.6513/@33.7415,44.6513,14z?hl=en","Maplink2")</f>
        <v>Maplink2</v>
      </c>
      <c r="AU1578" s="20" t="str">
        <f aca="false">HYPERLINK("http://www.bing.com/maps/?lvl=14&amp;sty=h&amp;cp=33.7415~44.6513&amp;sp=point.33.7415_44.6513","Maplink3")</f>
        <v>Maplink3</v>
      </c>
    </row>
    <row r="1579" customFormat="false" ht="15" hidden="false" customHeight="true" outlineLevel="0" collapsed="false">
      <c r="A1579" s="15" t="n">
        <v>11213</v>
      </c>
      <c r="B1579" s="16" t="s">
        <v>20</v>
      </c>
      <c r="C1579" s="16" t="s">
        <v>3079</v>
      </c>
      <c r="D1579" s="16" t="s">
        <v>3121</v>
      </c>
      <c r="E1579" s="17" t="s">
        <v>3122</v>
      </c>
      <c r="F1579" s="16" t="n">
        <v>33.74962203</v>
      </c>
      <c r="G1579" s="16" t="n">
        <v>44.64811093</v>
      </c>
      <c r="H1579" s="18" t="n">
        <v>65</v>
      </c>
      <c r="I1579" s="18" t="n">
        <v>390</v>
      </c>
      <c r="J1579" s="19" t="n">
        <v>7</v>
      </c>
      <c r="K1579" s="19"/>
      <c r="L1579" s="19"/>
      <c r="M1579" s="19"/>
      <c r="N1579" s="19"/>
      <c r="O1579" s="19" t="n">
        <v>53</v>
      </c>
      <c r="P1579" s="19"/>
      <c r="Q1579" s="19"/>
      <c r="R1579" s="19"/>
      <c r="S1579" s="19"/>
      <c r="T1579" s="19"/>
      <c r="U1579" s="19"/>
      <c r="V1579" s="19"/>
      <c r="W1579" s="19"/>
      <c r="X1579" s="19" t="n">
        <v>5</v>
      </c>
      <c r="Y1579" s="19"/>
      <c r="Z1579" s="19"/>
      <c r="AA1579" s="19"/>
      <c r="AB1579" s="19"/>
      <c r="AC1579" s="19" t="n">
        <v>28</v>
      </c>
      <c r="AD1579" s="19"/>
      <c r="AE1579" s="19"/>
      <c r="AF1579" s="19"/>
      <c r="AG1579" s="19"/>
      <c r="AH1579" s="19" t="n">
        <v>37</v>
      </c>
      <c r="AI1579" s="19"/>
      <c r="AJ1579" s="19"/>
      <c r="AK1579" s="19"/>
      <c r="AL1579" s="19"/>
      <c r="AM1579" s="19"/>
      <c r="AN1579" s="19"/>
      <c r="AO1579" s="19" t="n">
        <v>58</v>
      </c>
      <c r="AP1579" s="19" t="n">
        <v>7</v>
      </c>
      <c r="AQ1579" s="19"/>
      <c r="AR1579" s="19"/>
      <c r="AS1579" s="20" t="str">
        <f aca="false">HYPERLINK("http://www.openstreetmap.org/?mlat=33.7496&amp;mlon=44.6481&amp;zoom=12#map=12/33.7496/44.6481","Maplink1")</f>
        <v>Maplink1</v>
      </c>
      <c r="AT1579" s="20" t="str">
        <f aca="false">HYPERLINK("https://www.google.iq/maps/search/+33.7496,44.6481/@33.7496,44.6481,14z?hl=en","Maplink2")</f>
        <v>Maplink2</v>
      </c>
      <c r="AU1579" s="20" t="str">
        <f aca="false">HYPERLINK("http://www.bing.com/maps/?lvl=14&amp;sty=h&amp;cp=33.7496~44.6481&amp;sp=point.33.7496_44.6481","Maplink3")</f>
        <v>Maplink3</v>
      </c>
    </row>
    <row r="1580" customFormat="false" ht="15" hidden="false" customHeight="true" outlineLevel="0" collapsed="false">
      <c r="A1580" s="15" t="n">
        <v>25465</v>
      </c>
      <c r="B1580" s="16" t="s">
        <v>20</v>
      </c>
      <c r="C1580" s="16" t="s">
        <v>3079</v>
      </c>
      <c r="D1580" s="16" t="s">
        <v>3123</v>
      </c>
      <c r="E1580" s="17" t="s">
        <v>3124</v>
      </c>
      <c r="F1580" s="16" t="n">
        <v>33.75495076</v>
      </c>
      <c r="G1580" s="16" t="n">
        <v>44.63891189</v>
      </c>
      <c r="H1580" s="18" t="n">
        <v>20</v>
      </c>
      <c r="I1580" s="18" t="n">
        <v>120</v>
      </c>
      <c r="J1580" s="19"/>
      <c r="K1580" s="19"/>
      <c r="L1580" s="19"/>
      <c r="M1580" s="19"/>
      <c r="N1580" s="19"/>
      <c r="O1580" s="19" t="n">
        <v>20</v>
      </c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 t="n">
        <v>20</v>
      </c>
      <c r="AI1580" s="19"/>
      <c r="AJ1580" s="19"/>
      <c r="AK1580" s="19"/>
      <c r="AL1580" s="19"/>
      <c r="AM1580" s="19" t="n">
        <v>20</v>
      </c>
      <c r="AN1580" s="19"/>
      <c r="AO1580" s="19"/>
      <c r="AP1580" s="19"/>
      <c r="AQ1580" s="19"/>
      <c r="AR1580" s="19"/>
      <c r="AS1580" s="20" t="str">
        <f aca="false">HYPERLINK("http://www.openstreetmap.org/?mlat=33.755&amp;mlon=44.6389&amp;zoom=12#map=12/33.755/44.6389","Maplink1")</f>
        <v>Maplink1</v>
      </c>
      <c r="AT1580" s="20" t="str">
        <f aca="false">HYPERLINK("https://www.google.iq/maps/search/+33.755,44.6389/@33.755,44.6389,14z?hl=en","Maplink2")</f>
        <v>Maplink2</v>
      </c>
      <c r="AU1580" s="20" t="str">
        <f aca="false">HYPERLINK("http://www.bing.com/maps/?lvl=14&amp;sty=h&amp;cp=33.755~44.6389&amp;sp=point.33.755_44.6389","Maplink3")</f>
        <v>Maplink3</v>
      </c>
    </row>
    <row r="1581" customFormat="false" ht="15" hidden="false" customHeight="true" outlineLevel="0" collapsed="false">
      <c r="A1581" s="15" t="n">
        <v>21413</v>
      </c>
      <c r="B1581" s="16" t="s">
        <v>20</v>
      </c>
      <c r="C1581" s="16" t="s">
        <v>3079</v>
      </c>
      <c r="D1581" s="16" t="s">
        <v>3125</v>
      </c>
      <c r="E1581" s="17" t="s">
        <v>3126</v>
      </c>
      <c r="F1581" s="16" t="n">
        <v>33.72831631</v>
      </c>
      <c r="G1581" s="16" t="n">
        <v>44.60986415</v>
      </c>
      <c r="H1581" s="18" t="n">
        <v>120</v>
      </c>
      <c r="I1581" s="18" t="n">
        <v>720</v>
      </c>
      <c r="J1581" s="19" t="n">
        <v>6</v>
      </c>
      <c r="K1581" s="19"/>
      <c r="L1581" s="19"/>
      <c r="M1581" s="19"/>
      <c r="N1581" s="19"/>
      <c r="O1581" s="19" t="n">
        <v>80</v>
      </c>
      <c r="P1581" s="19"/>
      <c r="Q1581" s="19"/>
      <c r="R1581" s="19"/>
      <c r="S1581" s="19"/>
      <c r="T1581" s="19"/>
      <c r="U1581" s="19"/>
      <c r="V1581" s="19" t="n">
        <v>10</v>
      </c>
      <c r="W1581" s="19"/>
      <c r="X1581" s="19" t="n">
        <v>24</v>
      </c>
      <c r="Y1581" s="19"/>
      <c r="Z1581" s="19"/>
      <c r="AA1581" s="19"/>
      <c r="AB1581" s="19"/>
      <c r="AC1581" s="19" t="n">
        <v>10</v>
      </c>
      <c r="AD1581" s="19"/>
      <c r="AE1581" s="19"/>
      <c r="AF1581" s="19"/>
      <c r="AG1581" s="19"/>
      <c r="AH1581" s="19" t="n">
        <v>75</v>
      </c>
      <c r="AI1581" s="19"/>
      <c r="AJ1581" s="19" t="n">
        <v>35</v>
      </c>
      <c r="AK1581" s="19"/>
      <c r="AL1581" s="19" t="n">
        <v>6</v>
      </c>
      <c r="AM1581" s="19"/>
      <c r="AN1581" s="19"/>
      <c r="AO1581" s="19" t="n">
        <v>114</v>
      </c>
      <c r="AP1581" s="19"/>
      <c r="AQ1581" s="19"/>
      <c r="AR1581" s="19"/>
      <c r="AS1581" s="20" t="str">
        <f aca="false">HYPERLINK("http://www.openstreetmap.org/?mlat=33.7283&amp;mlon=44.6099&amp;zoom=12#map=12/33.7283/44.6099","Maplink1")</f>
        <v>Maplink1</v>
      </c>
      <c r="AT1581" s="20" t="str">
        <f aca="false">HYPERLINK("https://www.google.iq/maps/search/+33.7283,44.6099/@33.7283,44.6099,14z?hl=en","Maplink2")</f>
        <v>Maplink2</v>
      </c>
      <c r="AU1581" s="20" t="str">
        <f aca="false">HYPERLINK("http://www.bing.com/maps/?lvl=14&amp;sty=h&amp;cp=33.7283~44.6099&amp;sp=point.33.7283_44.6099","Maplink3")</f>
        <v>Maplink3</v>
      </c>
    </row>
    <row r="1582" customFormat="false" ht="15" hidden="false" customHeight="true" outlineLevel="0" collapsed="false">
      <c r="A1582" s="15" t="n">
        <v>11328</v>
      </c>
      <c r="B1582" s="16" t="s">
        <v>20</v>
      </c>
      <c r="C1582" s="16" t="s">
        <v>3079</v>
      </c>
      <c r="D1582" s="16" t="s">
        <v>3127</v>
      </c>
      <c r="E1582" s="17" t="s">
        <v>351</v>
      </c>
      <c r="F1582" s="16" t="n">
        <v>33.73226335</v>
      </c>
      <c r="G1582" s="16" t="n">
        <v>44.6116997</v>
      </c>
      <c r="H1582" s="18" t="n">
        <v>175</v>
      </c>
      <c r="I1582" s="18" t="n">
        <v>1050</v>
      </c>
      <c r="J1582" s="19" t="n">
        <v>10</v>
      </c>
      <c r="K1582" s="19"/>
      <c r="L1582" s="19"/>
      <c r="M1582" s="19"/>
      <c r="N1582" s="19"/>
      <c r="O1582" s="19" t="n">
        <v>165</v>
      </c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 t="n">
        <v>175</v>
      </c>
      <c r="AI1582" s="19"/>
      <c r="AJ1582" s="19"/>
      <c r="AK1582" s="19"/>
      <c r="AL1582" s="19"/>
      <c r="AM1582" s="19" t="n">
        <v>130</v>
      </c>
      <c r="AN1582" s="19"/>
      <c r="AO1582" s="19" t="n">
        <v>35</v>
      </c>
      <c r="AP1582" s="19" t="n">
        <v>10</v>
      </c>
      <c r="AQ1582" s="19"/>
      <c r="AR1582" s="19"/>
      <c r="AS1582" s="20" t="str">
        <f aca="false">HYPERLINK("http://www.openstreetmap.org/?mlat=33.7323&amp;mlon=44.6117&amp;zoom=12#map=12/33.7323/44.6117","Maplink1")</f>
        <v>Maplink1</v>
      </c>
      <c r="AT1582" s="20" t="str">
        <f aca="false">HYPERLINK("https://www.google.iq/maps/search/+33.7323,44.6117/@33.7323,44.6117,14z?hl=en","Maplink2")</f>
        <v>Maplink2</v>
      </c>
      <c r="AU1582" s="20" t="str">
        <f aca="false">HYPERLINK("http://www.bing.com/maps/?lvl=14&amp;sty=h&amp;cp=33.7323~44.6117&amp;sp=point.33.7323_44.6117","Maplink3")</f>
        <v>Maplink3</v>
      </c>
    </row>
    <row r="1583" customFormat="false" ht="15" hidden="false" customHeight="true" outlineLevel="0" collapsed="false">
      <c r="A1583" s="15" t="n">
        <v>24964</v>
      </c>
      <c r="B1583" s="16" t="s">
        <v>20</v>
      </c>
      <c r="C1583" s="16" t="s">
        <v>3079</v>
      </c>
      <c r="D1583" s="16" t="s">
        <v>3128</v>
      </c>
      <c r="E1583" s="17" t="s">
        <v>575</v>
      </c>
      <c r="F1583" s="16" t="n">
        <v>33.74192839</v>
      </c>
      <c r="G1583" s="16" t="n">
        <v>44.62453776</v>
      </c>
      <c r="H1583" s="18" t="n">
        <v>160</v>
      </c>
      <c r="I1583" s="18" t="n">
        <v>960</v>
      </c>
      <c r="J1583" s="19"/>
      <c r="K1583" s="19"/>
      <c r="L1583" s="19"/>
      <c r="M1583" s="19"/>
      <c r="N1583" s="19"/>
      <c r="O1583" s="19" t="n">
        <v>160</v>
      </c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 t="n">
        <v>160</v>
      </c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  <c r="AO1583" s="19" t="n">
        <v>160</v>
      </c>
      <c r="AP1583" s="19"/>
      <c r="AQ1583" s="19"/>
      <c r="AR1583" s="19"/>
      <c r="AS1583" s="20" t="str">
        <f aca="false">HYPERLINK("http://www.openstreetmap.org/?mlat=33.7419&amp;mlon=44.6245&amp;zoom=12#map=12/33.7419/44.6245","Maplink1")</f>
        <v>Maplink1</v>
      </c>
      <c r="AT1583" s="20" t="str">
        <f aca="false">HYPERLINK("https://www.google.iq/maps/search/+33.7419,44.6245/@33.7419,44.6245,14z?hl=en","Maplink2")</f>
        <v>Maplink2</v>
      </c>
      <c r="AU1583" s="20" t="str">
        <f aca="false">HYPERLINK("http://www.bing.com/maps/?lvl=14&amp;sty=h&amp;cp=33.7419~44.6245&amp;sp=point.33.7419_44.6245","Maplink3")</f>
        <v>Maplink3</v>
      </c>
    </row>
    <row r="1584" customFormat="false" ht="15" hidden="false" customHeight="true" outlineLevel="0" collapsed="false">
      <c r="A1584" s="15" t="n">
        <v>21273</v>
      </c>
      <c r="B1584" s="16" t="s">
        <v>20</v>
      </c>
      <c r="C1584" s="16" t="s">
        <v>3079</v>
      </c>
      <c r="D1584" s="16" t="s">
        <v>3129</v>
      </c>
      <c r="E1584" s="17" t="s">
        <v>3130</v>
      </c>
      <c r="F1584" s="16" t="n">
        <v>33.72568431</v>
      </c>
      <c r="G1584" s="16" t="n">
        <v>44.59911989</v>
      </c>
      <c r="H1584" s="18" t="n">
        <v>75</v>
      </c>
      <c r="I1584" s="18" t="n">
        <v>450</v>
      </c>
      <c r="J1584" s="19"/>
      <c r="K1584" s="19"/>
      <c r="L1584" s="19"/>
      <c r="M1584" s="19"/>
      <c r="N1584" s="19"/>
      <c r="O1584" s="19" t="n">
        <v>75</v>
      </c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  <c r="AC1584" s="19" t="n">
        <v>15</v>
      </c>
      <c r="AD1584" s="19"/>
      <c r="AE1584" s="19"/>
      <c r="AF1584" s="19"/>
      <c r="AG1584" s="19"/>
      <c r="AH1584" s="19" t="n">
        <v>60</v>
      </c>
      <c r="AI1584" s="19"/>
      <c r="AJ1584" s="19"/>
      <c r="AK1584" s="19"/>
      <c r="AL1584" s="19"/>
      <c r="AM1584" s="19"/>
      <c r="AN1584" s="19"/>
      <c r="AO1584" s="19" t="n">
        <v>75</v>
      </c>
      <c r="AP1584" s="19"/>
      <c r="AQ1584" s="19"/>
      <c r="AR1584" s="19"/>
      <c r="AS1584" s="20" t="str">
        <f aca="false">HYPERLINK("http://www.openstreetmap.org/?mlat=33.7257&amp;mlon=44.5991&amp;zoom=12#map=12/33.7257/44.5991","Maplink1")</f>
        <v>Maplink1</v>
      </c>
      <c r="AT1584" s="20" t="str">
        <f aca="false">HYPERLINK("https://www.google.iq/maps/search/+33.7257,44.5991/@33.7257,44.5991,14z?hl=en","Maplink2")</f>
        <v>Maplink2</v>
      </c>
      <c r="AU1584" s="20" t="str">
        <f aca="false">HYPERLINK("http://www.bing.com/maps/?lvl=14&amp;sty=h&amp;cp=33.7257~44.5991&amp;sp=point.33.7257_44.5991","Maplink3")</f>
        <v>Maplink3</v>
      </c>
    </row>
    <row r="1585" customFormat="false" ht="15" hidden="false" customHeight="true" outlineLevel="0" collapsed="false">
      <c r="A1585" s="15" t="n">
        <v>21271</v>
      </c>
      <c r="B1585" s="16" t="s">
        <v>20</v>
      </c>
      <c r="C1585" s="16" t="s">
        <v>3079</v>
      </c>
      <c r="D1585" s="16" t="s">
        <v>3131</v>
      </c>
      <c r="E1585" s="17" t="s">
        <v>85</v>
      </c>
      <c r="F1585" s="16" t="n">
        <v>33.72945667</v>
      </c>
      <c r="G1585" s="16" t="n">
        <v>44.65281914</v>
      </c>
      <c r="H1585" s="18" t="n">
        <v>15</v>
      </c>
      <c r="I1585" s="18" t="n">
        <v>90</v>
      </c>
      <c r="J1585" s="19"/>
      <c r="K1585" s="19"/>
      <c r="L1585" s="19"/>
      <c r="M1585" s="19"/>
      <c r="N1585" s="19"/>
      <c r="O1585" s="19" t="n">
        <v>15</v>
      </c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 t="n">
        <v>15</v>
      </c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 t="n">
        <v>15</v>
      </c>
      <c r="AO1585" s="19"/>
      <c r="AP1585" s="19"/>
      <c r="AQ1585" s="19"/>
      <c r="AR1585" s="19"/>
      <c r="AS1585" s="20" t="str">
        <f aca="false">HYPERLINK("http://www.openstreetmap.org/?mlat=33.7295&amp;mlon=44.6528&amp;zoom=12#map=12/33.7295/44.6528","Maplink1")</f>
        <v>Maplink1</v>
      </c>
      <c r="AT1585" s="20" t="str">
        <f aca="false">HYPERLINK("https://www.google.iq/maps/search/+33.7295,44.6528/@33.7295,44.6528,14z?hl=en","Maplink2")</f>
        <v>Maplink2</v>
      </c>
      <c r="AU1585" s="20" t="str">
        <f aca="false">HYPERLINK("http://www.bing.com/maps/?lvl=14&amp;sty=h&amp;cp=33.7295~44.6528&amp;sp=point.33.7295_44.6528","Maplink3")</f>
        <v>Maplink3</v>
      </c>
    </row>
    <row r="1586" customFormat="false" ht="15" hidden="false" customHeight="true" outlineLevel="0" collapsed="false">
      <c r="A1586" s="15" t="n">
        <v>25464</v>
      </c>
      <c r="B1586" s="16" t="s">
        <v>20</v>
      </c>
      <c r="C1586" s="16" t="s">
        <v>3079</v>
      </c>
      <c r="D1586" s="16" t="s">
        <v>3132</v>
      </c>
      <c r="E1586" s="17" t="s">
        <v>232</v>
      </c>
      <c r="F1586" s="16" t="n">
        <v>33.75795204</v>
      </c>
      <c r="G1586" s="16" t="n">
        <v>44.64109898</v>
      </c>
      <c r="H1586" s="18" t="n">
        <v>10</v>
      </c>
      <c r="I1586" s="18" t="n">
        <v>60</v>
      </c>
      <c r="J1586" s="19"/>
      <c r="K1586" s="19"/>
      <c r="L1586" s="19"/>
      <c r="M1586" s="19"/>
      <c r="N1586" s="19"/>
      <c r="O1586" s="19" t="n">
        <v>10</v>
      </c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 t="n">
        <v>10</v>
      </c>
      <c r="AI1586" s="19"/>
      <c r="AJ1586" s="19"/>
      <c r="AK1586" s="19"/>
      <c r="AL1586" s="19"/>
      <c r="AM1586" s="19" t="n">
        <v>10</v>
      </c>
      <c r="AN1586" s="19"/>
      <c r="AO1586" s="19"/>
      <c r="AP1586" s="19"/>
      <c r="AQ1586" s="19"/>
      <c r="AR1586" s="19"/>
      <c r="AS1586" s="20" t="str">
        <f aca="false">HYPERLINK("http://www.openstreetmap.org/?mlat=33.758&amp;mlon=44.6411&amp;zoom=12#map=12/33.758/44.6411","Maplink1")</f>
        <v>Maplink1</v>
      </c>
      <c r="AT1586" s="20" t="str">
        <f aca="false">HYPERLINK("https://www.google.iq/maps/search/+33.758,44.6411/@33.758,44.6411,14z?hl=en","Maplink2")</f>
        <v>Maplink2</v>
      </c>
      <c r="AU1586" s="20" t="str">
        <f aca="false">HYPERLINK("http://www.bing.com/maps/?lvl=14&amp;sty=h&amp;cp=33.758~44.6411&amp;sp=point.33.758_44.6411","Maplink3")</f>
        <v>Maplink3</v>
      </c>
    </row>
    <row r="1587" customFormat="false" ht="15" hidden="false" customHeight="true" outlineLevel="0" collapsed="false">
      <c r="A1587" s="15" t="n">
        <v>11432</v>
      </c>
      <c r="B1587" s="16" t="s">
        <v>20</v>
      </c>
      <c r="C1587" s="16" t="s">
        <v>3079</v>
      </c>
      <c r="D1587" s="16" t="s">
        <v>3133</v>
      </c>
      <c r="E1587" s="17" t="s">
        <v>3134</v>
      </c>
      <c r="F1587" s="16" t="n">
        <v>33.75937717</v>
      </c>
      <c r="G1587" s="16" t="n">
        <v>44.63995466</v>
      </c>
      <c r="H1587" s="18" t="n">
        <v>85</v>
      </c>
      <c r="I1587" s="18" t="n">
        <v>510</v>
      </c>
      <c r="J1587" s="19"/>
      <c r="K1587" s="19"/>
      <c r="L1587" s="19"/>
      <c r="M1587" s="19"/>
      <c r="N1587" s="19"/>
      <c r="O1587" s="19" t="n">
        <v>72</v>
      </c>
      <c r="P1587" s="19"/>
      <c r="Q1587" s="19"/>
      <c r="R1587" s="19"/>
      <c r="S1587" s="19"/>
      <c r="T1587" s="19"/>
      <c r="U1587" s="19"/>
      <c r="V1587" s="19"/>
      <c r="W1587" s="19"/>
      <c r="X1587" s="19" t="n">
        <v>13</v>
      </c>
      <c r="Y1587" s="19"/>
      <c r="Z1587" s="19"/>
      <c r="AA1587" s="19"/>
      <c r="AB1587" s="19"/>
      <c r="AC1587" s="19" t="n">
        <v>7</v>
      </c>
      <c r="AD1587" s="19"/>
      <c r="AE1587" s="19"/>
      <c r="AF1587" s="19"/>
      <c r="AG1587" s="19"/>
      <c r="AH1587" s="19" t="n">
        <v>65</v>
      </c>
      <c r="AI1587" s="19" t="n">
        <v>13</v>
      </c>
      <c r="AJ1587" s="19"/>
      <c r="AK1587" s="19"/>
      <c r="AL1587" s="19"/>
      <c r="AM1587" s="19"/>
      <c r="AN1587" s="19"/>
      <c r="AO1587" s="19" t="n">
        <v>85</v>
      </c>
      <c r="AP1587" s="19"/>
      <c r="AQ1587" s="19"/>
      <c r="AR1587" s="19"/>
      <c r="AS1587" s="20" t="str">
        <f aca="false">HYPERLINK("http://www.openstreetmap.org/?mlat=33.7594&amp;mlon=44.64&amp;zoom=12#map=12/33.7594/44.64","Maplink1")</f>
        <v>Maplink1</v>
      </c>
      <c r="AT1587" s="20" t="str">
        <f aca="false">HYPERLINK("https://www.google.iq/maps/search/+33.7594,44.64/@33.7594,44.64,14z?hl=en","Maplink2")</f>
        <v>Maplink2</v>
      </c>
      <c r="AU1587" s="20" t="str">
        <f aca="false">HYPERLINK("http://www.bing.com/maps/?lvl=14&amp;sty=h&amp;cp=33.7594~44.64&amp;sp=point.33.7594_44.64","Maplink3")</f>
        <v>Maplink3</v>
      </c>
    </row>
    <row r="1588" customFormat="false" ht="15" hidden="false" customHeight="true" outlineLevel="0" collapsed="false">
      <c r="A1588" s="15" t="n">
        <v>24916</v>
      </c>
      <c r="B1588" s="16" t="s">
        <v>20</v>
      </c>
      <c r="C1588" s="16" t="s">
        <v>3079</v>
      </c>
      <c r="D1588" s="16" t="s">
        <v>3135</v>
      </c>
      <c r="E1588" s="17" t="s">
        <v>300</v>
      </c>
      <c r="F1588" s="16" t="n">
        <v>33.57341807</v>
      </c>
      <c r="G1588" s="16" t="n">
        <v>44.54413</v>
      </c>
      <c r="H1588" s="18" t="n">
        <v>4</v>
      </c>
      <c r="I1588" s="18" t="n">
        <v>24</v>
      </c>
      <c r="J1588" s="19"/>
      <c r="K1588" s="19"/>
      <c r="L1588" s="19"/>
      <c r="M1588" s="19"/>
      <c r="N1588" s="19"/>
      <c r="O1588" s="19" t="n">
        <v>4</v>
      </c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 t="n">
        <v>4</v>
      </c>
      <c r="AI1588" s="19"/>
      <c r="AJ1588" s="19"/>
      <c r="AK1588" s="19"/>
      <c r="AL1588" s="19"/>
      <c r="AM1588" s="19"/>
      <c r="AN1588" s="19" t="n">
        <v>4</v>
      </c>
      <c r="AO1588" s="19"/>
      <c r="AP1588" s="19"/>
      <c r="AQ1588" s="19"/>
      <c r="AR1588" s="19"/>
      <c r="AS1588" s="20" t="str">
        <f aca="false">HYPERLINK("http://www.openstreetmap.org/?mlat=33.5734&amp;mlon=44.5441&amp;zoom=12#map=12/33.5734/44.5441","Maplink1")</f>
        <v>Maplink1</v>
      </c>
      <c r="AT1588" s="20" t="str">
        <f aca="false">HYPERLINK("https://www.google.iq/maps/search/+33.5734,44.5441/@33.5734,44.5441,14z?hl=en","Maplink2")</f>
        <v>Maplink2</v>
      </c>
      <c r="AU1588" s="20" t="str">
        <f aca="false">HYPERLINK("http://www.bing.com/maps/?lvl=14&amp;sty=h&amp;cp=33.5734~44.5441&amp;sp=point.33.5734_44.5441","Maplink3")</f>
        <v>Maplink3</v>
      </c>
    </row>
    <row r="1589" customFormat="false" ht="15" hidden="false" customHeight="true" outlineLevel="0" collapsed="false">
      <c r="A1589" s="15" t="n">
        <v>24574</v>
      </c>
      <c r="B1589" s="16" t="s">
        <v>20</v>
      </c>
      <c r="C1589" s="16" t="s">
        <v>3079</v>
      </c>
      <c r="D1589" s="16" t="s">
        <v>3136</v>
      </c>
      <c r="E1589" s="17" t="s">
        <v>3137</v>
      </c>
      <c r="F1589" s="16" t="n">
        <v>33.57205425</v>
      </c>
      <c r="G1589" s="16" t="n">
        <v>44.52814328</v>
      </c>
      <c r="H1589" s="18" t="n">
        <v>30</v>
      </c>
      <c r="I1589" s="18" t="n">
        <v>180</v>
      </c>
      <c r="J1589" s="19"/>
      <c r="K1589" s="19"/>
      <c r="L1589" s="19"/>
      <c r="M1589" s="19"/>
      <c r="N1589" s="19"/>
      <c r="O1589" s="19" t="n">
        <v>30</v>
      </c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 t="n">
        <v>30</v>
      </c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 t="n">
        <v>30</v>
      </c>
      <c r="AO1589" s="19"/>
      <c r="AP1589" s="19"/>
      <c r="AQ1589" s="19"/>
      <c r="AR1589" s="19"/>
      <c r="AS1589" s="20" t="str">
        <f aca="false">HYPERLINK("http://www.openstreetmap.org/?mlat=33.5721&amp;mlon=44.5281&amp;zoom=12#map=12/33.5721/44.5281","Maplink1")</f>
        <v>Maplink1</v>
      </c>
      <c r="AT1589" s="20" t="str">
        <f aca="false">HYPERLINK("https://www.google.iq/maps/search/+33.5721,44.5281/@33.5721,44.5281,14z?hl=en","Maplink2")</f>
        <v>Maplink2</v>
      </c>
      <c r="AU1589" s="20" t="str">
        <f aca="false">HYPERLINK("http://www.bing.com/maps/?lvl=14&amp;sty=h&amp;cp=33.5721~44.5281&amp;sp=point.33.5721_44.5281","Maplink3")</f>
        <v>Maplink3</v>
      </c>
    </row>
    <row r="1590" customFormat="false" ht="15" hidden="false" customHeight="true" outlineLevel="0" collapsed="false">
      <c r="A1590" s="15" t="n">
        <v>24575</v>
      </c>
      <c r="B1590" s="16" t="s">
        <v>20</v>
      </c>
      <c r="C1590" s="16" t="s">
        <v>3079</v>
      </c>
      <c r="D1590" s="16" t="s">
        <v>3138</v>
      </c>
      <c r="E1590" s="17" t="s">
        <v>3139</v>
      </c>
      <c r="F1590" s="16" t="n">
        <v>33.56864638</v>
      </c>
      <c r="G1590" s="16" t="n">
        <v>44.54960916</v>
      </c>
      <c r="H1590" s="18" t="n">
        <v>3</v>
      </c>
      <c r="I1590" s="18" t="n">
        <v>18</v>
      </c>
      <c r="J1590" s="19"/>
      <c r="K1590" s="19"/>
      <c r="L1590" s="19"/>
      <c r="M1590" s="19"/>
      <c r="N1590" s="19"/>
      <c r="O1590" s="19" t="n">
        <v>3</v>
      </c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 t="n">
        <v>3</v>
      </c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 t="n">
        <v>3</v>
      </c>
      <c r="AO1590" s="19"/>
      <c r="AP1590" s="19"/>
      <c r="AQ1590" s="19"/>
      <c r="AR1590" s="19"/>
      <c r="AS1590" s="20" t="str">
        <f aca="false">HYPERLINK("http://www.openstreetmap.org/?mlat=33.5686&amp;mlon=44.5496&amp;zoom=12#map=12/33.5686/44.5496","Maplink1")</f>
        <v>Maplink1</v>
      </c>
      <c r="AT1590" s="20" t="str">
        <f aca="false">HYPERLINK("https://www.google.iq/maps/search/+33.5686,44.5496/@33.5686,44.5496,14z?hl=en","Maplink2")</f>
        <v>Maplink2</v>
      </c>
      <c r="AU1590" s="20" t="str">
        <f aca="false">HYPERLINK("http://www.bing.com/maps/?lvl=14&amp;sty=h&amp;cp=33.5686~44.5496&amp;sp=point.33.5686_44.5496","Maplink3")</f>
        <v>Maplink3</v>
      </c>
    </row>
    <row r="1591" customFormat="false" ht="15" hidden="false" customHeight="true" outlineLevel="0" collapsed="false">
      <c r="A1591" s="15" t="n">
        <v>24576</v>
      </c>
      <c r="B1591" s="16" t="s">
        <v>20</v>
      </c>
      <c r="C1591" s="16" t="s">
        <v>3079</v>
      </c>
      <c r="D1591" s="16" t="s">
        <v>3140</v>
      </c>
      <c r="E1591" s="17" t="s">
        <v>3141</v>
      </c>
      <c r="F1591" s="16" t="n">
        <v>33.57089566</v>
      </c>
      <c r="G1591" s="16" t="n">
        <v>44.54683559</v>
      </c>
      <c r="H1591" s="18" t="n">
        <v>8</v>
      </c>
      <c r="I1591" s="18" t="n">
        <v>48</v>
      </c>
      <c r="J1591" s="19"/>
      <c r="K1591" s="19"/>
      <c r="L1591" s="19"/>
      <c r="M1591" s="19"/>
      <c r="N1591" s="19"/>
      <c r="O1591" s="19" t="n">
        <v>8</v>
      </c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 t="n">
        <v>8</v>
      </c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 t="n">
        <v>8</v>
      </c>
      <c r="AO1591" s="19"/>
      <c r="AP1591" s="19"/>
      <c r="AQ1591" s="19"/>
      <c r="AR1591" s="19"/>
      <c r="AS1591" s="20" t="str">
        <f aca="false">HYPERLINK("http://www.openstreetmap.org/?mlat=33.5709&amp;mlon=44.5468&amp;zoom=12#map=12/33.5709/44.5468","Maplink1")</f>
        <v>Maplink1</v>
      </c>
      <c r="AT1591" s="20" t="str">
        <f aca="false">HYPERLINK("https://www.google.iq/maps/search/+33.5709,44.5468/@33.5709,44.5468,14z?hl=en","Maplink2")</f>
        <v>Maplink2</v>
      </c>
      <c r="AU1591" s="20" t="str">
        <f aca="false">HYPERLINK("http://www.bing.com/maps/?lvl=14&amp;sty=h&amp;cp=33.5709~44.5468&amp;sp=point.33.5709_44.5468","Maplink3")</f>
        <v>Maplink3</v>
      </c>
    </row>
    <row r="1592" customFormat="false" ht="15" hidden="false" customHeight="true" outlineLevel="0" collapsed="false">
      <c r="A1592" s="15" t="n">
        <v>25039</v>
      </c>
      <c r="B1592" s="16" t="s">
        <v>20</v>
      </c>
      <c r="C1592" s="16" t="s">
        <v>3079</v>
      </c>
      <c r="D1592" s="16" t="s">
        <v>3142</v>
      </c>
      <c r="E1592" s="17" t="s">
        <v>3143</v>
      </c>
      <c r="F1592" s="16" t="n">
        <v>33.65970016</v>
      </c>
      <c r="G1592" s="16" t="n">
        <v>44.68621983</v>
      </c>
      <c r="H1592" s="18" t="n">
        <v>1</v>
      </c>
      <c r="I1592" s="18" t="n">
        <v>6</v>
      </c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 t="n">
        <v>1</v>
      </c>
      <c r="Y1592" s="19"/>
      <c r="Z1592" s="19"/>
      <c r="AA1592" s="19"/>
      <c r="AB1592" s="19"/>
      <c r="AC1592" s="19" t="n">
        <v>1</v>
      </c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 t="n">
        <v>1</v>
      </c>
      <c r="AO1592" s="19"/>
      <c r="AP1592" s="19"/>
      <c r="AQ1592" s="19"/>
      <c r="AR1592" s="19"/>
      <c r="AS1592" s="20" t="str">
        <f aca="false">HYPERLINK("http://www.openstreetmap.org/?mlat=33.6597&amp;mlon=44.6862&amp;zoom=12#map=12/33.6597/44.6862","Maplink1")</f>
        <v>Maplink1</v>
      </c>
      <c r="AT1592" s="20" t="str">
        <f aca="false">HYPERLINK("https://www.google.iq/maps/search/+33.6597,44.6862/@33.6597,44.6862,14z?hl=en","Maplink2")</f>
        <v>Maplink2</v>
      </c>
      <c r="AU1592" s="20" t="str">
        <f aca="false">HYPERLINK("http://www.bing.com/maps/?lvl=14&amp;sty=h&amp;cp=33.6597~44.6862&amp;sp=point.33.6597_44.6862","Maplink3")</f>
        <v>Maplink3</v>
      </c>
    </row>
    <row r="1593" customFormat="false" ht="15" hidden="false" customHeight="true" outlineLevel="0" collapsed="false">
      <c r="A1593" s="15" t="n">
        <v>25038</v>
      </c>
      <c r="B1593" s="16" t="s">
        <v>20</v>
      </c>
      <c r="C1593" s="16" t="s">
        <v>3079</v>
      </c>
      <c r="D1593" s="16" t="s">
        <v>3144</v>
      </c>
      <c r="E1593" s="17" t="s">
        <v>3145</v>
      </c>
      <c r="F1593" s="16" t="n">
        <v>33.65883002</v>
      </c>
      <c r="G1593" s="16" t="n">
        <v>44.68059918</v>
      </c>
      <c r="H1593" s="18" t="n">
        <v>7</v>
      </c>
      <c r="I1593" s="18" t="n">
        <v>42</v>
      </c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 t="n">
        <v>7</v>
      </c>
      <c r="Y1593" s="19"/>
      <c r="Z1593" s="19"/>
      <c r="AA1593" s="19"/>
      <c r="AB1593" s="19"/>
      <c r="AC1593" s="19" t="n">
        <v>7</v>
      </c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 t="n">
        <v>7</v>
      </c>
      <c r="AO1593" s="19"/>
      <c r="AP1593" s="19"/>
      <c r="AQ1593" s="19"/>
      <c r="AR1593" s="19"/>
      <c r="AS1593" s="20" t="str">
        <f aca="false">HYPERLINK("http://www.openstreetmap.org/?mlat=33.6588&amp;mlon=44.6806&amp;zoom=12#map=12/33.6588/44.6806","Maplink1")</f>
        <v>Maplink1</v>
      </c>
      <c r="AT1593" s="20" t="str">
        <f aca="false">HYPERLINK("https://www.google.iq/maps/search/+33.6588,44.6806/@33.6588,44.6806,14z?hl=en","Maplink2")</f>
        <v>Maplink2</v>
      </c>
      <c r="AU1593" s="20" t="str">
        <f aca="false">HYPERLINK("http://www.bing.com/maps/?lvl=14&amp;sty=h&amp;cp=33.6588~44.6806&amp;sp=point.33.6588_44.6806","Maplink3")</f>
        <v>Maplink3</v>
      </c>
    </row>
    <row r="1594" customFormat="false" ht="15" hidden="false" customHeight="true" outlineLevel="0" collapsed="false">
      <c r="A1594" s="15" t="n">
        <v>24918</v>
      </c>
      <c r="B1594" s="16" t="s">
        <v>20</v>
      </c>
      <c r="C1594" s="16" t="s">
        <v>3079</v>
      </c>
      <c r="D1594" s="16" t="s">
        <v>3146</v>
      </c>
      <c r="E1594" s="17" t="s">
        <v>3147</v>
      </c>
      <c r="F1594" s="16" t="n">
        <v>33.71171457</v>
      </c>
      <c r="G1594" s="16" t="n">
        <v>44.64771909</v>
      </c>
      <c r="H1594" s="18" t="n">
        <v>15</v>
      </c>
      <c r="I1594" s="18" t="n">
        <v>90</v>
      </c>
      <c r="J1594" s="19"/>
      <c r="K1594" s="19"/>
      <c r="L1594" s="19"/>
      <c r="M1594" s="19"/>
      <c r="N1594" s="19"/>
      <c r="O1594" s="19" t="n">
        <v>15</v>
      </c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 t="n">
        <v>15</v>
      </c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 t="n">
        <v>15</v>
      </c>
      <c r="AP1594" s="19"/>
      <c r="AQ1594" s="19"/>
      <c r="AR1594" s="19"/>
      <c r="AS1594" s="20" t="str">
        <f aca="false">HYPERLINK("http://www.openstreetmap.org/?mlat=33.7117&amp;mlon=44.6477&amp;zoom=12#map=12/33.7117/44.6477","Maplink1")</f>
        <v>Maplink1</v>
      </c>
      <c r="AT1594" s="20" t="str">
        <f aca="false">HYPERLINK("https://www.google.iq/maps/search/+33.7117,44.6477/@33.7117,44.6477,14z?hl=en","Maplink2")</f>
        <v>Maplink2</v>
      </c>
      <c r="AU1594" s="20" t="str">
        <f aca="false">HYPERLINK("http://www.bing.com/maps/?lvl=14&amp;sty=h&amp;cp=33.7117~44.6477&amp;sp=point.33.7117_44.6477","Maplink3")</f>
        <v>Maplink3</v>
      </c>
    </row>
    <row r="1595" customFormat="false" ht="15" hidden="false" customHeight="true" outlineLevel="0" collapsed="false">
      <c r="A1595" s="15" t="n">
        <v>11376</v>
      </c>
      <c r="B1595" s="16" t="s">
        <v>20</v>
      </c>
      <c r="C1595" s="16" t="s">
        <v>3079</v>
      </c>
      <c r="D1595" s="16" t="s">
        <v>3148</v>
      </c>
      <c r="E1595" s="17" t="s">
        <v>3149</v>
      </c>
      <c r="F1595" s="16" t="n">
        <v>33.71280139</v>
      </c>
      <c r="G1595" s="16" t="n">
        <v>44.65288053</v>
      </c>
      <c r="H1595" s="18" t="n">
        <v>22</v>
      </c>
      <c r="I1595" s="18" t="n">
        <v>132</v>
      </c>
      <c r="J1595" s="19"/>
      <c r="K1595" s="19"/>
      <c r="L1595" s="19"/>
      <c r="M1595" s="19"/>
      <c r="N1595" s="19"/>
      <c r="O1595" s="19" t="n">
        <v>22</v>
      </c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 t="n">
        <v>22</v>
      </c>
      <c r="AI1595" s="19"/>
      <c r="AJ1595" s="19"/>
      <c r="AK1595" s="19"/>
      <c r="AL1595" s="19"/>
      <c r="AM1595" s="19"/>
      <c r="AN1595" s="19"/>
      <c r="AO1595" s="19" t="n">
        <v>22</v>
      </c>
      <c r="AP1595" s="19"/>
      <c r="AQ1595" s="19"/>
      <c r="AR1595" s="19"/>
      <c r="AS1595" s="20" t="str">
        <f aca="false">HYPERLINK("http://www.openstreetmap.org/?mlat=33.7128&amp;mlon=44.6529&amp;zoom=12#map=12/33.7128/44.6529","Maplink1")</f>
        <v>Maplink1</v>
      </c>
      <c r="AT1595" s="20" t="str">
        <f aca="false">HYPERLINK("https://www.google.iq/maps/search/+33.7128,44.6529/@33.7128,44.6529,14z?hl=en","Maplink2")</f>
        <v>Maplink2</v>
      </c>
      <c r="AU1595" s="20" t="str">
        <f aca="false">HYPERLINK("http://www.bing.com/maps/?lvl=14&amp;sty=h&amp;cp=33.7128~44.6529&amp;sp=point.33.7128_44.6529","Maplink3")</f>
        <v>Maplink3</v>
      </c>
    </row>
    <row r="1596" customFormat="false" ht="15" hidden="false" customHeight="true" outlineLevel="0" collapsed="false">
      <c r="A1596" s="15" t="n">
        <v>11368</v>
      </c>
      <c r="B1596" s="16" t="s">
        <v>20</v>
      </c>
      <c r="C1596" s="16" t="s">
        <v>3079</v>
      </c>
      <c r="D1596" s="16" t="s">
        <v>3150</v>
      </c>
      <c r="E1596" s="17" t="s">
        <v>3151</v>
      </c>
      <c r="F1596" s="16" t="n">
        <v>33.72708368</v>
      </c>
      <c r="G1596" s="16" t="n">
        <v>44.66006215</v>
      </c>
      <c r="H1596" s="18" t="n">
        <v>8</v>
      </c>
      <c r="I1596" s="18" t="n">
        <v>48</v>
      </c>
      <c r="J1596" s="19"/>
      <c r="K1596" s="19"/>
      <c r="L1596" s="19"/>
      <c r="M1596" s="19"/>
      <c r="N1596" s="19"/>
      <c r="O1596" s="19" t="n">
        <v>8</v>
      </c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  <c r="AC1596" s="19" t="n">
        <v>8</v>
      </c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 t="n">
        <v>8</v>
      </c>
      <c r="AP1596" s="19"/>
      <c r="AQ1596" s="19"/>
      <c r="AR1596" s="19"/>
      <c r="AS1596" s="20" t="str">
        <f aca="false">HYPERLINK("http://www.openstreetmap.org/?mlat=33.7271&amp;mlon=44.6601&amp;zoom=12#map=12/33.7271/44.6601","Maplink1")</f>
        <v>Maplink1</v>
      </c>
      <c r="AT1596" s="20" t="str">
        <f aca="false">HYPERLINK("https://www.google.iq/maps/search/+33.7271,44.6601/@33.7271,44.6601,14z?hl=en","Maplink2")</f>
        <v>Maplink2</v>
      </c>
      <c r="AU1596" s="20" t="str">
        <f aca="false">HYPERLINK("http://www.bing.com/maps/?lvl=14&amp;sty=h&amp;cp=33.7271~44.6601&amp;sp=point.33.7271_44.6601","Maplink3")</f>
        <v>Maplink3</v>
      </c>
    </row>
    <row r="1597" customFormat="false" ht="15" hidden="false" customHeight="true" outlineLevel="0" collapsed="false">
      <c r="A1597" s="15" t="n">
        <v>25037</v>
      </c>
      <c r="B1597" s="16" t="s">
        <v>20</v>
      </c>
      <c r="C1597" s="16" t="s">
        <v>3079</v>
      </c>
      <c r="D1597" s="16" t="s">
        <v>3152</v>
      </c>
      <c r="E1597" s="17" t="s">
        <v>3153</v>
      </c>
      <c r="F1597" s="16" t="n">
        <v>33.65012037</v>
      </c>
      <c r="G1597" s="16" t="n">
        <v>44.68483824</v>
      </c>
      <c r="H1597" s="18" t="n">
        <v>11</v>
      </c>
      <c r="I1597" s="18" t="n">
        <v>66</v>
      </c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 t="n">
        <v>11</v>
      </c>
      <c r="Y1597" s="19"/>
      <c r="Z1597" s="19"/>
      <c r="AA1597" s="19"/>
      <c r="AB1597" s="19"/>
      <c r="AC1597" s="19" t="n">
        <v>11</v>
      </c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 t="n">
        <v>11</v>
      </c>
      <c r="AO1597" s="19"/>
      <c r="AP1597" s="19"/>
      <c r="AQ1597" s="19"/>
      <c r="AR1597" s="19"/>
      <c r="AS1597" s="20" t="str">
        <f aca="false">HYPERLINK("http://www.openstreetmap.org/?mlat=33.6501&amp;mlon=44.6848&amp;zoom=12#map=12/33.6501/44.6848","Maplink1")</f>
        <v>Maplink1</v>
      </c>
      <c r="AT1597" s="20" t="str">
        <f aca="false">HYPERLINK("https://www.google.iq/maps/search/+33.6501,44.6848/@33.6501,44.6848,14z?hl=en","Maplink2")</f>
        <v>Maplink2</v>
      </c>
      <c r="AU1597" s="20" t="str">
        <f aca="false">HYPERLINK("http://www.bing.com/maps/?lvl=14&amp;sty=h&amp;cp=33.6501~44.6848&amp;sp=point.33.6501_44.6848","Maplink3")</f>
        <v>Maplink3</v>
      </c>
    </row>
    <row r="1598" customFormat="false" ht="15" hidden="false" customHeight="true" outlineLevel="0" collapsed="false">
      <c r="A1598" s="15" t="n">
        <v>25045</v>
      </c>
      <c r="B1598" s="16" t="s">
        <v>20</v>
      </c>
      <c r="C1598" s="16" t="s">
        <v>3079</v>
      </c>
      <c r="D1598" s="16" t="s">
        <v>3154</v>
      </c>
      <c r="E1598" s="17" t="s">
        <v>3155</v>
      </c>
      <c r="F1598" s="16" t="n">
        <v>33.70117579</v>
      </c>
      <c r="G1598" s="16" t="n">
        <v>44.79472421</v>
      </c>
      <c r="H1598" s="18" t="n">
        <v>15</v>
      </c>
      <c r="I1598" s="18" t="n">
        <v>90</v>
      </c>
      <c r="J1598" s="19"/>
      <c r="K1598" s="19"/>
      <c r="L1598" s="19"/>
      <c r="M1598" s="19"/>
      <c r="N1598" s="19"/>
      <c r="O1598" s="19" t="n">
        <v>15</v>
      </c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 t="n">
        <v>15</v>
      </c>
      <c r="AI1598" s="19"/>
      <c r="AJ1598" s="19"/>
      <c r="AK1598" s="19"/>
      <c r="AL1598" s="19"/>
      <c r="AM1598" s="19"/>
      <c r="AN1598" s="19"/>
      <c r="AO1598" s="19" t="n">
        <v>15</v>
      </c>
      <c r="AP1598" s="19"/>
      <c r="AQ1598" s="19"/>
      <c r="AR1598" s="19"/>
      <c r="AS1598" s="20" t="str">
        <f aca="false">HYPERLINK("http://www.openstreetmap.org/?mlat=33.7012&amp;mlon=44.7947&amp;zoom=12#map=12/33.7012/44.7947","Maplink1")</f>
        <v>Maplink1</v>
      </c>
      <c r="AT1598" s="20" t="str">
        <f aca="false">HYPERLINK("https://www.google.iq/maps/search/+33.7012,44.7947/@33.7012,44.7947,14z?hl=en","Maplink2")</f>
        <v>Maplink2</v>
      </c>
      <c r="AU1598" s="20" t="str">
        <f aca="false">HYPERLINK("http://www.bing.com/maps/?lvl=14&amp;sty=h&amp;cp=33.7012~44.7947&amp;sp=point.33.7012_44.7947","Maplink3")</f>
        <v>Maplink3</v>
      </c>
    </row>
    <row r="1599" customFormat="false" ht="15" hidden="false" customHeight="true" outlineLevel="0" collapsed="false">
      <c r="A1599" s="15" t="n">
        <v>11496</v>
      </c>
      <c r="B1599" s="16" t="s">
        <v>20</v>
      </c>
      <c r="C1599" s="16" t="s">
        <v>3079</v>
      </c>
      <c r="D1599" s="16" t="s">
        <v>3156</v>
      </c>
      <c r="E1599" s="17" t="s">
        <v>3157</v>
      </c>
      <c r="F1599" s="16" t="n">
        <v>33.76952212</v>
      </c>
      <c r="G1599" s="16" t="n">
        <v>44.64358201</v>
      </c>
      <c r="H1599" s="18" t="n">
        <v>25</v>
      </c>
      <c r="I1599" s="18" t="n">
        <v>150</v>
      </c>
      <c r="J1599" s="19"/>
      <c r="K1599" s="19"/>
      <c r="L1599" s="19"/>
      <c r="M1599" s="19"/>
      <c r="N1599" s="19"/>
      <c r="O1599" s="19" t="n">
        <v>25</v>
      </c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 t="n">
        <v>25</v>
      </c>
      <c r="AI1599" s="19"/>
      <c r="AJ1599" s="19"/>
      <c r="AK1599" s="19"/>
      <c r="AL1599" s="19"/>
      <c r="AM1599" s="19" t="n">
        <v>25</v>
      </c>
      <c r="AN1599" s="19"/>
      <c r="AO1599" s="19"/>
      <c r="AP1599" s="19"/>
      <c r="AQ1599" s="19"/>
      <c r="AR1599" s="19"/>
      <c r="AS1599" s="20" t="str">
        <f aca="false">HYPERLINK("http://www.openstreetmap.org/?mlat=33.7695&amp;mlon=44.6436&amp;zoom=12#map=12/33.7695/44.6436","Maplink1")</f>
        <v>Maplink1</v>
      </c>
      <c r="AT1599" s="20" t="str">
        <f aca="false">HYPERLINK("https://www.google.iq/maps/search/+33.7695,44.6436/@33.7695,44.6436,14z?hl=en","Maplink2")</f>
        <v>Maplink2</v>
      </c>
      <c r="AU1599" s="20" t="str">
        <f aca="false">HYPERLINK("http://www.bing.com/maps/?lvl=14&amp;sty=h&amp;cp=33.7695~44.6436&amp;sp=point.33.7695_44.6436","Maplink3")</f>
        <v>Maplink3</v>
      </c>
    </row>
    <row r="1600" customFormat="false" ht="15" hidden="false" customHeight="true" outlineLevel="0" collapsed="false">
      <c r="A1600" s="15" t="n">
        <v>25050</v>
      </c>
      <c r="B1600" s="16" t="s">
        <v>20</v>
      </c>
      <c r="C1600" s="16" t="s">
        <v>3079</v>
      </c>
      <c r="D1600" s="16" t="s">
        <v>3158</v>
      </c>
      <c r="E1600" s="17" t="s">
        <v>3159</v>
      </c>
      <c r="F1600" s="16" t="n">
        <v>33.70814676</v>
      </c>
      <c r="G1600" s="16" t="n">
        <v>44.77149367</v>
      </c>
      <c r="H1600" s="18" t="n">
        <v>15</v>
      </c>
      <c r="I1600" s="18" t="n">
        <v>90</v>
      </c>
      <c r="J1600" s="19"/>
      <c r="K1600" s="19"/>
      <c r="L1600" s="19"/>
      <c r="M1600" s="19"/>
      <c r="N1600" s="19"/>
      <c r="O1600" s="19" t="n">
        <v>15</v>
      </c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 t="n">
        <v>15</v>
      </c>
      <c r="AI1600" s="19"/>
      <c r="AJ1600" s="19"/>
      <c r="AK1600" s="19"/>
      <c r="AL1600" s="19"/>
      <c r="AM1600" s="19"/>
      <c r="AN1600" s="19"/>
      <c r="AO1600" s="19" t="n">
        <v>15</v>
      </c>
      <c r="AP1600" s="19"/>
      <c r="AQ1600" s="19"/>
      <c r="AR1600" s="19"/>
      <c r="AS1600" s="20" t="str">
        <f aca="false">HYPERLINK("http://www.openstreetmap.org/?mlat=33.7081&amp;mlon=44.7715&amp;zoom=12#map=12/33.7081/44.7715","Maplink1")</f>
        <v>Maplink1</v>
      </c>
      <c r="AT1600" s="20" t="str">
        <f aca="false">HYPERLINK("https://www.google.iq/maps/search/+33.7081,44.7715/@33.7081,44.7715,14z?hl=en","Maplink2")</f>
        <v>Maplink2</v>
      </c>
      <c r="AU1600" s="20" t="str">
        <f aca="false">HYPERLINK("http://www.bing.com/maps/?lvl=14&amp;sty=h&amp;cp=33.7081~44.7715&amp;sp=point.33.7081_44.7715","Maplink3")</f>
        <v>Maplink3</v>
      </c>
    </row>
    <row r="1601" customFormat="false" ht="15" hidden="false" customHeight="true" outlineLevel="0" collapsed="false">
      <c r="A1601" s="15" t="n">
        <v>11553</v>
      </c>
      <c r="B1601" s="16" t="s">
        <v>20</v>
      </c>
      <c r="C1601" s="16" t="s">
        <v>3079</v>
      </c>
      <c r="D1601" s="16" t="s">
        <v>3160</v>
      </c>
      <c r="E1601" s="17" t="s">
        <v>3161</v>
      </c>
      <c r="F1601" s="16" t="n">
        <v>33.82837101</v>
      </c>
      <c r="G1601" s="16" t="n">
        <v>44.67397037</v>
      </c>
      <c r="H1601" s="18" t="n">
        <v>18</v>
      </c>
      <c r="I1601" s="18" t="n">
        <v>108</v>
      </c>
      <c r="J1601" s="19"/>
      <c r="K1601" s="19"/>
      <c r="L1601" s="19"/>
      <c r="M1601" s="19"/>
      <c r="N1601" s="19"/>
      <c r="O1601" s="19" t="n">
        <v>18</v>
      </c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 t="n">
        <v>18</v>
      </c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  <c r="AO1601" s="19" t="n">
        <v>18</v>
      </c>
      <c r="AP1601" s="19"/>
      <c r="AQ1601" s="19"/>
      <c r="AR1601" s="19"/>
      <c r="AS1601" s="20" t="str">
        <f aca="false">HYPERLINK("http://www.openstreetmap.org/?mlat=33.8284&amp;mlon=44.674&amp;zoom=12#map=12/33.8284/44.674","Maplink1")</f>
        <v>Maplink1</v>
      </c>
      <c r="AT1601" s="20" t="str">
        <f aca="false">HYPERLINK("https://www.google.iq/maps/search/+33.8284,44.674/@33.8284,44.674,14z?hl=en","Maplink2")</f>
        <v>Maplink2</v>
      </c>
      <c r="AU1601" s="20" t="str">
        <f aca="false">HYPERLINK("http://www.bing.com/maps/?lvl=14&amp;sty=h&amp;cp=33.8284~44.674&amp;sp=point.33.8284_44.674","Maplink3")</f>
        <v>Maplink3</v>
      </c>
    </row>
    <row r="1602" customFormat="false" ht="15" hidden="false" customHeight="true" outlineLevel="0" collapsed="false">
      <c r="A1602" s="15" t="n">
        <v>11463</v>
      </c>
      <c r="B1602" s="16" t="s">
        <v>20</v>
      </c>
      <c r="C1602" s="16" t="s">
        <v>3079</v>
      </c>
      <c r="D1602" s="16" t="s">
        <v>3162</v>
      </c>
      <c r="E1602" s="17" t="s">
        <v>3163</v>
      </c>
      <c r="F1602" s="16" t="n">
        <v>33.84493653</v>
      </c>
      <c r="G1602" s="16" t="n">
        <v>44.64454085</v>
      </c>
      <c r="H1602" s="18" t="n">
        <v>40</v>
      </c>
      <c r="I1602" s="18" t="n">
        <v>240</v>
      </c>
      <c r="J1602" s="19"/>
      <c r="K1602" s="19"/>
      <c r="L1602" s="19"/>
      <c r="M1602" s="19"/>
      <c r="N1602" s="19"/>
      <c r="O1602" s="19" t="n">
        <v>15</v>
      </c>
      <c r="P1602" s="19"/>
      <c r="Q1602" s="19"/>
      <c r="R1602" s="19"/>
      <c r="S1602" s="19"/>
      <c r="T1602" s="19"/>
      <c r="U1602" s="19"/>
      <c r="V1602" s="19"/>
      <c r="W1602" s="19"/>
      <c r="X1602" s="19" t="n">
        <v>25</v>
      </c>
      <c r="Y1602" s="19"/>
      <c r="Z1602" s="19"/>
      <c r="AA1602" s="19"/>
      <c r="AB1602" s="19"/>
      <c r="AC1602" s="19" t="n">
        <v>18</v>
      </c>
      <c r="AD1602" s="19"/>
      <c r="AE1602" s="19"/>
      <c r="AF1602" s="19"/>
      <c r="AG1602" s="19"/>
      <c r="AH1602" s="19" t="n">
        <v>22</v>
      </c>
      <c r="AI1602" s="19"/>
      <c r="AJ1602" s="19"/>
      <c r="AK1602" s="19"/>
      <c r="AL1602" s="19"/>
      <c r="AM1602" s="19"/>
      <c r="AN1602" s="19"/>
      <c r="AO1602" s="19" t="n">
        <v>40</v>
      </c>
      <c r="AP1602" s="19"/>
      <c r="AQ1602" s="19"/>
      <c r="AR1602" s="19"/>
      <c r="AS1602" s="20" t="str">
        <f aca="false">HYPERLINK("http://www.openstreetmap.org/?mlat=33.8449&amp;mlon=44.6445&amp;zoom=12#map=12/33.8449/44.6445","Maplink1")</f>
        <v>Maplink1</v>
      </c>
      <c r="AT1602" s="20" t="str">
        <f aca="false">HYPERLINK("https://www.google.iq/maps/search/+33.8449,44.6445/@33.8449,44.6445,14z?hl=en","Maplink2")</f>
        <v>Maplink2</v>
      </c>
      <c r="AU1602" s="20" t="str">
        <f aca="false">HYPERLINK("http://www.bing.com/maps/?lvl=14&amp;sty=h&amp;cp=33.8449~44.6445&amp;sp=point.33.8449_44.6445","Maplink3")</f>
        <v>Maplink3</v>
      </c>
    </row>
    <row r="1603" customFormat="false" ht="15" hidden="false" customHeight="true" outlineLevel="0" collapsed="false">
      <c r="A1603" s="15" t="n">
        <v>11217</v>
      </c>
      <c r="B1603" s="16" t="s">
        <v>20</v>
      </c>
      <c r="C1603" s="16" t="s">
        <v>3079</v>
      </c>
      <c r="D1603" s="16" t="s">
        <v>3164</v>
      </c>
      <c r="E1603" s="17" t="s">
        <v>3165</v>
      </c>
      <c r="F1603" s="16" t="n">
        <v>33.75672618</v>
      </c>
      <c r="G1603" s="16" t="n">
        <v>44.65495799</v>
      </c>
      <c r="H1603" s="18" t="n">
        <v>49</v>
      </c>
      <c r="I1603" s="18" t="n">
        <v>294</v>
      </c>
      <c r="J1603" s="19"/>
      <c r="K1603" s="19"/>
      <c r="L1603" s="19"/>
      <c r="M1603" s="19"/>
      <c r="N1603" s="19"/>
      <c r="O1603" s="19" t="n">
        <v>49</v>
      </c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 t="n">
        <v>49</v>
      </c>
      <c r="AI1603" s="19"/>
      <c r="AJ1603" s="19"/>
      <c r="AK1603" s="19"/>
      <c r="AL1603" s="19"/>
      <c r="AM1603" s="19" t="n">
        <v>49</v>
      </c>
      <c r="AN1603" s="19"/>
      <c r="AO1603" s="19"/>
      <c r="AP1603" s="19"/>
      <c r="AQ1603" s="19"/>
      <c r="AR1603" s="19"/>
      <c r="AS1603" s="20" t="str">
        <f aca="false">HYPERLINK("http://www.openstreetmap.org/?mlat=33.7567&amp;mlon=44.655&amp;zoom=12#map=12/33.7567/44.655","Maplink1")</f>
        <v>Maplink1</v>
      </c>
      <c r="AT1603" s="20" t="str">
        <f aca="false">HYPERLINK("https://www.google.iq/maps/search/+33.7567,44.655/@33.7567,44.655,14z?hl=en","Maplink2")</f>
        <v>Maplink2</v>
      </c>
      <c r="AU1603" s="20" t="str">
        <f aca="false">HYPERLINK("http://www.bing.com/maps/?lvl=14&amp;sty=h&amp;cp=33.7567~44.655&amp;sp=point.33.7567_44.655","Maplink3")</f>
        <v>Maplink3</v>
      </c>
    </row>
    <row r="1604" customFormat="false" ht="15" hidden="false" customHeight="true" outlineLevel="0" collapsed="false">
      <c r="A1604" s="15" t="n">
        <v>25048</v>
      </c>
      <c r="B1604" s="16" t="s">
        <v>20</v>
      </c>
      <c r="C1604" s="16" t="s">
        <v>3079</v>
      </c>
      <c r="D1604" s="16" t="s">
        <v>3166</v>
      </c>
      <c r="E1604" s="17" t="s">
        <v>3167</v>
      </c>
      <c r="F1604" s="16" t="n">
        <v>33.69752969</v>
      </c>
      <c r="G1604" s="16" t="n">
        <v>44.80520396</v>
      </c>
      <c r="H1604" s="18" t="n">
        <v>10</v>
      </c>
      <c r="I1604" s="18" t="n">
        <v>60</v>
      </c>
      <c r="J1604" s="19"/>
      <c r="K1604" s="19"/>
      <c r="L1604" s="19"/>
      <c r="M1604" s="19"/>
      <c r="N1604" s="19"/>
      <c r="O1604" s="19" t="n">
        <v>10</v>
      </c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 t="n">
        <v>10</v>
      </c>
      <c r="AK1604" s="19"/>
      <c r="AL1604" s="19"/>
      <c r="AM1604" s="19"/>
      <c r="AN1604" s="19"/>
      <c r="AO1604" s="19" t="n">
        <v>10</v>
      </c>
      <c r="AP1604" s="19"/>
      <c r="AQ1604" s="19"/>
      <c r="AR1604" s="19"/>
      <c r="AS1604" s="20" t="str">
        <f aca="false">HYPERLINK("http://www.openstreetmap.org/?mlat=33.6975&amp;mlon=44.8052&amp;zoom=12#map=12/33.6975/44.8052","Maplink1")</f>
        <v>Maplink1</v>
      </c>
      <c r="AT1604" s="20" t="str">
        <f aca="false">HYPERLINK("https://www.google.iq/maps/search/+33.6975,44.8052/@33.6975,44.8052,14z?hl=en","Maplink2")</f>
        <v>Maplink2</v>
      </c>
      <c r="AU1604" s="20" t="str">
        <f aca="false">HYPERLINK("http://www.bing.com/maps/?lvl=14&amp;sty=h&amp;cp=33.6975~44.8052&amp;sp=point.33.6975_44.8052","Maplink3")</f>
        <v>Maplink3</v>
      </c>
    </row>
    <row r="1605" customFormat="false" ht="15" hidden="false" customHeight="true" outlineLevel="0" collapsed="false">
      <c r="A1605" s="15" t="n">
        <v>25051</v>
      </c>
      <c r="B1605" s="16" t="s">
        <v>20</v>
      </c>
      <c r="C1605" s="16" t="s">
        <v>3079</v>
      </c>
      <c r="D1605" s="16" t="s">
        <v>3168</v>
      </c>
      <c r="E1605" s="17" t="s">
        <v>3169</v>
      </c>
      <c r="F1605" s="16" t="n">
        <v>33.67602303</v>
      </c>
      <c r="G1605" s="16" t="n">
        <v>44.77765329</v>
      </c>
      <c r="H1605" s="18" t="n">
        <v>16</v>
      </c>
      <c r="I1605" s="18" t="n">
        <v>96</v>
      </c>
      <c r="J1605" s="19"/>
      <c r="K1605" s="19"/>
      <c r="L1605" s="19"/>
      <c r="M1605" s="19"/>
      <c r="N1605" s="19"/>
      <c r="O1605" s="19" t="n">
        <v>16</v>
      </c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  <c r="AC1605" s="19" t="n">
        <v>10</v>
      </c>
      <c r="AD1605" s="19"/>
      <c r="AE1605" s="19"/>
      <c r="AF1605" s="19"/>
      <c r="AG1605" s="19"/>
      <c r="AH1605" s="19"/>
      <c r="AI1605" s="19"/>
      <c r="AJ1605" s="19" t="n">
        <v>6</v>
      </c>
      <c r="AK1605" s="19"/>
      <c r="AL1605" s="19"/>
      <c r="AM1605" s="19"/>
      <c r="AN1605" s="19"/>
      <c r="AO1605" s="19" t="n">
        <v>16</v>
      </c>
      <c r="AP1605" s="19"/>
      <c r="AQ1605" s="19"/>
      <c r="AR1605" s="19"/>
      <c r="AS1605" s="20" t="str">
        <f aca="false">HYPERLINK("http://www.openstreetmap.org/?mlat=33.676&amp;mlon=44.7777&amp;zoom=12#map=12/33.676/44.7777","Maplink1")</f>
        <v>Maplink1</v>
      </c>
      <c r="AT1605" s="20" t="str">
        <f aca="false">HYPERLINK("https://www.google.iq/maps/search/+33.676,44.7777/@33.676,44.7777,14z?hl=en","Maplink2")</f>
        <v>Maplink2</v>
      </c>
      <c r="AU1605" s="20" t="str">
        <f aca="false">HYPERLINK("http://www.bing.com/maps/?lvl=14&amp;sty=h&amp;cp=33.676~44.7777&amp;sp=point.33.676_44.7777","Maplink3")</f>
        <v>Maplink3</v>
      </c>
    </row>
    <row r="1606" customFormat="false" ht="15" hidden="false" customHeight="true" outlineLevel="0" collapsed="false">
      <c r="A1606" s="15" t="n">
        <v>11200</v>
      </c>
      <c r="B1606" s="16" t="s">
        <v>20</v>
      </c>
      <c r="C1606" s="16" t="s">
        <v>3079</v>
      </c>
      <c r="D1606" s="16" t="s">
        <v>3170</v>
      </c>
      <c r="E1606" s="17" t="s">
        <v>3171</v>
      </c>
      <c r="F1606" s="16" t="n">
        <v>33.803115</v>
      </c>
      <c r="G1606" s="16" t="n">
        <v>44.63426496</v>
      </c>
      <c r="H1606" s="18" t="n">
        <v>40</v>
      </c>
      <c r="I1606" s="18" t="n">
        <v>240</v>
      </c>
      <c r="J1606" s="19"/>
      <c r="K1606" s="19"/>
      <c r="L1606" s="19"/>
      <c r="M1606" s="19"/>
      <c r="N1606" s="19"/>
      <c r="O1606" s="19" t="n">
        <v>40</v>
      </c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 t="n">
        <v>20</v>
      </c>
      <c r="AD1606" s="19"/>
      <c r="AE1606" s="19"/>
      <c r="AF1606" s="19"/>
      <c r="AG1606" s="19"/>
      <c r="AH1606" s="19" t="n">
        <v>20</v>
      </c>
      <c r="AI1606" s="19"/>
      <c r="AJ1606" s="19"/>
      <c r="AK1606" s="19"/>
      <c r="AL1606" s="19"/>
      <c r="AM1606" s="19"/>
      <c r="AN1606" s="19"/>
      <c r="AO1606" s="19" t="n">
        <v>40</v>
      </c>
      <c r="AP1606" s="19"/>
      <c r="AQ1606" s="19"/>
      <c r="AR1606" s="19"/>
      <c r="AS1606" s="20" t="str">
        <f aca="false">HYPERLINK("http://www.openstreetmap.org/?mlat=33.8031&amp;mlon=44.6343&amp;zoom=12#map=12/33.8031/44.6343","Maplink1")</f>
        <v>Maplink1</v>
      </c>
      <c r="AT1606" s="20" t="str">
        <f aca="false">HYPERLINK("https://www.google.iq/maps/search/+33.8031,44.6343/@33.8031,44.6343,14z?hl=en","Maplink2")</f>
        <v>Maplink2</v>
      </c>
      <c r="AU1606" s="20" t="str">
        <f aca="false">HYPERLINK("http://www.bing.com/maps/?lvl=14&amp;sty=h&amp;cp=33.8031~44.6343&amp;sp=point.33.8031_44.6343","Maplink3")</f>
        <v>Maplink3</v>
      </c>
    </row>
    <row r="1607" customFormat="false" ht="15" hidden="false" customHeight="true" outlineLevel="0" collapsed="false">
      <c r="A1607" s="15" t="n">
        <v>11193</v>
      </c>
      <c r="B1607" s="16" t="s">
        <v>20</v>
      </c>
      <c r="C1607" s="16" t="s">
        <v>3079</v>
      </c>
      <c r="D1607" s="16" t="s">
        <v>3172</v>
      </c>
      <c r="E1607" s="17" t="s">
        <v>3173</v>
      </c>
      <c r="F1607" s="16" t="n">
        <v>33.81407379</v>
      </c>
      <c r="G1607" s="16" t="n">
        <v>44.65746133</v>
      </c>
      <c r="H1607" s="18" t="n">
        <v>77</v>
      </c>
      <c r="I1607" s="18" t="n">
        <v>462</v>
      </c>
      <c r="J1607" s="19"/>
      <c r="K1607" s="19"/>
      <c r="L1607" s="19"/>
      <c r="M1607" s="19"/>
      <c r="N1607" s="19"/>
      <c r="O1607" s="19" t="n">
        <v>77</v>
      </c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  <c r="AC1607" s="19" t="n">
        <v>77</v>
      </c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 t="n">
        <v>77</v>
      </c>
      <c r="AO1607" s="19"/>
      <c r="AP1607" s="19"/>
      <c r="AQ1607" s="19"/>
      <c r="AR1607" s="19"/>
      <c r="AS1607" s="20" t="str">
        <f aca="false">HYPERLINK("http://www.openstreetmap.org/?mlat=33.8141&amp;mlon=44.6575&amp;zoom=12#map=12/33.8141/44.6575","Maplink1")</f>
        <v>Maplink1</v>
      </c>
      <c r="AT1607" s="20" t="str">
        <f aca="false">HYPERLINK("https://www.google.iq/maps/search/+33.8141,44.6575/@33.8141,44.6575,14z?hl=en","Maplink2")</f>
        <v>Maplink2</v>
      </c>
      <c r="AU1607" s="20" t="str">
        <f aca="false">HYPERLINK("http://www.bing.com/maps/?lvl=14&amp;sty=h&amp;cp=33.8141~44.6575&amp;sp=point.33.8141_44.6575","Maplink3")</f>
        <v>Maplink3</v>
      </c>
    </row>
    <row r="1608" customFormat="false" ht="15" hidden="false" customHeight="true" outlineLevel="0" collapsed="false">
      <c r="A1608" s="15" t="n">
        <v>11363</v>
      </c>
      <c r="B1608" s="16" t="s">
        <v>20</v>
      </c>
      <c r="C1608" s="16" t="s">
        <v>3079</v>
      </c>
      <c r="D1608" s="16" t="s">
        <v>3174</v>
      </c>
      <c r="E1608" s="17" t="s">
        <v>3175</v>
      </c>
      <c r="F1608" s="16" t="n">
        <v>33.69029665</v>
      </c>
      <c r="G1608" s="16" t="n">
        <v>44.79696139</v>
      </c>
      <c r="H1608" s="18" t="n">
        <v>49</v>
      </c>
      <c r="I1608" s="18" t="n">
        <v>294</v>
      </c>
      <c r="J1608" s="19"/>
      <c r="K1608" s="19"/>
      <c r="L1608" s="19"/>
      <c r="M1608" s="19"/>
      <c r="N1608" s="19"/>
      <c r="O1608" s="19" t="n">
        <v>49</v>
      </c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  <c r="AC1608" s="19" t="n">
        <v>34</v>
      </c>
      <c r="AD1608" s="19"/>
      <c r="AE1608" s="19"/>
      <c r="AF1608" s="19"/>
      <c r="AG1608" s="19"/>
      <c r="AH1608" s="19" t="n">
        <v>15</v>
      </c>
      <c r="AI1608" s="19"/>
      <c r="AJ1608" s="19"/>
      <c r="AK1608" s="19"/>
      <c r="AL1608" s="19"/>
      <c r="AM1608" s="19"/>
      <c r="AN1608" s="19" t="n">
        <v>49</v>
      </c>
      <c r="AO1608" s="19"/>
      <c r="AP1608" s="19"/>
      <c r="AQ1608" s="19"/>
      <c r="AR1608" s="19"/>
      <c r="AS1608" s="20" t="str">
        <f aca="false">HYPERLINK("http://www.openstreetmap.org/?mlat=33.6903&amp;mlon=44.797&amp;zoom=12#map=12/33.6903/44.797","Maplink1")</f>
        <v>Maplink1</v>
      </c>
      <c r="AT1608" s="20" t="str">
        <f aca="false">HYPERLINK("https://www.google.iq/maps/search/+33.6903,44.797/@33.6903,44.797,14z?hl=en","Maplink2")</f>
        <v>Maplink2</v>
      </c>
      <c r="AU1608" s="20" t="str">
        <f aca="false">HYPERLINK("http://www.bing.com/maps/?lvl=14&amp;sty=h&amp;cp=33.6903~44.797&amp;sp=point.33.6903_44.797","Maplink3")</f>
        <v>Maplink3</v>
      </c>
    </row>
    <row r="1609" customFormat="false" ht="15" hidden="false" customHeight="true" outlineLevel="0" collapsed="false">
      <c r="A1609" s="15" t="n">
        <v>23709</v>
      </c>
      <c r="B1609" s="16" t="s">
        <v>20</v>
      </c>
      <c r="C1609" s="16" t="s">
        <v>3079</v>
      </c>
      <c r="D1609" s="16" t="s">
        <v>3176</v>
      </c>
      <c r="E1609" s="17" t="s">
        <v>3177</v>
      </c>
      <c r="F1609" s="16" t="n">
        <v>34.4562113645</v>
      </c>
      <c r="G1609" s="16" t="n">
        <v>44.9291219907</v>
      </c>
      <c r="H1609" s="18" t="n">
        <v>39</v>
      </c>
      <c r="I1609" s="18" t="n">
        <v>234</v>
      </c>
      <c r="J1609" s="19" t="n">
        <v>39</v>
      </c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 t="n">
        <v>39</v>
      </c>
      <c r="AD1609" s="19"/>
      <c r="AE1609" s="19"/>
      <c r="AF1609" s="19"/>
      <c r="AG1609" s="19"/>
      <c r="AH1609" s="19"/>
      <c r="AI1609" s="19"/>
      <c r="AJ1609" s="19"/>
      <c r="AK1609" s="19"/>
      <c r="AL1609" s="19" t="n">
        <v>39</v>
      </c>
      <c r="AM1609" s="19"/>
      <c r="AN1609" s="19"/>
      <c r="AO1609" s="19"/>
      <c r="AP1609" s="19"/>
      <c r="AQ1609" s="19"/>
      <c r="AR1609" s="19"/>
      <c r="AS1609" s="20" t="str">
        <f aca="false">HYPERLINK("http://www.openstreetmap.org/?mlat=34.4562&amp;mlon=44.9291&amp;zoom=12#map=12/34.4562/44.9291","Maplink1")</f>
        <v>Maplink1</v>
      </c>
      <c r="AT1609" s="20" t="str">
        <f aca="false">HYPERLINK("https://www.google.iq/maps/search/+34.4562,44.9291/@34.4562,44.9291,14z?hl=en","Maplink2")</f>
        <v>Maplink2</v>
      </c>
      <c r="AU1609" s="20" t="str">
        <f aca="false">HYPERLINK("http://www.bing.com/maps/?lvl=14&amp;sty=h&amp;cp=34.4562~44.9291&amp;sp=point.34.4562_44.9291","Maplink3")</f>
        <v>Maplink3</v>
      </c>
    </row>
    <row r="1610" customFormat="false" ht="15" hidden="false" customHeight="true" outlineLevel="0" collapsed="false">
      <c r="A1610" s="15" t="n">
        <v>24776</v>
      </c>
      <c r="B1610" s="16" t="s">
        <v>20</v>
      </c>
      <c r="C1610" s="16" t="s">
        <v>3079</v>
      </c>
      <c r="D1610" s="16" t="s">
        <v>3178</v>
      </c>
      <c r="E1610" s="17" t="s">
        <v>3179</v>
      </c>
      <c r="F1610" s="16" t="n">
        <v>33.7510544812</v>
      </c>
      <c r="G1610" s="16" t="n">
        <v>44.663778428</v>
      </c>
      <c r="H1610" s="18" t="n">
        <v>173</v>
      </c>
      <c r="I1610" s="18" t="n">
        <v>1038</v>
      </c>
      <c r="J1610" s="19"/>
      <c r="K1610" s="19"/>
      <c r="L1610" s="19"/>
      <c r="M1610" s="19"/>
      <c r="N1610" s="19"/>
      <c r="O1610" s="19" t="n">
        <v>173</v>
      </c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 t="n">
        <v>173</v>
      </c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  <c r="AO1610" s="19" t="n">
        <v>173</v>
      </c>
      <c r="AP1610" s="19"/>
      <c r="AQ1610" s="19"/>
      <c r="AR1610" s="19"/>
      <c r="AS1610" s="20" t="str">
        <f aca="false">HYPERLINK("http://www.openstreetmap.org/?mlat=33.7511&amp;mlon=44.6638&amp;zoom=12#map=12/33.7511/44.6638","Maplink1")</f>
        <v>Maplink1</v>
      </c>
      <c r="AT1610" s="20" t="str">
        <f aca="false">HYPERLINK("https://www.google.iq/maps/search/+33.7511,44.6638/@33.7511,44.6638,14z?hl=en","Maplink2")</f>
        <v>Maplink2</v>
      </c>
      <c r="AU1610" s="20" t="str">
        <f aca="false">HYPERLINK("http://www.bing.com/maps/?lvl=14&amp;sty=h&amp;cp=33.7511~44.6638&amp;sp=point.33.7511_44.6638","Maplink3")</f>
        <v>Maplink3</v>
      </c>
    </row>
    <row r="1611" customFormat="false" ht="15" hidden="false" customHeight="true" outlineLevel="0" collapsed="false">
      <c r="A1611" s="15" t="n">
        <v>11208</v>
      </c>
      <c r="B1611" s="16" t="s">
        <v>20</v>
      </c>
      <c r="C1611" s="16" t="s">
        <v>3079</v>
      </c>
      <c r="D1611" s="16" t="s">
        <v>3180</v>
      </c>
      <c r="E1611" s="17" t="s">
        <v>3181</v>
      </c>
      <c r="F1611" s="16" t="n">
        <v>33.7515732905</v>
      </c>
      <c r="G1611" s="16" t="n">
        <v>44.6641295745</v>
      </c>
      <c r="H1611" s="18" t="n">
        <v>70</v>
      </c>
      <c r="I1611" s="18" t="n">
        <v>420</v>
      </c>
      <c r="J1611" s="19"/>
      <c r="K1611" s="19"/>
      <c r="L1611" s="19"/>
      <c r="M1611" s="19"/>
      <c r="N1611" s="19"/>
      <c r="O1611" s="19" t="n">
        <v>70</v>
      </c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 t="n">
        <v>70</v>
      </c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  <c r="AO1611" s="19" t="n">
        <v>70</v>
      </c>
      <c r="AP1611" s="19"/>
      <c r="AQ1611" s="19"/>
      <c r="AR1611" s="19"/>
      <c r="AS1611" s="20" t="str">
        <f aca="false">HYPERLINK("http://www.openstreetmap.org/?mlat=33.7516&amp;mlon=44.6641&amp;zoom=12#map=12/33.7516/44.6641","Maplink1")</f>
        <v>Maplink1</v>
      </c>
      <c r="AT1611" s="20" t="str">
        <f aca="false">HYPERLINK("https://www.google.iq/maps/search/+33.7516,44.6641/@33.7516,44.6641,14z?hl=en","Maplink2")</f>
        <v>Maplink2</v>
      </c>
      <c r="AU1611" s="20" t="str">
        <f aca="false">HYPERLINK("http://www.bing.com/maps/?lvl=14&amp;sty=h&amp;cp=33.7516~44.6641&amp;sp=point.33.7516_44.6641","Maplink3")</f>
        <v>Maplink3</v>
      </c>
    </row>
    <row r="1612" customFormat="false" ht="15" hidden="false" customHeight="true" outlineLevel="0" collapsed="false">
      <c r="A1612" s="15" t="n">
        <v>11426</v>
      </c>
      <c r="B1612" s="16" t="s">
        <v>20</v>
      </c>
      <c r="C1612" s="16" t="s">
        <v>3079</v>
      </c>
      <c r="D1612" s="16" t="s">
        <v>3182</v>
      </c>
      <c r="E1612" s="17" t="s">
        <v>3183</v>
      </c>
      <c r="F1612" s="16" t="n">
        <v>33.75059447</v>
      </c>
      <c r="G1612" s="16" t="n">
        <v>44.61593065</v>
      </c>
      <c r="H1612" s="18" t="n">
        <v>90</v>
      </c>
      <c r="I1612" s="18" t="n">
        <v>540</v>
      </c>
      <c r="J1612" s="19"/>
      <c r="K1612" s="19"/>
      <c r="L1612" s="19"/>
      <c r="M1612" s="19"/>
      <c r="N1612" s="19"/>
      <c r="O1612" s="19" t="n">
        <v>90</v>
      </c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 t="n">
        <v>60</v>
      </c>
      <c r="AD1612" s="19"/>
      <c r="AE1612" s="19"/>
      <c r="AF1612" s="19"/>
      <c r="AG1612" s="19"/>
      <c r="AH1612" s="19" t="n">
        <v>30</v>
      </c>
      <c r="AI1612" s="19"/>
      <c r="AJ1612" s="19"/>
      <c r="AK1612" s="19"/>
      <c r="AL1612" s="19"/>
      <c r="AM1612" s="19"/>
      <c r="AN1612" s="19"/>
      <c r="AO1612" s="19" t="n">
        <v>90</v>
      </c>
      <c r="AP1612" s="19"/>
      <c r="AQ1612" s="19"/>
      <c r="AR1612" s="19"/>
      <c r="AS1612" s="20" t="str">
        <f aca="false">HYPERLINK("http://www.openstreetmap.org/?mlat=33.7506&amp;mlon=44.6159&amp;zoom=12#map=12/33.7506/44.6159","Maplink1")</f>
        <v>Maplink1</v>
      </c>
      <c r="AT1612" s="20" t="str">
        <f aca="false">HYPERLINK("https://www.google.iq/maps/search/+33.7506,44.6159/@33.7506,44.6159,14z?hl=en","Maplink2")</f>
        <v>Maplink2</v>
      </c>
      <c r="AU1612" s="20" t="str">
        <f aca="false">HYPERLINK("http://www.bing.com/maps/?lvl=14&amp;sty=h&amp;cp=33.7506~44.6159&amp;sp=point.33.7506_44.6159","Maplink3")</f>
        <v>Maplink3</v>
      </c>
    </row>
    <row r="1613" customFormat="false" ht="15" hidden="false" customHeight="true" outlineLevel="0" collapsed="false">
      <c r="A1613" s="15" t="n">
        <v>24919</v>
      </c>
      <c r="B1613" s="16" t="s">
        <v>20</v>
      </c>
      <c r="C1613" s="16" t="s">
        <v>3079</v>
      </c>
      <c r="D1613" s="16" t="s">
        <v>3184</v>
      </c>
      <c r="E1613" s="17" t="s">
        <v>3185</v>
      </c>
      <c r="F1613" s="16" t="n">
        <v>33.8004227</v>
      </c>
      <c r="G1613" s="16" t="n">
        <v>44.67292208</v>
      </c>
      <c r="H1613" s="18" t="n">
        <v>18</v>
      </c>
      <c r="I1613" s="18" t="n">
        <v>108</v>
      </c>
      <c r="J1613" s="19"/>
      <c r="K1613" s="19"/>
      <c r="L1613" s="19"/>
      <c r="M1613" s="19"/>
      <c r="N1613" s="19"/>
      <c r="O1613" s="19" t="n">
        <v>18</v>
      </c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 t="n">
        <v>18</v>
      </c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 t="n">
        <v>18</v>
      </c>
      <c r="AP1613" s="19"/>
      <c r="AQ1613" s="19"/>
      <c r="AR1613" s="19"/>
      <c r="AS1613" s="20" t="str">
        <f aca="false">HYPERLINK("http://www.openstreetmap.org/?mlat=33.8004&amp;mlon=44.6729&amp;zoom=12#map=12/33.8004/44.6729","Maplink1")</f>
        <v>Maplink1</v>
      </c>
      <c r="AT1613" s="20" t="str">
        <f aca="false">HYPERLINK("https://www.google.iq/maps/search/+33.8004,44.6729/@33.8004,44.6729,14z?hl=en","Maplink2")</f>
        <v>Maplink2</v>
      </c>
      <c r="AU1613" s="20" t="str">
        <f aca="false">HYPERLINK("http://www.bing.com/maps/?lvl=14&amp;sty=h&amp;cp=33.8004~44.6729&amp;sp=point.33.8004_44.6729","Maplink3")</f>
        <v>Maplink3</v>
      </c>
    </row>
    <row r="1614" customFormat="false" ht="15" hidden="false" customHeight="true" outlineLevel="0" collapsed="false">
      <c r="A1614" s="15" t="n">
        <v>25043</v>
      </c>
      <c r="B1614" s="16" t="s">
        <v>20</v>
      </c>
      <c r="C1614" s="16" t="s">
        <v>3079</v>
      </c>
      <c r="D1614" s="16" t="s">
        <v>3186</v>
      </c>
      <c r="E1614" s="17" t="s">
        <v>3187</v>
      </c>
      <c r="F1614" s="16" t="n">
        <v>33.63690448</v>
      </c>
      <c r="G1614" s="16" t="n">
        <v>44.8143493</v>
      </c>
      <c r="H1614" s="18" t="n">
        <v>20</v>
      </c>
      <c r="I1614" s="18" t="n">
        <v>120</v>
      </c>
      <c r="J1614" s="19"/>
      <c r="K1614" s="19"/>
      <c r="L1614" s="19"/>
      <c r="M1614" s="19"/>
      <c r="N1614" s="19"/>
      <c r="O1614" s="19" t="n">
        <v>20</v>
      </c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 t="n">
        <v>20</v>
      </c>
      <c r="AI1614" s="19"/>
      <c r="AJ1614" s="19"/>
      <c r="AK1614" s="19"/>
      <c r="AL1614" s="19"/>
      <c r="AM1614" s="19"/>
      <c r="AN1614" s="19"/>
      <c r="AO1614" s="19" t="n">
        <v>20</v>
      </c>
      <c r="AP1614" s="19"/>
      <c r="AQ1614" s="19"/>
      <c r="AR1614" s="19"/>
      <c r="AS1614" s="20" t="str">
        <f aca="false">HYPERLINK("http://www.openstreetmap.org/?mlat=33.6369&amp;mlon=44.8143&amp;zoom=12#map=12/33.6369/44.8143","Maplink1")</f>
        <v>Maplink1</v>
      </c>
      <c r="AT1614" s="20" t="str">
        <f aca="false">HYPERLINK("https://www.google.iq/maps/search/+33.6369,44.8143/@33.6369,44.8143,14z?hl=en","Maplink2")</f>
        <v>Maplink2</v>
      </c>
      <c r="AU1614" s="20" t="str">
        <f aca="false">HYPERLINK("http://www.bing.com/maps/?lvl=14&amp;sty=h&amp;cp=33.6369~44.8143&amp;sp=point.33.6369_44.8143","Maplink3")</f>
        <v>Maplink3</v>
      </c>
    </row>
    <row r="1615" customFormat="false" ht="15" hidden="false" customHeight="true" outlineLevel="0" collapsed="false">
      <c r="A1615" s="15" t="n">
        <v>25053</v>
      </c>
      <c r="B1615" s="16" t="s">
        <v>20</v>
      </c>
      <c r="C1615" s="16" t="s">
        <v>3079</v>
      </c>
      <c r="D1615" s="16" t="s">
        <v>3188</v>
      </c>
      <c r="E1615" s="17" t="s">
        <v>3189</v>
      </c>
      <c r="F1615" s="16" t="n">
        <v>33.74068005</v>
      </c>
      <c r="G1615" s="16" t="n">
        <v>44.81137949</v>
      </c>
      <c r="H1615" s="18" t="n">
        <v>7</v>
      </c>
      <c r="I1615" s="18" t="n">
        <v>42</v>
      </c>
      <c r="J1615" s="19"/>
      <c r="K1615" s="19"/>
      <c r="L1615" s="19"/>
      <c r="M1615" s="19"/>
      <c r="N1615" s="19"/>
      <c r="O1615" s="19" t="n">
        <v>7</v>
      </c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 t="n">
        <v>7</v>
      </c>
      <c r="AI1615" s="19"/>
      <c r="AJ1615" s="19"/>
      <c r="AK1615" s="19"/>
      <c r="AL1615" s="19"/>
      <c r="AM1615" s="19"/>
      <c r="AN1615" s="19"/>
      <c r="AO1615" s="19" t="n">
        <v>7</v>
      </c>
      <c r="AP1615" s="19"/>
      <c r="AQ1615" s="19"/>
      <c r="AR1615" s="19"/>
      <c r="AS1615" s="20" t="str">
        <f aca="false">HYPERLINK("http://www.openstreetmap.org/?mlat=33.7407&amp;mlon=44.8114&amp;zoom=12#map=12/33.7407/44.8114","Maplink1")</f>
        <v>Maplink1</v>
      </c>
      <c r="AT1615" s="20" t="str">
        <f aca="false">HYPERLINK("https://www.google.iq/maps/search/+33.7407,44.8114/@33.7407,44.8114,14z?hl=en","Maplink2")</f>
        <v>Maplink2</v>
      </c>
      <c r="AU1615" s="20" t="str">
        <f aca="false">HYPERLINK("http://www.bing.com/maps/?lvl=14&amp;sty=h&amp;cp=33.7407~44.8114&amp;sp=point.33.7407_44.8114","Maplink3")</f>
        <v>Maplink3</v>
      </c>
    </row>
    <row r="1616" customFormat="false" ht="15" hidden="false" customHeight="true" outlineLevel="0" collapsed="false">
      <c r="A1616" s="15" t="n">
        <v>25466</v>
      </c>
      <c r="B1616" s="16" t="s">
        <v>20</v>
      </c>
      <c r="C1616" s="16" t="s">
        <v>3079</v>
      </c>
      <c r="D1616" s="16" t="s">
        <v>3190</v>
      </c>
      <c r="E1616" s="17" t="s">
        <v>3191</v>
      </c>
      <c r="F1616" s="16" t="n">
        <v>33.74949164</v>
      </c>
      <c r="G1616" s="16" t="n">
        <v>44.62312565</v>
      </c>
      <c r="H1616" s="18" t="n">
        <v>53</v>
      </c>
      <c r="I1616" s="18" t="n">
        <v>318</v>
      </c>
      <c r="J1616" s="19"/>
      <c r="K1616" s="19"/>
      <c r="L1616" s="19"/>
      <c r="M1616" s="19"/>
      <c r="N1616" s="19"/>
      <c r="O1616" s="19" t="n">
        <v>53</v>
      </c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 t="n">
        <v>53</v>
      </c>
      <c r="AI1616" s="19"/>
      <c r="AJ1616" s="19"/>
      <c r="AK1616" s="19"/>
      <c r="AL1616" s="19"/>
      <c r="AM1616" s="19" t="n">
        <v>53</v>
      </c>
      <c r="AN1616" s="19"/>
      <c r="AO1616" s="19"/>
      <c r="AP1616" s="19"/>
      <c r="AQ1616" s="19"/>
      <c r="AR1616" s="19"/>
      <c r="AS1616" s="20" t="str">
        <f aca="false">HYPERLINK("http://www.openstreetmap.org/?mlat=33.7495&amp;mlon=44.6231&amp;zoom=12#map=12/33.7495/44.6231","Maplink1")</f>
        <v>Maplink1</v>
      </c>
      <c r="AT1616" s="20" t="str">
        <f aca="false">HYPERLINK("https://www.google.iq/maps/search/+33.7495,44.6231/@33.7495,44.6231,14z?hl=en","Maplink2")</f>
        <v>Maplink2</v>
      </c>
      <c r="AU1616" s="20" t="str">
        <f aca="false">HYPERLINK("http://www.bing.com/maps/?lvl=14&amp;sty=h&amp;cp=33.7495~44.6231&amp;sp=point.33.7495_44.6231","Maplink3")</f>
        <v>Maplink3</v>
      </c>
    </row>
    <row r="1617" customFormat="false" ht="15" hidden="false" customHeight="true" outlineLevel="0" collapsed="false">
      <c r="A1617" s="15" t="n">
        <v>25042</v>
      </c>
      <c r="B1617" s="16" t="s">
        <v>20</v>
      </c>
      <c r="C1617" s="16" t="s">
        <v>3079</v>
      </c>
      <c r="D1617" s="16" t="s">
        <v>3192</v>
      </c>
      <c r="E1617" s="17" t="s">
        <v>3193</v>
      </c>
      <c r="F1617" s="16" t="n">
        <v>33.62044141</v>
      </c>
      <c r="G1617" s="16" t="n">
        <v>44.81534796</v>
      </c>
      <c r="H1617" s="18" t="n">
        <v>18</v>
      </c>
      <c r="I1617" s="18" t="n">
        <v>108</v>
      </c>
      <c r="J1617" s="19"/>
      <c r="K1617" s="19"/>
      <c r="L1617" s="19"/>
      <c r="M1617" s="19"/>
      <c r="N1617" s="19"/>
      <c r="O1617" s="19" t="n">
        <v>18</v>
      </c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 t="n">
        <v>18</v>
      </c>
      <c r="AI1617" s="19"/>
      <c r="AJ1617" s="19"/>
      <c r="AK1617" s="19"/>
      <c r="AL1617" s="19"/>
      <c r="AM1617" s="19"/>
      <c r="AN1617" s="19"/>
      <c r="AO1617" s="19" t="n">
        <v>18</v>
      </c>
      <c r="AP1617" s="19"/>
      <c r="AQ1617" s="19"/>
      <c r="AR1617" s="19"/>
      <c r="AS1617" s="20" t="str">
        <f aca="false">HYPERLINK("http://www.openstreetmap.org/?mlat=33.6204&amp;mlon=44.8153&amp;zoom=12#map=12/33.6204/44.8153","Maplink1")</f>
        <v>Maplink1</v>
      </c>
      <c r="AT1617" s="20" t="str">
        <f aca="false">HYPERLINK("https://www.google.iq/maps/search/+33.6204,44.8153/@33.6204,44.8153,14z?hl=en","Maplink2")</f>
        <v>Maplink2</v>
      </c>
      <c r="AU1617" s="20" t="str">
        <f aca="false">HYPERLINK("http://www.bing.com/maps/?lvl=14&amp;sty=h&amp;cp=33.6204~44.8153&amp;sp=point.33.6204_44.8153","Maplink3")</f>
        <v>Maplink3</v>
      </c>
    </row>
    <row r="1618" customFormat="false" ht="15" hidden="false" customHeight="true" outlineLevel="0" collapsed="false">
      <c r="A1618" s="15" t="n">
        <v>11212</v>
      </c>
      <c r="B1618" s="16" t="s">
        <v>20</v>
      </c>
      <c r="C1618" s="16" t="s">
        <v>3079</v>
      </c>
      <c r="D1618" s="16" t="s">
        <v>3194</v>
      </c>
      <c r="E1618" s="17" t="s">
        <v>3195</v>
      </c>
      <c r="F1618" s="16" t="n">
        <v>33.74038466</v>
      </c>
      <c r="G1618" s="16" t="n">
        <v>44.6365947</v>
      </c>
      <c r="H1618" s="18" t="n">
        <v>8</v>
      </c>
      <c r="I1618" s="18" t="n">
        <v>48</v>
      </c>
      <c r="J1618" s="19"/>
      <c r="K1618" s="19"/>
      <c r="L1618" s="19"/>
      <c r="M1618" s="19"/>
      <c r="N1618" s="19"/>
      <c r="O1618" s="19" t="n">
        <v>8</v>
      </c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 t="n">
        <v>8</v>
      </c>
      <c r="AI1618" s="19"/>
      <c r="AJ1618" s="19"/>
      <c r="AK1618" s="19"/>
      <c r="AL1618" s="19"/>
      <c r="AM1618" s="19"/>
      <c r="AN1618" s="19"/>
      <c r="AO1618" s="19" t="n">
        <v>8</v>
      </c>
      <c r="AP1618" s="19"/>
      <c r="AQ1618" s="19"/>
      <c r="AR1618" s="19"/>
      <c r="AS1618" s="20" t="str">
        <f aca="false">HYPERLINK("http://www.openstreetmap.org/?mlat=33.7404&amp;mlon=44.6366&amp;zoom=12#map=12/33.7404/44.6366","Maplink1")</f>
        <v>Maplink1</v>
      </c>
      <c r="AT1618" s="20" t="str">
        <f aca="false">HYPERLINK("https://www.google.iq/maps/search/+33.7404,44.6366/@33.7404,44.6366,14z?hl=en","Maplink2")</f>
        <v>Maplink2</v>
      </c>
      <c r="AU1618" s="20" t="str">
        <f aca="false">HYPERLINK("http://www.bing.com/maps/?lvl=14&amp;sty=h&amp;cp=33.7404~44.6366&amp;sp=point.33.7404_44.6366","Maplink3")</f>
        <v>Maplink3</v>
      </c>
    </row>
    <row r="1619" customFormat="false" ht="15" hidden="false" customHeight="true" outlineLevel="0" collapsed="false">
      <c r="A1619" s="15" t="n">
        <v>24914</v>
      </c>
      <c r="B1619" s="16" t="s">
        <v>20</v>
      </c>
      <c r="C1619" s="16" t="s">
        <v>3079</v>
      </c>
      <c r="D1619" s="16" t="s">
        <v>3196</v>
      </c>
      <c r="E1619" s="17" t="s">
        <v>3197</v>
      </c>
      <c r="F1619" s="16" t="n">
        <v>33.71861468</v>
      </c>
      <c r="G1619" s="16" t="n">
        <v>44.62248101</v>
      </c>
      <c r="H1619" s="18" t="n">
        <v>60</v>
      </c>
      <c r="I1619" s="18" t="n">
        <v>360</v>
      </c>
      <c r="J1619" s="19"/>
      <c r="K1619" s="19"/>
      <c r="L1619" s="19"/>
      <c r="M1619" s="19"/>
      <c r="N1619" s="19"/>
      <c r="O1619" s="19" t="n">
        <v>60</v>
      </c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 t="n">
        <v>23</v>
      </c>
      <c r="AD1619" s="19"/>
      <c r="AE1619" s="19"/>
      <c r="AF1619" s="19"/>
      <c r="AG1619" s="19"/>
      <c r="AH1619" s="19" t="n">
        <v>37</v>
      </c>
      <c r="AI1619" s="19"/>
      <c r="AJ1619" s="19"/>
      <c r="AK1619" s="19"/>
      <c r="AL1619" s="19"/>
      <c r="AM1619" s="19"/>
      <c r="AN1619" s="19"/>
      <c r="AO1619" s="19" t="n">
        <v>60</v>
      </c>
      <c r="AP1619" s="19"/>
      <c r="AQ1619" s="19"/>
      <c r="AR1619" s="19"/>
      <c r="AS1619" s="20" t="str">
        <f aca="false">HYPERLINK("http://www.openstreetmap.org/?mlat=33.7186&amp;mlon=44.6225&amp;zoom=12#map=12/33.7186/44.6225","Maplink1")</f>
        <v>Maplink1</v>
      </c>
      <c r="AT1619" s="20" t="str">
        <f aca="false">HYPERLINK("https://www.google.iq/maps/search/+33.7186,44.6225/@33.7186,44.6225,14z?hl=en","Maplink2")</f>
        <v>Maplink2</v>
      </c>
      <c r="AU1619" s="20" t="str">
        <f aca="false">HYPERLINK("http://www.bing.com/maps/?lvl=14&amp;sty=h&amp;cp=33.7186~44.6225&amp;sp=point.33.7186_44.6225","Maplink3")</f>
        <v>Maplink3</v>
      </c>
    </row>
    <row r="1620" customFormat="false" ht="15" hidden="false" customHeight="true" outlineLevel="0" collapsed="false">
      <c r="A1620" s="15" t="n">
        <v>11214</v>
      </c>
      <c r="B1620" s="16" t="s">
        <v>20</v>
      </c>
      <c r="C1620" s="16" t="s">
        <v>3079</v>
      </c>
      <c r="D1620" s="16" t="s">
        <v>3198</v>
      </c>
      <c r="E1620" s="17" t="s">
        <v>3199</v>
      </c>
      <c r="F1620" s="16" t="n">
        <v>33.81157706</v>
      </c>
      <c r="G1620" s="16" t="n">
        <v>44.67721726</v>
      </c>
      <c r="H1620" s="18" t="n">
        <v>50</v>
      </c>
      <c r="I1620" s="18" t="n">
        <v>300</v>
      </c>
      <c r="J1620" s="19"/>
      <c r="K1620" s="19"/>
      <c r="L1620" s="19"/>
      <c r="M1620" s="19"/>
      <c r="N1620" s="19"/>
      <c r="O1620" s="19" t="n">
        <v>50</v>
      </c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 t="n">
        <v>50</v>
      </c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  <c r="AO1620" s="19" t="n">
        <v>50</v>
      </c>
      <c r="AP1620" s="19"/>
      <c r="AQ1620" s="19"/>
      <c r="AR1620" s="19"/>
      <c r="AS1620" s="20" t="str">
        <f aca="false">HYPERLINK("http://www.openstreetmap.org/?mlat=33.8116&amp;mlon=44.6772&amp;zoom=12#map=12/33.8116/44.6772","Maplink1")</f>
        <v>Maplink1</v>
      </c>
      <c r="AT1620" s="20" t="str">
        <f aca="false">HYPERLINK("https://www.google.iq/maps/search/+33.8116,44.6772/@33.8116,44.6772,14z?hl=en","Maplink2")</f>
        <v>Maplink2</v>
      </c>
      <c r="AU1620" s="20" t="str">
        <f aca="false">HYPERLINK("http://www.bing.com/maps/?lvl=14&amp;sty=h&amp;cp=33.8116~44.6772&amp;sp=point.33.8116_44.6772","Maplink3")</f>
        <v>Maplink3</v>
      </c>
    </row>
    <row r="1621" customFormat="false" ht="15" hidden="false" customHeight="true" outlineLevel="0" collapsed="false">
      <c r="A1621" s="15" t="n">
        <v>11230</v>
      </c>
      <c r="B1621" s="16" t="s">
        <v>20</v>
      </c>
      <c r="C1621" s="16" t="s">
        <v>3200</v>
      </c>
      <c r="D1621" s="16" t="s">
        <v>3201</v>
      </c>
      <c r="E1621" s="17" t="s">
        <v>3202</v>
      </c>
      <c r="F1621" s="16" t="n">
        <v>33.70319103</v>
      </c>
      <c r="G1621" s="16" t="n">
        <v>45.07211744</v>
      </c>
      <c r="H1621" s="18" t="n">
        <v>8</v>
      </c>
      <c r="I1621" s="18" t="n">
        <v>48</v>
      </c>
      <c r="J1621" s="19"/>
      <c r="K1621" s="19"/>
      <c r="L1621" s="19"/>
      <c r="M1621" s="19"/>
      <c r="N1621" s="19"/>
      <c r="O1621" s="19" t="n">
        <v>8</v>
      </c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 t="n">
        <v>8</v>
      </c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 t="n">
        <v>8</v>
      </c>
      <c r="AN1621" s="19"/>
      <c r="AO1621" s="19"/>
      <c r="AP1621" s="19"/>
      <c r="AQ1621" s="19"/>
      <c r="AR1621" s="19"/>
      <c r="AS1621" s="20" t="str">
        <f aca="false">HYPERLINK("http://www.openstreetmap.org/?mlat=33.7032&amp;mlon=45.0721&amp;zoom=12#map=12/33.7032/45.0721","Maplink1")</f>
        <v>Maplink1</v>
      </c>
      <c r="AT1621" s="20" t="str">
        <f aca="false">HYPERLINK("https://www.google.iq/maps/search/+33.7032,45.0721/@33.7032,45.0721,14z?hl=en","Maplink2")</f>
        <v>Maplink2</v>
      </c>
      <c r="AU1621" s="20" t="str">
        <f aca="false">HYPERLINK("http://www.bing.com/maps/?lvl=14&amp;sty=h&amp;cp=33.7032~45.0721&amp;sp=point.33.7032_45.0721","Maplink3")</f>
        <v>Maplink3</v>
      </c>
    </row>
    <row r="1622" customFormat="false" ht="15" hidden="false" customHeight="true" outlineLevel="0" collapsed="false">
      <c r="A1622" s="15" t="n">
        <v>11338</v>
      </c>
      <c r="B1622" s="16" t="s">
        <v>20</v>
      </c>
      <c r="C1622" s="16" t="s">
        <v>3200</v>
      </c>
      <c r="D1622" s="16" t="s">
        <v>3203</v>
      </c>
      <c r="E1622" s="17" t="s">
        <v>3081</v>
      </c>
      <c r="F1622" s="16" t="n">
        <v>33.69233454</v>
      </c>
      <c r="G1622" s="16" t="n">
        <v>45.06506148</v>
      </c>
      <c r="H1622" s="18" t="n">
        <v>3</v>
      </c>
      <c r="I1622" s="18" t="n">
        <v>18</v>
      </c>
      <c r="J1622" s="19"/>
      <c r="K1622" s="19"/>
      <c r="L1622" s="19"/>
      <c r="M1622" s="19"/>
      <c r="N1622" s="19"/>
      <c r="O1622" s="19" t="n">
        <v>3</v>
      </c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 t="n">
        <v>3</v>
      </c>
      <c r="AI1622" s="19"/>
      <c r="AJ1622" s="19"/>
      <c r="AK1622" s="19"/>
      <c r="AL1622" s="19"/>
      <c r="AM1622" s="19" t="n">
        <v>3</v>
      </c>
      <c r="AN1622" s="19"/>
      <c r="AO1622" s="19"/>
      <c r="AP1622" s="19"/>
      <c r="AQ1622" s="19"/>
      <c r="AR1622" s="19"/>
      <c r="AS1622" s="20" t="str">
        <f aca="false">HYPERLINK("http://www.openstreetmap.org/?mlat=33.6923&amp;mlon=45.0651&amp;zoom=12#map=12/33.6923/45.0651","Maplink1")</f>
        <v>Maplink1</v>
      </c>
      <c r="AT1622" s="20" t="str">
        <f aca="false">HYPERLINK("https://www.google.iq/maps/search/+33.6923,45.0651/@33.6923,45.0651,14z?hl=en","Maplink2")</f>
        <v>Maplink2</v>
      </c>
      <c r="AU1622" s="20" t="str">
        <f aca="false">HYPERLINK("http://www.bing.com/maps/?lvl=14&amp;sty=h&amp;cp=33.6923~45.0651&amp;sp=point.33.6923_45.0651","Maplink3")</f>
        <v>Maplink3</v>
      </c>
    </row>
    <row r="1623" customFormat="false" ht="15" hidden="false" customHeight="true" outlineLevel="0" collapsed="false">
      <c r="A1623" s="15" t="n">
        <v>25233</v>
      </c>
      <c r="B1623" s="16" t="s">
        <v>20</v>
      </c>
      <c r="C1623" s="16" t="s">
        <v>3200</v>
      </c>
      <c r="D1623" s="16" t="s">
        <v>3204</v>
      </c>
      <c r="E1623" s="17" t="s">
        <v>3205</v>
      </c>
      <c r="F1623" s="16" t="n">
        <v>33.70061521</v>
      </c>
      <c r="G1623" s="16" t="n">
        <v>45.05943482</v>
      </c>
      <c r="H1623" s="18" t="n">
        <v>1</v>
      </c>
      <c r="I1623" s="18" t="n">
        <v>6</v>
      </c>
      <c r="J1623" s="19"/>
      <c r="K1623" s="19"/>
      <c r="L1623" s="19"/>
      <c r="M1623" s="19"/>
      <c r="N1623" s="19"/>
      <c r="O1623" s="19" t="n">
        <v>1</v>
      </c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 t="n">
        <v>1</v>
      </c>
      <c r="AI1623" s="19"/>
      <c r="AJ1623" s="19"/>
      <c r="AK1623" s="19"/>
      <c r="AL1623" s="19"/>
      <c r="AM1623" s="19" t="n">
        <v>1</v>
      </c>
      <c r="AN1623" s="19"/>
      <c r="AO1623" s="19"/>
      <c r="AP1623" s="19"/>
      <c r="AQ1623" s="19"/>
      <c r="AR1623" s="19"/>
      <c r="AS1623" s="20" t="str">
        <f aca="false">HYPERLINK("http://www.openstreetmap.org/?mlat=33.7006&amp;mlon=45.0594&amp;zoom=12#map=12/33.7006/45.0594","Maplink1")</f>
        <v>Maplink1</v>
      </c>
      <c r="AT1623" s="20" t="str">
        <f aca="false">HYPERLINK("https://www.google.iq/maps/search/+33.7006,45.0594/@33.7006,45.0594,14z?hl=en","Maplink2")</f>
        <v>Maplink2</v>
      </c>
      <c r="AU1623" s="20" t="str">
        <f aca="false">HYPERLINK("http://www.bing.com/maps/?lvl=14&amp;sty=h&amp;cp=33.7006~45.0594&amp;sp=point.33.7006_45.0594","Maplink3")</f>
        <v>Maplink3</v>
      </c>
    </row>
    <row r="1624" customFormat="false" ht="15" hidden="false" customHeight="true" outlineLevel="0" collapsed="false">
      <c r="A1624" s="15" t="n">
        <v>25238</v>
      </c>
      <c r="B1624" s="16" t="s">
        <v>20</v>
      </c>
      <c r="C1624" s="16" t="s">
        <v>3200</v>
      </c>
      <c r="D1624" s="16" t="s">
        <v>3206</v>
      </c>
      <c r="E1624" s="17" t="s">
        <v>124</v>
      </c>
      <c r="F1624" s="16" t="n">
        <v>33.6954238359</v>
      </c>
      <c r="G1624" s="16" t="n">
        <v>45.0774238072</v>
      </c>
      <c r="H1624" s="18" t="n">
        <v>14</v>
      </c>
      <c r="I1624" s="18" t="n">
        <v>84</v>
      </c>
      <c r="J1624" s="19"/>
      <c r="K1624" s="19"/>
      <c r="L1624" s="19"/>
      <c r="M1624" s="19"/>
      <c r="N1624" s="19"/>
      <c r="O1624" s="19" t="n">
        <v>14</v>
      </c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 t="n">
        <v>8</v>
      </c>
      <c r="AD1624" s="19"/>
      <c r="AE1624" s="19"/>
      <c r="AF1624" s="19"/>
      <c r="AG1624" s="19"/>
      <c r="AH1624" s="19" t="n">
        <v>6</v>
      </c>
      <c r="AI1624" s="19"/>
      <c r="AJ1624" s="19"/>
      <c r="AK1624" s="19"/>
      <c r="AL1624" s="19"/>
      <c r="AM1624" s="19" t="n">
        <v>14</v>
      </c>
      <c r="AN1624" s="19"/>
      <c r="AO1624" s="19"/>
      <c r="AP1624" s="19"/>
      <c r="AQ1624" s="19"/>
      <c r="AR1624" s="19"/>
      <c r="AS1624" s="20" t="str">
        <f aca="false">HYPERLINK("http://www.openstreetmap.org/?mlat=33.6954&amp;mlon=45.0774&amp;zoom=12#map=12/33.6954/45.0774","Maplink1")</f>
        <v>Maplink1</v>
      </c>
      <c r="AT1624" s="20" t="str">
        <f aca="false">HYPERLINK("https://www.google.iq/maps/search/+33.6954,45.0774/@33.6954,45.0774,14z?hl=en","Maplink2")</f>
        <v>Maplink2</v>
      </c>
      <c r="AU1624" s="20" t="str">
        <f aca="false">HYPERLINK("http://www.bing.com/maps/?lvl=14&amp;sty=h&amp;cp=33.6954~45.0774&amp;sp=point.33.6954_45.0774","Maplink3")</f>
        <v>Maplink3</v>
      </c>
    </row>
    <row r="1625" customFormat="false" ht="15" hidden="false" customHeight="true" outlineLevel="0" collapsed="false">
      <c r="A1625" s="15" t="n">
        <v>11231</v>
      </c>
      <c r="B1625" s="16" t="s">
        <v>20</v>
      </c>
      <c r="C1625" s="16" t="s">
        <v>3200</v>
      </c>
      <c r="D1625" s="16" t="s">
        <v>3207</v>
      </c>
      <c r="E1625" s="17" t="s">
        <v>3208</v>
      </c>
      <c r="F1625" s="16" t="n">
        <v>34.4176344938</v>
      </c>
      <c r="G1625" s="16" t="n">
        <v>44.9221650758</v>
      </c>
      <c r="H1625" s="18" t="n">
        <v>3</v>
      </c>
      <c r="I1625" s="18" t="n">
        <v>18</v>
      </c>
      <c r="J1625" s="19"/>
      <c r="K1625" s="19"/>
      <c r="L1625" s="19"/>
      <c r="M1625" s="19"/>
      <c r="N1625" s="19"/>
      <c r="O1625" s="19" t="n">
        <v>3</v>
      </c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 t="n">
        <v>3</v>
      </c>
      <c r="AI1625" s="19"/>
      <c r="AJ1625" s="19"/>
      <c r="AK1625" s="19"/>
      <c r="AL1625" s="19"/>
      <c r="AM1625" s="19" t="n">
        <v>3</v>
      </c>
      <c r="AN1625" s="19"/>
      <c r="AO1625" s="19"/>
      <c r="AP1625" s="19"/>
      <c r="AQ1625" s="19"/>
      <c r="AR1625" s="19"/>
      <c r="AS1625" s="20" t="str">
        <f aca="false">HYPERLINK("http://www.openstreetmap.org/?mlat=34.4176&amp;mlon=44.9222&amp;zoom=12#map=12/34.4176/44.9222","Maplink1")</f>
        <v>Maplink1</v>
      </c>
      <c r="AT1625" s="20" t="str">
        <f aca="false">HYPERLINK("https://www.google.iq/maps/search/+34.4176,44.9222/@34.4176,44.9222,14z?hl=en","Maplink2")</f>
        <v>Maplink2</v>
      </c>
      <c r="AU1625" s="20" t="str">
        <f aca="false">HYPERLINK("http://www.bing.com/maps/?lvl=14&amp;sty=h&amp;cp=34.4176~44.9222&amp;sp=point.34.4176_44.9222","Maplink3")</f>
        <v>Maplink3</v>
      </c>
    </row>
    <row r="1626" customFormat="false" ht="15" hidden="false" customHeight="true" outlineLevel="0" collapsed="false">
      <c r="A1626" s="15" t="n">
        <v>11226</v>
      </c>
      <c r="B1626" s="16" t="s">
        <v>20</v>
      </c>
      <c r="C1626" s="16" t="s">
        <v>3200</v>
      </c>
      <c r="D1626" s="16" t="s">
        <v>3209</v>
      </c>
      <c r="E1626" s="17" t="s">
        <v>3155</v>
      </c>
      <c r="F1626" s="16" t="n">
        <v>33.68813032</v>
      </c>
      <c r="G1626" s="16" t="n">
        <v>45.05071464</v>
      </c>
      <c r="H1626" s="18" t="n">
        <v>15</v>
      </c>
      <c r="I1626" s="18" t="n">
        <v>90</v>
      </c>
      <c r="J1626" s="19" t="n">
        <v>10</v>
      </c>
      <c r="K1626" s="19"/>
      <c r="L1626" s="19"/>
      <c r="M1626" s="19"/>
      <c r="N1626" s="19"/>
      <c r="O1626" s="19" t="n">
        <v>5</v>
      </c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 t="n">
        <v>5</v>
      </c>
      <c r="AD1626" s="19"/>
      <c r="AE1626" s="19"/>
      <c r="AF1626" s="19"/>
      <c r="AG1626" s="19"/>
      <c r="AH1626" s="19" t="n">
        <v>10</v>
      </c>
      <c r="AI1626" s="19"/>
      <c r="AJ1626" s="19"/>
      <c r="AK1626" s="19"/>
      <c r="AL1626" s="19"/>
      <c r="AM1626" s="19" t="n">
        <v>14</v>
      </c>
      <c r="AN1626" s="19"/>
      <c r="AO1626" s="19"/>
      <c r="AP1626" s="19" t="n">
        <v>1</v>
      </c>
      <c r="AQ1626" s="19"/>
      <c r="AR1626" s="19"/>
      <c r="AS1626" s="20" t="str">
        <f aca="false">HYPERLINK("http://www.openstreetmap.org/?mlat=33.6881&amp;mlon=45.0507&amp;zoom=12#map=12/33.6881/45.0507","Maplink1")</f>
        <v>Maplink1</v>
      </c>
      <c r="AT1626" s="20" t="str">
        <f aca="false">HYPERLINK("https://www.google.iq/maps/search/+33.6881,45.0507/@33.6881,45.0507,14z?hl=en","Maplink2")</f>
        <v>Maplink2</v>
      </c>
      <c r="AU1626" s="20" t="str">
        <f aca="false">HYPERLINK("http://www.bing.com/maps/?lvl=14&amp;sty=h&amp;cp=33.6881~45.0507&amp;sp=point.33.6881_45.0507","Maplink3")</f>
        <v>Maplink3</v>
      </c>
    </row>
    <row r="1627" customFormat="false" ht="15" hidden="false" customHeight="true" outlineLevel="0" collapsed="false">
      <c r="A1627" s="15" t="n">
        <v>11547</v>
      </c>
      <c r="B1627" s="16" t="s">
        <v>20</v>
      </c>
      <c r="C1627" s="16" t="s">
        <v>3200</v>
      </c>
      <c r="D1627" s="16" t="s">
        <v>3210</v>
      </c>
      <c r="E1627" s="17" t="s">
        <v>3211</v>
      </c>
      <c r="F1627" s="16" t="n">
        <v>34.4192847215</v>
      </c>
      <c r="G1627" s="16" t="n">
        <v>44.9219408866</v>
      </c>
      <c r="H1627" s="18" t="n">
        <v>4</v>
      </c>
      <c r="I1627" s="18" t="n">
        <v>24</v>
      </c>
      <c r="J1627" s="19"/>
      <c r="K1627" s="19"/>
      <c r="L1627" s="19"/>
      <c r="M1627" s="19"/>
      <c r="N1627" s="19"/>
      <c r="O1627" s="19" t="n">
        <v>4</v>
      </c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 t="n">
        <v>4</v>
      </c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 t="n">
        <v>4</v>
      </c>
      <c r="AN1627" s="19"/>
      <c r="AO1627" s="19"/>
      <c r="AP1627" s="19"/>
      <c r="AQ1627" s="19"/>
      <c r="AR1627" s="19"/>
      <c r="AS1627" s="20" t="str">
        <f aca="false">HYPERLINK("http://www.openstreetmap.org/?mlat=34.4193&amp;mlon=44.9219&amp;zoom=12#map=12/34.4193/44.9219","Maplink1")</f>
        <v>Maplink1</v>
      </c>
      <c r="AT1627" s="20" t="str">
        <f aca="false">HYPERLINK("https://www.google.iq/maps/search/+34.4193,44.9219/@34.4193,44.9219,14z?hl=en","Maplink2")</f>
        <v>Maplink2</v>
      </c>
      <c r="AU1627" s="20" t="str">
        <f aca="false">HYPERLINK("http://www.bing.com/maps/?lvl=14&amp;sty=h&amp;cp=34.4193~44.9219&amp;sp=point.34.4193_44.9219","Maplink3")</f>
        <v>Maplink3</v>
      </c>
    </row>
    <row r="1628" customFormat="false" ht="15" hidden="false" customHeight="true" outlineLevel="0" collapsed="false">
      <c r="A1628" s="15" t="n">
        <v>11257</v>
      </c>
      <c r="B1628" s="16" t="s">
        <v>20</v>
      </c>
      <c r="C1628" s="16" t="s">
        <v>3200</v>
      </c>
      <c r="D1628" s="16" t="s">
        <v>3212</v>
      </c>
      <c r="E1628" s="17" t="s">
        <v>3213</v>
      </c>
      <c r="F1628" s="16" t="n">
        <v>33.74239942</v>
      </c>
      <c r="G1628" s="16" t="n">
        <v>45.54214602</v>
      </c>
      <c r="H1628" s="18" t="n">
        <v>50</v>
      </c>
      <c r="I1628" s="18" t="n">
        <v>300</v>
      </c>
      <c r="J1628" s="19"/>
      <c r="K1628" s="19"/>
      <c r="L1628" s="19"/>
      <c r="M1628" s="19"/>
      <c r="N1628" s="19"/>
      <c r="O1628" s="19" t="n">
        <v>50</v>
      </c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 t="n">
        <v>50</v>
      </c>
      <c r="AI1628" s="19"/>
      <c r="AJ1628" s="19"/>
      <c r="AK1628" s="19"/>
      <c r="AL1628" s="19"/>
      <c r="AM1628" s="19"/>
      <c r="AN1628" s="19"/>
      <c r="AO1628" s="19" t="n">
        <v>50</v>
      </c>
      <c r="AP1628" s="19"/>
      <c r="AQ1628" s="19"/>
      <c r="AR1628" s="19"/>
      <c r="AS1628" s="20" t="str">
        <f aca="false">HYPERLINK("http://www.openstreetmap.org/?mlat=33.7424&amp;mlon=45.5421&amp;zoom=12#map=12/33.7424/45.5421","Maplink1")</f>
        <v>Maplink1</v>
      </c>
      <c r="AT1628" s="20" t="str">
        <f aca="false">HYPERLINK("https://www.google.iq/maps/search/+33.7424,45.5421/@33.7424,45.5421,14z?hl=en","Maplink2")</f>
        <v>Maplink2</v>
      </c>
      <c r="AU1628" s="20" t="str">
        <f aca="false">HYPERLINK("http://www.bing.com/maps/?lvl=14&amp;sty=h&amp;cp=33.7424~45.5421&amp;sp=point.33.7424_45.5421","Maplink3")</f>
        <v>Maplink3</v>
      </c>
    </row>
    <row r="1629" customFormat="false" ht="15" hidden="false" customHeight="true" outlineLevel="0" collapsed="false">
      <c r="A1629" s="15" t="n">
        <v>25240</v>
      </c>
      <c r="B1629" s="16" t="s">
        <v>20</v>
      </c>
      <c r="C1629" s="16" t="s">
        <v>3200</v>
      </c>
      <c r="D1629" s="16" t="s">
        <v>3214</v>
      </c>
      <c r="E1629" s="17" t="s">
        <v>3215</v>
      </c>
      <c r="F1629" s="16" t="n">
        <v>33.69200165</v>
      </c>
      <c r="G1629" s="16" t="n">
        <v>45.07405276</v>
      </c>
      <c r="H1629" s="18" t="n">
        <v>9</v>
      </c>
      <c r="I1629" s="18" t="n">
        <v>54</v>
      </c>
      <c r="J1629" s="19"/>
      <c r="K1629" s="19"/>
      <c r="L1629" s="19"/>
      <c r="M1629" s="19"/>
      <c r="N1629" s="19"/>
      <c r="O1629" s="19" t="n">
        <v>9</v>
      </c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 t="n">
        <v>9</v>
      </c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 t="n">
        <v>9</v>
      </c>
      <c r="AN1629" s="19"/>
      <c r="AO1629" s="19"/>
      <c r="AP1629" s="19"/>
      <c r="AQ1629" s="19"/>
      <c r="AR1629" s="19"/>
      <c r="AS1629" s="20" t="str">
        <f aca="false">HYPERLINK("http://www.openstreetmap.org/?mlat=33.692&amp;mlon=45.0741&amp;zoom=12#map=12/33.692/45.0741","Maplink1")</f>
        <v>Maplink1</v>
      </c>
      <c r="AT1629" s="20" t="str">
        <f aca="false">HYPERLINK("https://www.google.iq/maps/search/+33.692,45.0741/@33.692,45.0741,14z?hl=en","Maplink2")</f>
        <v>Maplink2</v>
      </c>
      <c r="AU1629" s="20" t="str">
        <f aca="false">HYPERLINK("http://www.bing.com/maps/?lvl=14&amp;sty=h&amp;cp=33.692~45.0741&amp;sp=point.33.692_45.0741","Maplink3")</f>
        <v>Maplink3</v>
      </c>
    </row>
    <row r="1630" customFormat="false" ht="15" hidden="false" customHeight="true" outlineLevel="0" collapsed="false">
      <c r="A1630" s="15" t="n">
        <v>10894</v>
      </c>
      <c r="B1630" s="16" t="s">
        <v>20</v>
      </c>
      <c r="C1630" s="16" t="s">
        <v>3200</v>
      </c>
      <c r="D1630" s="16" t="s">
        <v>3216</v>
      </c>
      <c r="E1630" s="17" t="s">
        <v>3217</v>
      </c>
      <c r="F1630" s="16" t="n">
        <v>33.7457321</v>
      </c>
      <c r="G1630" s="16" t="n">
        <v>45.55196475</v>
      </c>
      <c r="H1630" s="18" t="n">
        <v>150</v>
      </c>
      <c r="I1630" s="18" t="n">
        <v>900</v>
      </c>
      <c r="J1630" s="19"/>
      <c r="K1630" s="19"/>
      <c r="L1630" s="19"/>
      <c r="M1630" s="19"/>
      <c r="N1630" s="19"/>
      <c r="O1630" s="19" t="n">
        <v>150</v>
      </c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 t="n">
        <v>80</v>
      </c>
      <c r="AD1630" s="19"/>
      <c r="AE1630" s="19"/>
      <c r="AF1630" s="19"/>
      <c r="AG1630" s="19"/>
      <c r="AH1630" s="19" t="n">
        <v>70</v>
      </c>
      <c r="AI1630" s="19"/>
      <c r="AJ1630" s="19"/>
      <c r="AK1630" s="19"/>
      <c r="AL1630" s="19"/>
      <c r="AM1630" s="19"/>
      <c r="AN1630" s="19" t="n">
        <v>150</v>
      </c>
      <c r="AO1630" s="19"/>
      <c r="AP1630" s="19"/>
      <c r="AQ1630" s="19"/>
      <c r="AR1630" s="19"/>
      <c r="AS1630" s="20" t="str">
        <f aca="false">HYPERLINK("http://www.openstreetmap.org/?mlat=33.7457&amp;mlon=45.552&amp;zoom=12#map=12/33.7457/45.552","Maplink1")</f>
        <v>Maplink1</v>
      </c>
      <c r="AT1630" s="20" t="str">
        <f aca="false">HYPERLINK("https://www.google.iq/maps/search/+33.7457,45.552/@33.7457,45.552,14z?hl=en","Maplink2")</f>
        <v>Maplink2</v>
      </c>
      <c r="AU1630" s="20" t="str">
        <f aca="false">HYPERLINK("http://www.bing.com/maps/?lvl=14&amp;sty=h&amp;cp=33.7457~45.552&amp;sp=point.33.7457_45.552","Maplink3")</f>
        <v>Maplink3</v>
      </c>
    </row>
    <row r="1631" customFormat="false" ht="15" hidden="false" customHeight="true" outlineLevel="0" collapsed="false">
      <c r="A1631" s="15" t="n">
        <v>25246</v>
      </c>
      <c r="B1631" s="16" t="s">
        <v>20</v>
      </c>
      <c r="C1631" s="16" t="s">
        <v>3200</v>
      </c>
      <c r="D1631" s="16" t="s">
        <v>3218</v>
      </c>
      <c r="E1631" s="17" t="s">
        <v>3219</v>
      </c>
      <c r="F1631" s="16" t="n">
        <v>33.65236364</v>
      </c>
      <c r="G1631" s="16" t="n">
        <v>45.15809376</v>
      </c>
      <c r="H1631" s="18" t="n">
        <v>5</v>
      </c>
      <c r="I1631" s="18" t="n">
        <v>30</v>
      </c>
      <c r="J1631" s="19"/>
      <c r="K1631" s="19"/>
      <c r="L1631" s="19"/>
      <c r="M1631" s="19"/>
      <c r="N1631" s="19"/>
      <c r="O1631" s="19" t="n">
        <v>5</v>
      </c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  <c r="AC1631" s="19" t="n">
        <v>5</v>
      </c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 t="n">
        <v>5</v>
      </c>
      <c r="AN1631" s="19"/>
      <c r="AO1631" s="19"/>
      <c r="AP1631" s="19"/>
      <c r="AQ1631" s="19"/>
      <c r="AR1631" s="19"/>
      <c r="AS1631" s="20" t="str">
        <f aca="false">HYPERLINK("http://www.openstreetmap.org/?mlat=33.6524&amp;mlon=45.1581&amp;zoom=12#map=12/33.6524/45.1581","Maplink1")</f>
        <v>Maplink1</v>
      </c>
      <c r="AT1631" s="20" t="str">
        <f aca="false">HYPERLINK("https://www.google.iq/maps/search/+33.6524,45.1581/@33.6524,45.1581,14z?hl=en","Maplink2")</f>
        <v>Maplink2</v>
      </c>
      <c r="AU1631" s="20" t="str">
        <f aca="false">HYPERLINK("http://www.bing.com/maps/?lvl=14&amp;sty=h&amp;cp=33.6524~45.1581&amp;sp=point.33.6524_45.1581","Maplink3")</f>
        <v>Maplink3</v>
      </c>
    </row>
    <row r="1632" customFormat="false" ht="15" hidden="false" customHeight="true" outlineLevel="0" collapsed="false">
      <c r="A1632" s="15" t="n">
        <v>10419</v>
      </c>
      <c r="B1632" s="16" t="s">
        <v>20</v>
      </c>
      <c r="C1632" s="16" t="s">
        <v>3220</v>
      </c>
      <c r="D1632" s="16" t="s">
        <v>3221</v>
      </c>
      <c r="E1632" s="17" t="s">
        <v>3222</v>
      </c>
      <c r="F1632" s="16" t="n">
        <v>34.34171631</v>
      </c>
      <c r="G1632" s="16" t="n">
        <v>45.37791495</v>
      </c>
      <c r="H1632" s="18" t="n">
        <v>50</v>
      </c>
      <c r="I1632" s="18" t="n">
        <v>300</v>
      </c>
      <c r="J1632" s="19"/>
      <c r="K1632" s="19"/>
      <c r="L1632" s="19"/>
      <c r="M1632" s="19"/>
      <c r="N1632" s="19"/>
      <c r="O1632" s="19" t="n">
        <v>50</v>
      </c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 t="n">
        <v>50</v>
      </c>
      <c r="AI1632" s="19"/>
      <c r="AJ1632" s="19"/>
      <c r="AK1632" s="19"/>
      <c r="AL1632" s="19"/>
      <c r="AM1632" s="19" t="n">
        <v>35</v>
      </c>
      <c r="AN1632" s="19" t="n">
        <v>15</v>
      </c>
      <c r="AO1632" s="19"/>
      <c r="AP1632" s="19"/>
      <c r="AQ1632" s="19"/>
      <c r="AR1632" s="19"/>
      <c r="AS1632" s="20" t="str">
        <f aca="false">HYPERLINK("http://www.openstreetmap.org/?mlat=34.3417&amp;mlon=45.3779&amp;zoom=12#map=12/34.3417/45.3779","Maplink1")</f>
        <v>Maplink1</v>
      </c>
      <c r="AT1632" s="20" t="str">
        <f aca="false">HYPERLINK("https://www.google.iq/maps/search/+34.3417,45.3779/@34.3417,45.3779,14z?hl=en","Maplink2")</f>
        <v>Maplink2</v>
      </c>
      <c r="AU1632" s="20" t="str">
        <f aca="false">HYPERLINK("http://www.bing.com/maps/?lvl=14&amp;sty=h&amp;cp=34.3417~45.3779&amp;sp=point.34.3417_45.3779","Maplink3")</f>
        <v>Maplink3</v>
      </c>
    </row>
    <row r="1633" customFormat="false" ht="15" hidden="false" customHeight="true" outlineLevel="0" collapsed="false">
      <c r="A1633" s="15" t="n">
        <v>11145</v>
      </c>
      <c r="B1633" s="16" t="s">
        <v>20</v>
      </c>
      <c r="C1633" s="16" t="s">
        <v>3220</v>
      </c>
      <c r="D1633" s="16" t="s">
        <v>3223</v>
      </c>
      <c r="E1633" s="17" t="s">
        <v>3224</v>
      </c>
      <c r="F1633" s="16" t="n">
        <v>34.37751356</v>
      </c>
      <c r="G1633" s="16" t="n">
        <v>45.32527738</v>
      </c>
      <c r="H1633" s="18" t="n">
        <v>28</v>
      </c>
      <c r="I1633" s="18" t="n">
        <v>168</v>
      </c>
      <c r="J1633" s="19"/>
      <c r="K1633" s="19"/>
      <c r="L1633" s="19"/>
      <c r="M1633" s="19"/>
      <c r="N1633" s="19"/>
      <c r="O1633" s="19" t="n">
        <v>28</v>
      </c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 t="n">
        <v>10</v>
      </c>
      <c r="AD1633" s="19"/>
      <c r="AE1633" s="19"/>
      <c r="AF1633" s="19"/>
      <c r="AG1633" s="19"/>
      <c r="AH1633" s="19" t="n">
        <v>8</v>
      </c>
      <c r="AI1633" s="19"/>
      <c r="AJ1633" s="19" t="n">
        <v>10</v>
      </c>
      <c r="AK1633" s="19"/>
      <c r="AL1633" s="19"/>
      <c r="AM1633" s="19" t="n">
        <v>25</v>
      </c>
      <c r="AN1633" s="19" t="n">
        <v>3</v>
      </c>
      <c r="AO1633" s="19"/>
      <c r="AP1633" s="19"/>
      <c r="AQ1633" s="19"/>
      <c r="AR1633" s="19"/>
      <c r="AS1633" s="20" t="str">
        <f aca="false">HYPERLINK("http://www.openstreetmap.org/?mlat=34.3775&amp;mlon=45.3253&amp;zoom=12#map=12/34.3775/45.3253","Maplink1")</f>
        <v>Maplink1</v>
      </c>
      <c r="AT1633" s="20" t="str">
        <f aca="false">HYPERLINK("https://www.google.iq/maps/search/+34.3775,45.3253/@34.3775,45.3253,14z?hl=en","Maplink2")</f>
        <v>Maplink2</v>
      </c>
      <c r="AU1633" s="20" t="str">
        <f aca="false">HYPERLINK("http://www.bing.com/maps/?lvl=14&amp;sty=h&amp;cp=34.3775~45.3253&amp;sp=point.34.3775_45.3253","Maplink3")</f>
        <v>Maplink3</v>
      </c>
    </row>
    <row r="1634" customFormat="false" ht="15" hidden="false" customHeight="true" outlineLevel="0" collapsed="false">
      <c r="A1634" s="15" t="n">
        <v>24388</v>
      </c>
      <c r="B1634" s="16" t="s">
        <v>20</v>
      </c>
      <c r="C1634" s="16" t="s">
        <v>3220</v>
      </c>
      <c r="D1634" s="16" t="s">
        <v>3225</v>
      </c>
      <c r="E1634" s="17" t="s">
        <v>3226</v>
      </c>
      <c r="F1634" s="16" t="n">
        <v>34.3168036232</v>
      </c>
      <c r="G1634" s="16" t="n">
        <v>45.3130383059</v>
      </c>
      <c r="H1634" s="18" t="n">
        <v>20</v>
      </c>
      <c r="I1634" s="18" t="n">
        <v>120</v>
      </c>
      <c r="J1634" s="19"/>
      <c r="K1634" s="19"/>
      <c r="L1634" s="19"/>
      <c r="M1634" s="19"/>
      <c r="N1634" s="19"/>
      <c r="O1634" s="19" t="n">
        <v>20</v>
      </c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 t="n">
        <v>20</v>
      </c>
      <c r="AI1634" s="19"/>
      <c r="AJ1634" s="19"/>
      <c r="AK1634" s="19"/>
      <c r="AL1634" s="19"/>
      <c r="AM1634" s="19" t="n">
        <v>20</v>
      </c>
      <c r="AN1634" s="19"/>
      <c r="AO1634" s="19"/>
      <c r="AP1634" s="19"/>
      <c r="AQ1634" s="19"/>
      <c r="AR1634" s="19"/>
      <c r="AS1634" s="20" t="str">
        <f aca="false">HYPERLINK("http://www.openstreetmap.org/?mlat=34.3168&amp;mlon=45.313&amp;zoom=12#map=12/34.3168/45.313","Maplink1")</f>
        <v>Maplink1</v>
      </c>
      <c r="AT1634" s="20" t="str">
        <f aca="false">HYPERLINK("https://www.google.iq/maps/search/+34.3168,45.313/@34.3168,45.313,14z?hl=en","Maplink2")</f>
        <v>Maplink2</v>
      </c>
      <c r="AU1634" s="20" t="str">
        <f aca="false">HYPERLINK("http://www.bing.com/maps/?lvl=14&amp;sty=h&amp;cp=34.3168~45.313&amp;sp=point.34.3168_45.313","Maplink3")</f>
        <v>Maplink3</v>
      </c>
    </row>
    <row r="1635" customFormat="false" ht="15" hidden="false" customHeight="true" outlineLevel="0" collapsed="false">
      <c r="A1635" s="15" t="n">
        <v>24354</v>
      </c>
      <c r="B1635" s="16" t="s">
        <v>20</v>
      </c>
      <c r="C1635" s="16" t="s">
        <v>3220</v>
      </c>
      <c r="D1635" s="16" t="s">
        <v>3227</v>
      </c>
      <c r="E1635" s="17" t="s">
        <v>3228</v>
      </c>
      <c r="F1635" s="16" t="n">
        <v>34.34404789</v>
      </c>
      <c r="G1635" s="16" t="n">
        <v>45.40101218</v>
      </c>
      <c r="H1635" s="18" t="n">
        <v>50</v>
      </c>
      <c r="I1635" s="18" t="n">
        <v>300</v>
      </c>
      <c r="J1635" s="19"/>
      <c r="K1635" s="19"/>
      <c r="L1635" s="19"/>
      <c r="M1635" s="19"/>
      <c r="N1635" s="19"/>
      <c r="O1635" s="19" t="n">
        <v>50</v>
      </c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 t="n">
        <v>10</v>
      </c>
      <c r="AD1635" s="19"/>
      <c r="AE1635" s="19"/>
      <c r="AF1635" s="19"/>
      <c r="AG1635" s="19"/>
      <c r="AH1635" s="19" t="n">
        <v>40</v>
      </c>
      <c r="AI1635" s="19"/>
      <c r="AJ1635" s="19"/>
      <c r="AK1635" s="19"/>
      <c r="AL1635" s="19"/>
      <c r="AM1635" s="19" t="n">
        <v>40</v>
      </c>
      <c r="AN1635" s="19" t="n">
        <v>10</v>
      </c>
      <c r="AO1635" s="19"/>
      <c r="AP1635" s="19"/>
      <c r="AQ1635" s="19"/>
      <c r="AR1635" s="19"/>
      <c r="AS1635" s="20" t="str">
        <f aca="false">HYPERLINK("http://www.openstreetmap.org/?mlat=34.344&amp;mlon=45.401&amp;zoom=12#map=12/34.344/45.401","Maplink1")</f>
        <v>Maplink1</v>
      </c>
      <c r="AT1635" s="20" t="str">
        <f aca="false">HYPERLINK("https://www.google.iq/maps/search/+34.344,45.401/@34.344,45.401,14z?hl=en","Maplink2")</f>
        <v>Maplink2</v>
      </c>
      <c r="AU1635" s="20" t="str">
        <f aca="false">HYPERLINK("http://www.bing.com/maps/?lvl=14&amp;sty=h&amp;cp=34.344~45.401&amp;sp=point.34.344_45.401","Maplink3")</f>
        <v>Maplink3</v>
      </c>
    </row>
    <row r="1636" customFormat="false" ht="15" hidden="false" customHeight="true" outlineLevel="0" collapsed="false">
      <c r="A1636" s="15" t="n">
        <v>24510</v>
      </c>
      <c r="B1636" s="16" t="s">
        <v>20</v>
      </c>
      <c r="C1636" s="16" t="s">
        <v>3220</v>
      </c>
      <c r="D1636" s="16" t="s">
        <v>3229</v>
      </c>
      <c r="E1636" s="17" t="s">
        <v>3230</v>
      </c>
      <c r="F1636" s="16" t="n">
        <v>34.32345344</v>
      </c>
      <c r="G1636" s="16" t="n">
        <v>45.27772497</v>
      </c>
      <c r="H1636" s="18" t="n">
        <v>80</v>
      </c>
      <c r="I1636" s="18" t="n">
        <v>480</v>
      </c>
      <c r="J1636" s="19"/>
      <c r="K1636" s="19"/>
      <c r="L1636" s="19"/>
      <c r="M1636" s="19"/>
      <c r="N1636" s="19"/>
      <c r="O1636" s="19" t="n">
        <v>80</v>
      </c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 t="n">
        <v>25</v>
      </c>
      <c r="AD1636" s="19"/>
      <c r="AE1636" s="19"/>
      <c r="AF1636" s="19"/>
      <c r="AG1636" s="19"/>
      <c r="AH1636" s="19" t="n">
        <v>27</v>
      </c>
      <c r="AI1636" s="19"/>
      <c r="AJ1636" s="19" t="n">
        <v>28</v>
      </c>
      <c r="AK1636" s="19"/>
      <c r="AL1636" s="19"/>
      <c r="AM1636" s="19" t="n">
        <v>80</v>
      </c>
      <c r="AN1636" s="19"/>
      <c r="AO1636" s="19"/>
      <c r="AP1636" s="19"/>
      <c r="AQ1636" s="19"/>
      <c r="AR1636" s="19"/>
      <c r="AS1636" s="20" t="str">
        <f aca="false">HYPERLINK("http://www.openstreetmap.org/?mlat=34.3235&amp;mlon=45.2777&amp;zoom=12#map=12/34.3235/45.2777","Maplink1")</f>
        <v>Maplink1</v>
      </c>
      <c r="AT1636" s="20" t="str">
        <f aca="false">HYPERLINK("https://www.google.iq/maps/search/+34.3235,45.2777/@34.3235,45.2777,14z?hl=en","Maplink2")</f>
        <v>Maplink2</v>
      </c>
      <c r="AU1636" s="20" t="str">
        <f aca="false">HYPERLINK("http://www.bing.com/maps/?lvl=14&amp;sty=h&amp;cp=34.3235~45.2777&amp;sp=point.34.3235_45.2777","Maplink3")</f>
        <v>Maplink3</v>
      </c>
    </row>
    <row r="1637" customFormat="false" ht="15" hidden="false" customHeight="true" outlineLevel="0" collapsed="false">
      <c r="A1637" s="15" t="n">
        <v>27286</v>
      </c>
      <c r="B1637" s="16" t="s">
        <v>20</v>
      </c>
      <c r="C1637" s="16" t="s">
        <v>3220</v>
      </c>
      <c r="D1637" s="16" t="s">
        <v>3231</v>
      </c>
      <c r="E1637" s="17" t="s">
        <v>3232</v>
      </c>
      <c r="F1637" s="16" t="n">
        <v>34.32197178</v>
      </c>
      <c r="G1637" s="16" t="n">
        <v>45.45031139</v>
      </c>
      <c r="H1637" s="18" t="n">
        <v>400</v>
      </c>
      <c r="I1637" s="18" t="n">
        <v>2400</v>
      </c>
      <c r="J1637" s="19"/>
      <c r="K1637" s="19"/>
      <c r="L1637" s="19"/>
      <c r="M1637" s="19"/>
      <c r="N1637" s="19"/>
      <c r="O1637" s="19" t="n">
        <v>400</v>
      </c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 t="n">
        <v>400</v>
      </c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 t="n">
        <v>395</v>
      </c>
      <c r="AN1637" s="19" t="n">
        <v>5</v>
      </c>
      <c r="AO1637" s="19"/>
      <c r="AP1637" s="19"/>
      <c r="AQ1637" s="19"/>
      <c r="AR1637" s="19"/>
      <c r="AS1637" s="20" t="str">
        <f aca="false">HYPERLINK("http://www.openstreetmap.org/?mlat=34.322&amp;mlon=45.4503&amp;zoom=12#map=12/34.322/45.4503","Maplink1")</f>
        <v>Maplink1</v>
      </c>
      <c r="AT1637" s="20" t="str">
        <f aca="false">HYPERLINK("https://www.google.iq/maps/search/+34.322,45.4503/@34.322,45.4503,14z?hl=en","Maplink2")</f>
        <v>Maplink2</v>
      </c>
      <c r="AU1637" s="20" t="str">
        <f aca="false">HYPERLINK("http://www.bing.com/maps/?lvl=14&amp;sty=h&amp;cp=34.322~45.4503&amp;sp=point.34.322_45.4503","Maplink3")</f>
        <v>Maplink3</v>
      </c>
    </row>
    <row r="1638" customFormat="false" ht="15" hidden="false" customHeight="true" outlineLevel="0" collapsed="false">
      <c r="A1638" s="15" t="n">
        <v>24405</v>
      </c>
      <c r="B1638" s="16" t="s">
        <v>20</v>
      </c>
      <c r="C1638" s="16" t="s">
        <v>3220</v>
      </c>
      <c r="D1638" s="16" t="s">
        <v>3233</v>
      </c>
      <c r="E1638" s="17" t="s">
        <v>3234</v>
      </c>
      <c r="F1638" s="16" t="n">
        <v>34.36027593</v>
      </c>
      <c r="G1638" s="16" t="n">
        <v>45.22084865</v>
      </c>
      <c r="H1638" s="18" t="n">
        <v>45</v>
      </c>
      <c r="I1638" s="18" t="n">
        <v>270</v>
      </c>
      <c r="J1638" s="19"/>
      <c r="K1638" s="19"/>
      <c r="L1638" s="19"/>
      <c r="M1638" s="19"/>
      <c r="N1638" s="19"/>
      <c r="O1638" s="19" t="n">
        <v>45</v>
      </c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 t="n">
        <v>23</v>
      </c>
      <c r="AD1638" s="19"/>
      <c r="AE1638" s="19"/>
      <c r="AF1638" s="19"/>
      <c r="AG1638" s="19"/>
      <c r="AH1638" s="19"/>
      <c r="AI1638" s="19" t="n">
        <v>12</v>
      </c>
      <c r="AJ1638" s="19" t="n">
        <v>10</v>
      </c>
      <c r="AK1638" s="19"/>
      <c r="AL1638" s="19"/>
      <c r="AM1638" s="19" t="n">
        <v>20</v>
      </c>
      <c r="AN1638" s="19" t="n">
        <v>10</v>
      </c>
      <c r="AO1638" s="19" t="n">
        <v>15</v>
      </c>
      <c r="AP1638" s="19"/>
      <c r="AQ1638" s="19"/>
      <c r="AR1638" s="19"/>
      <c r="AS1638" s="20" t="str">
        <f aca="false">HYPERLINK("http://www.openstreetmap.org/?mlat=34.3603&amp;mlon=45.2208&amp;zoom=12#map=12/34.3603/45.2208","Maplink1")</f>
        <v>Maplink1</v>
      </c>
      <c r="AT1638" s="20" t="str">
        <f aca="false">HYPERLINK("https://www.google.iq/maps/search/+34.3603,45.2208/@34.3603,45.2208,14z?hl=en","Maplink2")</f>
        <v>Maplink2</v>
      </c>
      <c r="AU1638" s="20" t="str">
        <f aca="false">HYPERLINK("http://www.bing.com/maps/?lvl=14&amp;sty=h&amp;cp=34.3603~45.2208&amp;sp=point.34.3603_45.2208","Maplink3")</f>
        <v>Maplink3</v>
      </c>
    </row>
    <row r="1639" customFormat="false" ht="15" hidden="false" customHeight="true" outlineLevel="0" collapsed="false">
      <c r="A1639" s="15" t="n">
        <v>25627</v>
      </c>
      <c r="B1639" s="16" t="s">
        <v>20</v>
      </c>
      <c r="C1639" s="16" t="s">
        <v>3220</v>
      </c>
      <c r="D1639" s="16" t="s">
        <v>3235</v>
      </c>
      <c r="E1639" s="17" t="s">
        <v>3236</v>
      </c>
      <c r="F1639" s="16" t="n">
        <v>34.35209335</v>
      </c>
      <c r="G1639" s="16" t="n">
        <v>45.24379053</v>
      </c>
      <c r="H1639" s="18" t="n">
        <v>25</v>
      </c>
      <c r="I1639" s="18" t="n">
        <v>150</v>
      </c>
      <c r="J1639" s="19"/>
      <c r="K1639" s="19"/>
      <c r="L1639" s="19"/>
      <c r="M1639" s="19"/>
      <c r="N1639" s="19"/>
      <c r="O1639" s="19" t="n">
        <v>25</v>
      </c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 t="n">
        <v>25</v>
      </c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 t="n">
        <v>25</v>
      </c>
      <c r="AN1639" s="19"/>
      <c r="AO1639" s="19"/>
      <c r="AP1639" s="19"/>
      <c r="AQ1639" s="19"/>
      <c r="AR1639" s="19"/>
      <c r="AS1639" s="20" t="str">
        <f aca="false">HYPERLINK("http://www.openstreetmap.org/?mlat=34.3521&amp;mlon=45.2438&amp;zoom=12#map=12/34.3521/45.2438","Maplink1")</f>
        <v>Maplink1</v>
      </c>
      <c r="AT1639" s="20" t="str">
        <f aca="false">HYPERLINK("https://www.google.iq/maps/search/+34.3521,45.2438/@34.3521,45.2438,14z?hl=en","Maplink2")</f>
        <v>Maplink2</v>
      </c>
      <c r="AU1639" s="20" t="str">
        <f aca="false">HYPERLINK("http://www.bing.com/maps/?lvl=14&amp;sty=h&amp;cp=34.3521~45.2438&amp;sp=point.34.3521_45.2438","Maplink3")</f>
        <v>Maplink3</v>
      </c>
    </row>
    <row r="1640" customFormat="false" ht="15" hidden="false" customHeight="true" outlineLevel="0" collapsed="false">
      <c r="A1640" s="15" t="n">
        <v>25341</v>
      </c>
      <c r="B1640" s="16" t="s">
        <v>20</v>
      </c>
      <c r="C1640" s="16" t="s">
        <v>3220</v>
      </c>
      <c r="D1640" s="16" t="s">
        <v>3237</v>
      </c>
      <c r="E1640" s="17" t="s">
        <v>3238</v>
      </c>
      <c r="F1640" s="16" t="n">
        <v>34.36401407</v>
      </c>
      <c r="G1640" s="16" t="n">
        <v>45.38096798</v>
      </c>
      <c r="H1640" s="18" t="n">
        <v>57</v>
      </c>
      <c r="I1640" s="18" t="n">
        <v>342</v>
      </c>
      <c r="J1640" s="19"/>
      <c r="K1640" s="19"/>
      <c r="L1640" s="19" t="n">
        <v>2</v>
      </c>
      <c r="M1640" s="19"/>
      <c r="N1640" s="19"/>
      <c r="O1640" s="19" t="n">
        <v>55</v>
      </c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 t="n">
        <v>23</v>
      </c>
      <c r="AD1640" s="19"/>
      <c r="AE1640" s="19"/>
      <c r="AF1640" s="19"/>
      <c r="AG1640" s="19"/>
      <c r="AH1640" s="19" t="n">
        <v>34</v>
      </c>
      <c r="AI1640" s="19"/>
      <c r="AJ1640" s="19"/>
      <c r="AK1640" s="19"/>
      <c r="AL1640" s="19"/>
      <c r="AM1640" s="19" t="n">
        <v>57</v>
      </c>
      <c r="AN1640" s="19"/>
      <c r="AO1640" s="19"/>
      <c r="AP1640" s="19"/>
      <c r="AQ1640" s="19"/>
      <c r="AR1640" s="19"/>
      <c r="AS1640" s="20" t="str">
        <f aca="false">HYPERLINK("http://www.openstreetmap.org/?mlat=34.364&amp;mlon=45.381&amp;zoom=12#map=12/34.364/45.381","Maplink1")</f>
        <v>Maplink1</v>
      </c>
      <c r="AT1640" s="20" t="str">
        <f aca="false">HYPERLINK("https://www.google.iq/maps/search/+34.364,45.381/@34.364,45.381,14z?hl=en","Maplink2")</f>
        <v>Maplink2</v>
      </c>
      <c r="AU1640" s="20" t="str">
        <f aca="false">HYPERLINK("http://www.bing.com/maps/?lvl=14&amp;sty=h&amp;cp=34.364~45.381&amp;sp=point.34.364_45.381","Maplink3")</f>
        <v>Maplink3</v>
      </c>
    </row>
    <row r="1641" customFormat="false" ht="15" hidden="false" customHeight="true" outlineLevel="0" collapsed="false">
      <c r="A1641" s="15" t="n">
        <v>24386</v>
      </c>
      <c r="B1641" s="16" t="s">
        <v>20</v>
      </c>
      <c r="C1641" s="16" t="s">
        <v>3220</v>
      </c>
      <c r="D1641" s="16" t="s">
        <v>3239</v>
      </c>
      <c r="E1641" s="17" t="s">
        <v>3240</v>
      </c>
      <c r="F1641" s="16" t="n">
        <v>34.38442713</v>
      </c>
      <c r="G1641" s="16" t="n">
        <v>45.29182987</v>
      </c>
      <c r="H1641" s="18" t="n">
        <v>15</v>
      </c>
      <c r="I1641" s="18" t="n">
        <v>90</v>
      </c>
      <c r="J1641" s="19"/>
      <c r="K1641" s="19"/>
      <c r="L1641" s="19"/>
      <c r="M1641" s="19"/>
      <c r="N1641" s="19"/>
      <c r="O1641" s="19" t="n">
        <v>15</v>
      </c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 t="n">
        <v>15</v>
      </c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 t="n">
        <v>15</v>
      </c>
      <c r="AN1641" s="19"/>
      <c r="AO1641" s="19"/>
      <c r="AP1641" s="19"/>
      <c r="AQ1641" s="19"/>
      <c r="AR1641" s="19"/>
      <c r="AS1641" s="20" t="str">
        <f aca="false">HYPERLINK("http://www.openstreetmap.org/?mlat=34.3844&amp;mlon=45.2918&amp;zoom=12#map=12/34.3844/45.2918","Maplink1")</f>
        <v>Maplink1</v>
      </c>
      <c r="AT1641" s="20" t="str">
        <f aca="false">HYPERLINK("https://www.google.iq/maps/search/+34.3844,45.2918/@34.3844,45.2918,14z?hl=en","Maplink2")</f>
        <v>Maplink2</v>
      </c>
      <c r="AU1641" s="20" t="str">
        <f aca="false">HYPERLINK("http://www.bing.com/maps/?lvl=14&amp;sty=h&amp;cp=34.3844~45.2918&amp;sp=point.34.3844_45.2918","Maplink3")</f>
        <v>Maplink3</v>
      </c>
    </row>
    <row r="1642" customFormat="false" ht="15" hidden="false" customHeight="true" outlineLevel="0" collapsed="false">
      <c r="A1642" s="15" t="n">
        <v>24404</v>
      </c>
      <c r="B1642" s="16" t="s">
        <v>20</v>
      </c>
      <c r="C1642" s="16" t="s">
        <v>3220</v>
      </c>
      <c r="D1642" s="16" t="s">
        <v>3241</v>
      </c>
      <c r="E1642" s="17" t="s">
        <v>3242</v>
      </c>
      <c r="F1642" s="16" t="n">
        <v>34.36715681</v>
      </c>
      <c r="G1642" s="16" t="n">
        <v>45.24392361</v>
      </c>
      <c r="H1642" s="18" t="n">
        <v>18</v>
      </c>
      <c r="I1642" s="18" t="n">
        <v>108</v>
      </c>
      <c r="J1642" s="19"/>
      <c r="K1642" s="19"/>
      <c r="L1642" s="19"/>
      <c r="M1642" s="19"/>
      <c r="N1642" s="19"/>
      <c r="O1642" s="19" t="n">
        <v>18</v>
      </c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 t="n">
        <v>18</v>
      </c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 t="n">
        <v>5</v>
      </c>
      <c r="AN1642" s="19"/>
      <c r="AO1642" s="19" t="n">
        <v>13</v>
      </c>
      <c r="AP1642" s="19"/>
      <c r="AQ1642" s="19"/>
      <c r="AR1642" s="19"/>
      <c r="AS1642" s="20" t="str">
        <f aca="false">HYPERLINK("http://www.openstreetmap.org/?mlat=34.3672&amp;mlon=45.2439&amp;zoom=12#map=12/34.3672/45.2439","Maplink1")</f>
        <v>Maplink1</v>
      </c>
      <c r="AT1642" s="20" t="str">
        <f aca="false">HYPERLINK("https://www.google.iq/maps/search/+34.3672,45.2439/@34.3672,45.2439,14z?hl=en","Maplink2")</f>
        <v>Maplink2</v>
      </c>
      <c r="AU1642" s="20" t="str">
        <f aca="false">HYPERLINK("http://www.bing.com/maps/?lvl=14&amp;sty=h&amp;cp=34.3672~45.2439&amp;sp=point.34.3672_45.2439","Maplink3")</f>
        <v>Maplink3</v>
      </c>
    </row>
    <row r="1643" customFormat="false" ht="15" hidden="false" customHeight="true" outlineLevel="0" collapsed="false">
      <c r="A1643" s="15" t="n">
        <v>24407</v>
      </c>
      <c r="B1643" s="16" t="s">
        <v>20</v>
      </c>
      <c r="C1643" s="16" t="s">
        <v>3220</v>
      </c>
      <c r="D1643" s="16" t="s">
        <v>3243</v>
      </c>
      <c r="E1643" s="17" t="s">
        <v>3244</v>
      </c>
      <c r="F1643" s="16" t="n">
        <v>34.39987603</v>
      </c>
      <c r="G1643" s="16" t="n">
        <v>45.23650617</v>
      </c>
      <c r="H1643" s="18" t="n">
        <v>50</v>
      </c>
      <c r="I1643" s="18" t="n">
        <v>300</v>
      </c>
      <c r="J1643" s="19"/>
      <c r="K1643" s="19"/>
      <c r="L1643" s="19"/>
      <c r="M1643" s="19"/>
      <c r="N1643" s="19"/>
      <c r="O1643" s="19" t="n">
        <v>50</v>
      </c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 t="n">
        <v>10</v>
      </c>
      <c r="AD1643" s="19"/>
      <c r="AE1643" s="19"/>
      <c r="AF1643" s="19"/>
      <c r="AG1643" s="19"/>
      <c r="AH1643" s="19"/>
      <c r="AI1643" s="19"/>
      <c r="AJ1643" s="19" t="n">
        <v>40</v>
      </c>
      <c r="AK1643" s="19"/>
      <c r="AL1643" s="19"/>
      <c r="AM1643" s="19" t="n">
        <v>50</v>
      </c>
      <c r="AN1643" s="19"/>
      <c r="AO1643" s="19"/>
      <c r="AP1643" s="19"/>
      <c r="AQ1643" s="19"/>
      <c r="AR1643" s="19"/>
      <c r="AS1643" s="20" t="str">
        <f aca="false">HYPERLINK("http://www.openstreetmap.org/?mlat=34.3999&amp;mlon=45.2365&amp;zoom=12#map=12/34.3999/45.2365","Maplink1")</f>
        <v>Maplink1</v>
      </c>
      <c r="AT1643" s="20" t="str">
        <f aca="false">HYPERLINK("https://www.google.iq/maps/search/+34.3999,45.2365/@34.3999,45.2365,14z?hl=en","Maplink2")</f>
        <v>Maplink2</v>
      </c>
      <c r="AU1643" s="20" t="str">
        <f aca="false">HYPERLINK("http://www.bing.com/maps/?lvl=14&amp;sty=h&amp;cp=34.3999~45.2365&amp;sp=point.34.3999_45.2365","Maplink3")</f>
        <v>Maplink3</v>
      </c>
    </row>
    <row r="1644" customFormat="false" ht="15" hidden="false" customHeight="true" outlineLevel="0" collapsed="false">
      <c r="A1644" s="15" t="n">
        <v>24395</v>
      </c>
      <c r="B1644" s="16" t="s">
        <v>20</v>
      </c>
      <c r="C1644" s="16" t="s">
        <v>3220</v>
      </c>
      <c r="D1644" s="16" t="s">
        <v>3245</v>
      </c>
      <c r="E1644" s="17" t="s">
        <v>230</v>
      </c>
      <c r="F1644" s="16" t="n">
        <v>34.34856889</v>
      </c>
      <c r="G1644" s="16" t="n">
        <v>45.40752189</v>
      </c>
      <c r="H1644" s="18" t="n">
        <v>50</v>
      </c>
      <c r="I1644" s="18" t="n">
        <v>300</v>
      </c>
      <c r="J1644" s="19"/>
      <c r="K1644" s="19"/>
      <c r="L1644" s="19"/>
      <c r="M1644" s="19"/>
      <c r="N1644" s="19"/>
      <c r="O1644" s="19" t="n">
        <v>50</v>
      </c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 t="n">
        <v>30</v>
      </c>
      <c r="AI1644" s="19"/>
      <c r="AJ1644" s="19" t="n">
        <v>20</v>
      </c>
      <c r="AK1644" s="19"/>
      <c r="AL1644" s="19"/>
      <c r="AM1644" s="19" t="n">
        <v>25</v>
      </c>
      <c r="AN1644" s="19" t="n">
        <v>25</v>
      </c>
      <c r="AO1644" s="19"/>
      <c r="AP1644" s="19"/>
      <c r="AQ1644" s="19"/>
      <c r="AR1644" s="19"/>
      <c r="AS1644" s="20" t="str">
        <f aca="false">HYPERLINK("http://www.openstreetmap.org/?mlat=34.3486&amp;mlon=45.4075&amp;zoom=12#map=12/34.3486/45.4075","Maplink1")</f>
        <v>Maplink1</v>
      </c>
      <c r="AT1644" s="20" t="str">
        <f aca="false">HYPERLINK("https://www.google.iq/maps/search/+34.3486,45.4075/@34.3486,45.4075,14z?hl=en","Maplink2")</f>
        <v>Maplink2</v>
      </c>
      <c r="AU1644" s="20" t="str">
        <f aca="false">HYPERLINK("http://www.bing.com/maps/?lvl=14&amp;sty=h&amp;cp=34.3486~45.4075&amp;sp=point.34.3486_45.4075","Maplink3")</f>
        <v>Maplink3</v>
      </c>
    </row>
    <row r="1645" customFormat="false" ht="15" hidden="false" customHeight="true" outlineLevel="0" collapsed="false">
      <c r="A1645" s="15" t="n">
        <v>10676</v>
      </c>
      <c r="B1645" s="16" t="s">
        <v>20</v>
      </c>
      <c r="C1645" s="16" t="s">
        <v>3220</v>
      </c>
      <c r="D1645" s="16" t="s">
        <v>3246</v>
      </c>
      <c r="E1645" s="17" t="s">
        <v>3247</v>
      </c>
      <c r="F1645" s="16" t="n">
        <v>34.33151651</v>
      </c>
      <c r="G1645" s="16" t="n">
        <v>45.39961098</v>
      </c>
      <c r="H1645" s="18" t="n">
        <v>125</v>
      </c>
      <c r="I1645" s="18" t="n">
        <v>750</v>
      </c>
      <c r="J1645" s="19"/>
      <c r="K1645" s="19"/>
      <c r="L1645" s="19"/>
      <c r="M1645" s="19"/>
      <c r="N1645" s="19"/>
      <c r="O1645" s="19" t="n">
        <v>125</v>
      </c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 t="n">
        <v>10</v>
      </c>
      <c r="AD1645" s="19"/>
      <c r="AE1645" s="19"/>
      <c r="AF1645" s="19"/>
      <c r="AG1645" s="19"/>
      <c r="AH1645" s="19" t="n">
        <v>60</v>
      </c>
      <c r="AI1645" s="19"/>
      <c r="AJ1645" s="19" t="n">
        <v>55</v>
      </c>
      <c r="AK1645" s="19"/>
      <c r="AL1645" s="19"/>
      <c r="AM1645" s="19" t="n">
        <v>125</v>
      </c>
      <c r="AN1645" s="19"/>
      <c r="AO1645" s="19"/>
      <c r="AP1645" s="19"/>
      <c r="AQ1645" s="19"/>
      <c r="AR1645" s="19"/>
      <c r="AS1645" s="20" t="str">
        <f aca="false">HYPERLINK("http://www.openstreetmap.org/?mlat=34.3315&amp;mlon=45.3996&amp;zoom=12#map=12/34.3315/45.3996","Maplink1")</f>
        <v>Maplink1</v>
      </c>
      <c r="AT1645" s="20" t="str">
        <f aca="false">HYPERLINK("https://www.google.iq/maps/search/+34.3315,45.3996/@34.3315,45.3996,14z?hl=en","Maplink2")</f>
        <v>Maplink2</v>
      </c>
      <c r="AU1645" s="20" t="str">
        <f aca="false">HYPERLINK("http://www.bing.com/maps/?lvl=14&amp;sty=h&amp;cp=34.3315~45.3996&amp;sp=point.34.3315_45.3996","Maplink3")</f>
        <v>Maplink3</v>
      </c>
    </row>
    <row r="1646" customFormat="false" ht="15" hidden="false" customHeight="true" outlineLevel="0" collapsed="false">
      <c r="A1646" s="15" t="n">
        <v>24352</v>
      </c>
      <c r="B1646" s="16" t="s">
        <v>20</v>
      </c>
      <c r="C1646" s="16" t="s">
        <v>3220</v>
      </c>
      <c r="D1646" s="16" t="s">
        <v>3248</v>
      </c>
      <c r="E1646" s="17" t="s">
        <v>3249</v>
      </c>
      <c r="F1646" s="16" t="n">
        <v>34.30165436</v>
      </c>
      <c r="G1646" s="16" t="n">
        <v>45.3468793</v>
      </c>
      <c r="H1646" s="18" t="n">
        <v>40</v>
      </c>
      <c r="I1646" s="18" t="n">
        <v>240</v>
      </c>
      <c r="J1646" s="19"/>
      <c r="K1646" s="19"/>
      <c r="L1646" s="19"/>
      <c r="M1646" s="19"/>
      <c r="N1646" s="19"/>
      <c r="O1646" s="19" t="n">
        <v>40</v>
      </c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 t="n">
        <v>20</v>
      </c>
      <c r="AI1646" s="19"/>
      <c r="AJ1646" s="19" t="n">
        <v>20</v>
      </c>
      <c r="AK1646" s="19"/>
      <c r="AL1646" s="19"/>
      <c r="AM1646" s="19" t="n">
        <v>40</v>
      </c>
      <c r="AN1646" s="19"/>
      <c r="AO1646" s="19"/>
      <c r="AP1646" s="19"/>
      <c r="AQ1646" s="19"/>
      <c r="AR1646" s="19"/>
      <c r="AS1646" s="20" t="str">
        <f aca="false">HYPERLINK("http://www.openstreetmap.org/?mlat=34.3017&amp;mlon=45.3469&amp;zoom=12#map=12/34.3017/45.3469","Maplink1")</f>
        <v>Maplink1</v>
      </c>
      <c r="AT1646" s="20" t="str">
        <f aca="false">HYPERLINK("https://www.google.iq/maps/search/+34.3017,45.3469/@34.3017,45.3469,14z?hl=en","Maplink2")</f>
        <v>Maplink2</v>
      </c>
      <c r="AU1646" s="20" t="str">
        <f aca="false">HYPERLINK("http://www.bing.com/maps/?lvl=14&amp;sty=h&amp;cp=34.3017~45.3469&amp;sp=point.34.3017_45.3469","Maplink3")</f>
        <v>Maplink3</v>
      </c>
    </row>
    <row r="1647" customFormat="false" ht="15" hidden="false" customHeight="true" outlineLevel="0" collapsed="false">
      <c r="A1647" s="15" t="n">
        <v>25257</v>
      </c>
      <c r="B1647" s="16" t="s">
        <v>20</v>
      </c>
      <c r="C1647" s="16" t="s">
        <v>3220</v>
      </c>
      <c r="D1647" s="16" t="s">
        <v>3250</v>
      </c>
      <c r="E1647" s="17" t="s">
        <v>3251</v>
      </c>
      <c r="F1647" s="16" t="n">
        <v>34.31793245</v>
      </c>
      <c r="G1647" s="16" t="n">
        <v>45.36231045</v>
      </c>
      <c r="H1647" s="18" t="n">
        <v>375</v>
      </c>
      <c r="I1647" s="18" t="n">
        <v>2250</v>
      </c>
      <c r="J1647" s="19"/>
      <c r="K1647" s="19"/>
      <c r="L1647" s="19"/>
      <c r="M1647" s="19"/>
      <c r="N1647" s="19"/>
      <c r="O1647" s="19" t="n">
        <v>375</v>
      </c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 t="n">
        <v>15</v>
      </c>
      <c r="AD1647" s="19"/>
      <c r="AE1647" s="19"/>
      <c r="AF1647" s="19"/>
      <c r="AG1647" s="19"/>
      <c r="AH1647" s="19" t="n">
        <v>225</v>
      </c>
      <c r="AI1647" s="19"/>
      <c r="AJ1647" s="19" t="n">
        <v>135</v>
      </c>
      <c r="AK1647" s="19"/>
      <c r="AL1647" s="19"/>
      <c r="AM1647" s="19" t="n">
        <v>350</v>
      </c>
      <c r="AN1647" s="19" t="n">
        <v>25</v>
      </c>
      <c r="AO1647" s="19"/>
      <c r="AP1647" s="19"/>
      <c r="AQ1647" s="19"/>
      <c r="AR1647" s="19"/>
      <c r="AS1647" s="20" t="str">
        <f aca="false">HYPERLINK("http://www.openstreetmap.org/?mlat=34.3179&amp;mlon=45.3623&amp;zoom=12#map=12/34.3179/45.3623","Maplink1")</f>
        <v>Maplink1</v>
      </c>
      <c r="AT1647" s="20" t="str">
        <f aca="false">HYPERLINK("https://www.google.iq/maps/search/+34.3179,45.3623/@34.3179,45.3623,14z?hl=en","Maplink2")</f>
        <v>Maplink2</v>
      </c>
      <c r="AU1647" s="20" t="str">
        <f aca="false">HYPERLINK("http://www.bing.com/maps/?lvl=14&amp;sty=h&amp;cp=34.3179~45.3623&amp;sp=point.34.3179_45.3623","Maplink3")</f>
        <v>Maplink3</v>
      </c>
    </row>
    <row r="1648" customFormat="false" ht="15" hidden="false" customHeight="true" outlineLevel="0" collapsed="false">
      <c r="A1648" s="15" t="n">
        <v>24400</v>
      </c>
      <c r="B1648" s="16" t="s">
        <v>20</v>
      </c>
      <c r="C1648" s="16" t="s">
        <v>3220</v>
      </c>
      <c r="D1648" s="16" t="s">
        <v>3252</v>
      </c>
      <c r="E1648" s="17" t="s">
        <v>3253</v>
      </c>
      <c r="F1648" s="16" t="n">
        <v>34.3556983539</v>
      </c>
      <c r="G1648" s="16" t="n">
        <v>45.2341855963</v>
      </c>
      <c r="H1648" s="18" t="n">
        <v>20</v>
      </c>
      <c r="I1648" s="18" t="n">
        <v>120</v>
      </c>
      <c r="J1648" s="19"/>
      <c r="K1648" s="19"/>
      <c r="L1648" s="19"/>
      <c r="M1648" s="19"/>
      <c r="N1648" s="19"/>
      <c r="O1648" s="19" t="n">
        <v>20</v>
      </c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 t="n">
        <v>5</v>
      </c>
      <c r="AD1648" s="19"/>
      <c r="AE1648" s="19"/>
      <c r="AF1648" s="19"/>
      <c r="AG1648" s="19"/>
      <c r="AH1648" s="19"/>
      <c r="AI1648" s="19"/>
      <c r="AJ1648" s="19" t="n">
        <v>15</v>
      </c>
      <c r="AK1648" s="19"/>
      <c r="AL1648" s="19"/>
      <c r="AM1648" s="19" t="n">
        <v>5</v>
      </c>
      <c r="AN1648" s="19" t="n">
        <v>15</v>
      </c>
      <c r="AO1648" s="19"/>
      <c r="AP1648" s="19"/>
      <c r="AQ1648" s="19"/>
      <c r="AR1648" s="19"/>
      <c r="AS1648" s="20" t="str">
        <f aca="false">HYPERLINK("http://www.openstreetmap.org/?mlat=34.3557&amp;mlon=45.2342&amp;zoom=12#map=12/34.3557/45.2342","Maplink1")</f>
        <v>Maplink1</v>
      </c>
      <c r="AT1648" s="20" t="str">
        <f aca="false">HYPERLINK("https://www.google.iq/maps/search/+34.3557,45.2342/@34.3557,45.2342,14z?hl=en","Maplink2")</f>
        <v>Maplink2</v>
      </c>
      <c r="AU1648" s="20" t="str">
        <f aca="false">HYPERLINK("http://www.bing.com/maps/?lvl=14&amp;sty=h&amp;cp=34.3557~45.2342&amp;sp=point.34.3557_45.2342","Maplink3")</f>
        <v>Maplink3</v>
      </c>
    </row>
    <row r="1649" customFormat="false" ht="15" hidden="false" customHeight="true" outlineLevel="0" collapsed="false">
      <c r="A1649" s="15" t="n">
        <v>27296</v>
      </c>
      <c r="B1649" s="16" t="s">
        <v>20</v>
      </c>
      <c r="C1649" s="16" t="s">
        <v>3220</v>
      </c>
      <c r="D1649" s="16" t="s">
        <v>3254</v>
      </c>
      <c r="E1649" s="17" t="s">
        <v>3255</v>
      </c>
      <c r="F1649" s="16" t="n">
        <v>34.31496849</v>
      </c>
      <c r="G1649" s="16" t="n">
        <v>45.40294707</v>
      </c>
      <c r="H1649" s="18" t="n">
        <v>50</v>
      </c>
      <c r="I1649" s="18" t="n">
        <v>300</v>
      </c>
      <c r="J1649" s="19"/>
      <c r="K1649" s="19"/>
      <c r="L1649" s="19"/>
      <c r="M1649" s="19"/>
      <c r="N1649" s="19"/>
      <c r="O1649" s="19" t="n">
        <v>50</v>
      </c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 t="n">
        <v>5</v>
      </c>
      <c r="AD1649" s="19"/>
      <c r="AE1649" s="19"/>
      <c r="AF1649" s="19"/>
      <c r="AG1649" s="19"/>
      <c r="AH1649" s="19" t="n">
        <v>45</v>
      </c>
      <c r="AI1649" s="19"/>
      <c r="AJ1649" s="19"/>
      <c r="AK1649" s="19"/>
      <c r="AL1649" s="19"/>
      <c r="AM1649" s="19" t="n">
        <v>20</v>
      </c>
      <c r="AN1649" s="19" t="n">
        <v>30</v>
      </c>
      <c r="AO1649" s="19"/>
      <c r="AP1649" s="19"/>
      <c r="AQ1649" s="19"/>
      <c r="AR1649" s="19"/>
      <c r="AS1649" s="20" t="str">
        <f aca="false">HYPERLINK("http://www.openstreetmap.org/?mlat=34.315&amp;mlon=45.4029&amp;zoom=12#map=12/34.315/45.4029","Maplink1")</f>
        <v>Maplink1</v>
      </c>
      <c r="AT1649" s="20" t="str">
        <f aca="false">HYPERLINK("https://www.google.iq/maps/search/+34.315,45.4029/@34.315,45.4029,14z?hl=en","Maplink2")</f>
        <v>Maplink2</v>
      </c>
      <c r="AU1649" s="20" t="str">
        <f aca="false">HYPERLINK("http://www.bing.com/maps/?lvl=14&amp;sty=h&amp;cp=34.315~45.4029&amp;sp=point.34.315_45.4029","Maplink3")</f>
        <v>Maplink3</v>
      </c>
    </row>
    <row r="1650" customFormat="false" ht="15" hidden="false" customHeight="true" outlineLevel="0" collapsed="false">
      <c r="A1650" s="15" t="n">
        <v>27297</v>
      </c>
      <c r="B1650" s="16" t="s">
        <v>20</v>
      </c>
      <c r="C1650" s="16" t="s">
        <v>3220</v>
      </c>
      <c r="D1650" s="16" t="s">
        <v>3256</v>
      </c>
      <c r="E1650" s="17" t="s">
        <v>3257</v>
      </c>
      <c r="F1650" s="16" t="n">
        <v>34.31924925</v>
      </c>
      <c r="G1650" s="16" t="n">
        <v>45.40368826</v>
      </c>
      <c r="H1650" s="18" t="n">
        <v>60</v>
      </c>
      <c r="I1650" s="18" t="n">
        <v>360</v>
      </c>
      <c r="J1650" s="19"/>
      <c r="K1650" s="19"/>
      <c r="L1650" s="19"/>
      <c r="M1650" s="19"/>
      <c r="N1650" s="19"/>
      <c r="O1650" s="19" t="n">
        <v>60</v>
      </c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 t="n">
        <v>15</v>
      </c>
      <c r="AD1650" s="19"/>
      <c r="AE1650" s="19"/>
      <c r="AF1650" s="19"/>
      <c r="AG1650" s="19"/>
      <c r="AH1650" s="19" t="n">
        <v>35</v>
      </c>
      <c r="AI1650" s="19"/>
      <c r="AJ1650" s="19" t="n">
        <v>10</v>
      </c>
      <c r="AK1650" s="19"/>
      <c r="AL1650" s="19"/>
      <c r="AM1650" s="19" t="n">
        <v>30</v>
      </c>
      <c r="AN1650" s="19" t="n">
        <v>30</v>
      </c>
      <c r="AO1650" s="19"/>
      <c r="AP1650" s="19"/>
      <c r="AQ1650" s="19"/>
      <c r="AR1650" s="19"/>
      <c r="AS1650" s="20" t="str">
        <f aca="false">HYPERLINK("http://www.openstreetmap.org/?mlat=34.3192&amp;mlon=45.4037&amp;zoom=12#map=12/34.3192/45.4037","Maplink1")</f>
        <v>Maplink1</v>
      </c>
      <c r="AT1650" s="20" t="str">
        <f aca="false">HYPERLINK("https://www.google.iq/maps/search/+34.3192,45.4037/@34.3192,45.4037,14z?hl=en","Maplink2")</f>
        <v>Maplink2</v>
      </c>
      <c r="AU1650" s="20" t="str">
        <f aca="false">HYPERLINK("http://www.bing.com/maps/?lvl=14&amp;sty=h&amp;cp=34.3192~45.4037&amp;sp=point.34.3192_45.4037","Maplink3")</f>
        <v>Maplink3</v>
      </c>
    </row>
    <row r="1651" customFormat="false" ht="15" hidden="false" customHeight="true" outlineLevel="0" collapsed="false">
      <c r="A1651" s="15" t="n">
        <v>27298</v>
      </c>
      <c r="B1651" s="16" t="s">
        <v>20</v>
      </c>
      <c r="C1651" s="16" t="s">
        <v>3220</v>
      </c>
      <c r="D1651" s="16" t="s">
        <v>3258</v>
      </c>
      <c r="E1651" s="17" t="s">
        <v>3259</v>
      </c>
      <c r="F1651" s="16" t="n">
        <v>34.31978523</v>
      </c>
      <c r="G1651" s="16" t="n">
        <v>45.39996859</v>
      </c>
      <c r="H1651" s="18" t="n">
        <v>40</v>
      </c>
      <c r="I1651" s="18" t="n">
        <v>240</v>
      </c>
      <c r="J1651" s="19"/>
      <c r="K1651" s="19"/>
      <c r="L1651" s="19"/>
      <c r="M1651" s="19"/>
      <c r="N1651" s="19"/>
      <c r="O1651" s="19" t="n">
        <v>40</v>
      </c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 t="n">
        <v>40</v>
      </c>
      <c r="AI1651" s="19"/>
      <c r="AJ1651" s="19"/>
      <c r="AK1651" s="19"/>
      <c r="AL1651" s="19"/>
      <c r="AM1651" s="19" t="n">
        <v>20</v>
      </c>
      <c r="AN1651" s="19" t="n">
        <v>20</v>
      </c>
      <c r="AO1651" s="19"/>
      <c r="AP1651" s="19"/>
      <c r="AQ1651" s="19"/>
      <c r="AR1651" s="19"/>
      <c r="AS1651" s="20" t="str">
        <f aca="false">HYPERLINK("http://www.openstreetmap.org/?mlat=34.3198&amp;mlon=45.4&amp;zoom=12#map=12/34.3198/45.4","Maplink1")</f>
        <v>Maplink1</v>
      </c>
      <c r="AT1651" s="20" t="str">
        <f aca="false">HYPERLINK("https://www.google.iq/maps/search/+34.3198,45.4/@34.3198,45.4,14z?hl=en","Maplink2")</f>
        <v>Maplink2</v>
      </c>
      <c r="AU1651" s="20" t="str">
        <f aca="false">HYPERLINK("http://www.bing.com/maps/?lvl=14&amp;sty=h&amp;cp=34.3198~45.4&amp;sp=point.34.3198_45.4","Maplink3")</f>
        <v>Maplink3</v>
      </c>
    </row>
    <row r="1652" customFormat="false" ht="15" hidden="false" customHeight="true" outlineLevel="0" collapsed="false">
      <c r="A1652" s="15" t="n">
        <v>27299</v>
      </c>
      <c r="B1652" s="16" t="s">
        <v>20</v>
      </c>
      <c r="C1652" s="16" t="s">
        <v>3220</v>
      </c>
      <c r="D1652" s="16" t="s">
        <v>3260</v>
      </c>
      <c r="E1652" s="17" t="s">
        <v>3261</v>
      </c>
      <c r="F1652" s="16" t="n">
        <v>34.3469792</v>
      </c>
      <c r="G1652" s="16" t="n">
        <v>45.39096978</v>
      </c>
      <c r="H1652" s="18" t="n">
        <v>22</v>
      </c>
      <c r="I1652" s="18" t="n">
        <v>132</v>
      </c>
      <c r="J1652" s="19"/>
      <c r="K1652" s="19"/>
      <c r="L1652" s="19"/>
      <c r="M1652" s="19"/>
      <c r="N1652" s="19"/>
      <c r="O1652" s="19" t="n">
        <v>22</v>
      </c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 t="n">
        <v>22</v>
      </c>
      <c r="AI1652" s="19"/>
      <c r="AJ1652" s="19"/>
      <c r="AK1652" s="19"/>
      <c r="AL1652" s="19"/>
      <c r="AM1652" s="19" t="n">
        <v>15</v>
      </c>
      <c r="AN1652" s="19" t="n">
        <v>7</v>
      </c>
      <c r="AO1652" s="19"/>
      <c r="AP1652" s="19"/>
      <c r="AQ1652" s="19"/>
      <c r="AR1652" s="19"/>
      <c r="AS1652" s="20" t="str">
        <f aca="false">HYPERLINK("http://www.openstreetmap.org/?mlat=34.347&amp;mlon=45.391&amp;zoom=12#map=12/34.347/45.391","Maplink1")</f>
        <v>Maplink1</v>
      </c>
      <c r="AT1652" s="20" t="str">
        <f aca="false">HYPERLINK("https://www.google.iq/maps/search/+34.347,45.391/@34.347,45.391,14z?hl=en","Maplink2")</f>
        <v>Maplink2</v>
      </c>
      <c r="AU1652" s="20" t="str">
        <f aca="false">HYPERLINK("http://www.bing.com/maps/?lvl=14&amp;sty=h&amp;cp=34.347~45.391&amp;sp=point.34.347_45.391","Maplink3")</f>
        <v>Maplink3</v>
      </c>
    </row>
    <row r="1653" customFormat="false" ht="15" hidden="false" customHeight="true" outlineLevel="0" collapsed="false">
      <c r="A1653" s="15" t="n">
        <v>24387</v>
      </c>
      <c r="B1653" s="16" t="s">
        <v>20</v>
      </c>
      <c r="C1653" s="16" t="s">
        <v>3220</v>
      </c>
      <c r="D1653" s="16" t="s">
        <v>3262</v>
      </c>
      <c r="E1653" s="17" t="s">
        <v>3263</v>
      </c>
      <c r="F1653" s="16" t="n">
        <v>34.37829818</v>
      </c>
      <c r="G1653" s="16" t="n">
        <v>45.27641797</v>
      </c>
      <c r="H1653" s="18" t="n">
        <v>40</v>
      </c>
      <c r="I1653" s="18" t="n">
        <v>240</v>
      </c>
      <c r="J1653" s="19"/>
      <c r="K1653" s="19"/>
      <c r="L1653" s="19"/>
      <c r="M1653" s="19"/>
      <c r="N1653" s="19"/>
      <c r="O1653" s="19" t="n">
        <v>40</v>
      </c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 t="n">
        <v>18</v>
      </c>
      <c r="AD1653" s="19"/>
      <c r="AE1653" s="19"/>
      <c r="AF1653" s="19"/>
      <c r="AG1653" s="19"/>
      <c r="AH1653" s="19"/>
      <c r="AI1653" s="19"/>
      <c r="AJ1653" s="19" t="n">
        <v>22</v>
      </c>
      <c r="AK1653" s="19"/>
      <c r="AL1653" s="19"/>
      <c r="AM1653" s="19"/>
      <c r="AN1653" s="19" t="n">
        <v>40</v>
      </c>
      <c r="AO1653" s="19"/>
      <c r="AP1653" s="19"/>
      <c r="AQ1653" s="19"/>
      <c r="AR1653" s="19"/>
      <c r="AS1653" s="20" t="str">
        <f aca="false">HYPERLINK("http://www.openstreetmap.org/?mlat=34.3783&amp;mlon=45.2764&amp;zoom=12#map=12/34.3783/45.2764","Maplink1")</f>
        <v>Maplink1</v>
      </c>
      <c r="AT1653" s="20" t="str">
        <f aca="false">HYPERLINK("https://www.google.iq/maps/search/+34.3783,45.2764/@34.3783,45.2764,14z?hl=en","Maplink2")</f>
        <v>Maplink2</v>
      </c>
      <c r="AU1653" s="20" t="str">
        <f aca="false">HYPERLINK("http://www.bing.com/maps/?lvl=14&amp;sty=h&amp;cp=34.3783~45.2764&amp;sp=point.34.3783_45.2764","Maplink3")</f>
        <v>Maplink3</v>
      </c>
    </row>
    <row r="1654" customFormat="false" ht="15" hidden="false" customHeight="true" outlineLevel="0" collapsed="false">
      <c r="A1654" s="15" t="n">
        <v>25467</v>
      </c>
      <c r="B1654" s="16" t="s">
        <v>20</v>
      </c>
      <c r="C1654" s="16" t="s">
        <v>3220</v>
      </c>
      <c r="D1654" s="16" t="s">
        <v>3264</v>
      </c>
      <c r="E1654" s="17" t="s">
        <v>3265</v>
      </c>
      <c r="F1654" s="16" t="n">
        <v>34.33835342</v>
      </c>
      <c r="G1654" s="16" t="n">
        <v>45.39307712</v>
      </c>
      <c r="H1654" s="18" t="n">
        <v>70</v>
      </c>
      <c r="I1654" s="18" t="n">
        <v>420</v>
      </c>
      <c r="J1654" s="19"/>
      <c r="K1654" s="19"/>
      <c r="L1654" s="19"/>
      <c r="M1654" s="19"/>
      <c r="N1654" s="19"/>
      <c r="O1654" s="19" t="n">
        <v>70</v>
      </c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 t="n">
        <v>52</v>
      </c>
      <c r="AI1654" s="19"/>
      <c r="AJ1654" s="19" t="n">
        <v>18</v>
      </c>
      <c r="AK1654" s="19"/>
      <c r="AL1654" s="19"/>
      <c r="AM1654" s="19" t="n">
        <v>58</v>
      </c>
      <c r="AN1654" s="19" t="n">
        <v>12</v>
      </c>
      <c r="AO1654" s="19"/>
      <c r="AP1654" s="19"/>
      <c r="AQ1654" s="19"/>
      <c r="AR1654" s="19"/>
      <c r="AS1654" s="20" t="str">
        <f aca="false">HYPERLINK("http://www.openstreetmap.org/?mlat=34.3384&amp;mlon=45.3931&amp;zoom=12#map=12/34.3384/45.3931","Maplink1")</f>
        <v>Maplink1</v>
      </c>
      <c r="AT1654" s="20" t="str">
        <f aca="false">HYPERLINK("https://www.google.iq/maps/search/+34.3384,45.3931/@34.3384,45.3931,14z?hl=en","Maplink2")</f>
        <v>Maplink2</v>
      </c>
      <c r="AU1654" s="20" t="str">
        <f aca="false">HYPERLINK("http://www.bing.com/maps/?lvl=14&amp;sty=h&amp;cp=34.3384~45.3931&amp;sp=point.34.3384_45.3931","Maplink3")</f>
        <v>Maplink3</v>
      </c>
    </row>
    <row r="1655" customFormat="false" ht="15" hidden="false" customHeight="true" outlineLevel="0" collapsed="false">
      <c r="A1655" s="15" t="n">
        <v>24403</v>
      </c>
      <c r="B1655" s="16" t="s">
        <v>20</v>
      </c>
      <c r="C1655" s="16" t="s">
        <v>3220</v>
      </c>
      <c r="D1655" s="16" t="s">
        <v>3266</v>
      </c>
      <c r="E1655" s="17" t="s">
        <v>3267</v>
      </c>
      <c r="F1655" s="16" t="n">
        <v>34.3980465404</v>
      </c>
      <c r="G1655" s="16" t="n">
        <v>45.316886615</v>
      </c>
      <c r="H1655" s="18" t="n">
        <v>16</v>
      </c>
      <c r="I1655" s="18" t="n">
        <v>96</v>
      </c>
      <c r="J1655" s="19"/>
      <c r="K1655" s="19"/>
      <c r="L1655" s="19"/>
      <c r="M1655" s="19"/>
      <c r="N1655" s="19"/>
      <c r="O1655" s="19" t="n">
        <v>16</v>
      </c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 t="n">
        <v>16</v>
      </c>
      <c r="AK1655" s="19"/>
      <c r="AL1655" s="19"/>
      <c r="AM1655" s="19" t="n">
        <v>4</v>
      </c>
      <c r="AN1655" s="19" t="n">
        <v>12</v>
      </c>
      <c r="AO1655" s="19"/>
      <c r="AP1655" s="19"/>
      <c r="AQ1655" s="19"/>
      <c r="AR1655" s="19"/>
      <c r="AS1655" s="20" t="str">
        <f aca="false">HYPERLINK("http://www.openstreetmap.org/?mlat=34.398&amp;mlon=45.3169&amp;zoom=12#map=12/34.398/45.3169","Maplink1")</f>
        <v>Maplink1</v>
      </c>
      <c r="AT1655" s="20" t="str">
        <f aca="false">HYPERLINK("https://www.google.iq/maps/search/+34.398,45.3169/@34.398,45.3169,14z?hl=en","Maplink2")</f>
        <v>Maplink2</v>
      </c>
      <c r="AU1655" s="20" t="str">
        <f aca="false">HYPERLINK("http://www.bing.com/maps/?lvl=14&amp;sty=h&amp;cp=34.398~45.3169&amp;sp=point.34.398_45.3169","Maplink3")</f>
        <v>Maplink3</v>
      </c>
    </row>
    <row r="1656" customFormat="false" ht="15" hidden="false" customHeight="true" outlineLevel="0" collapsed="false">
      <c r="A1656" s="15" t="n">
        <v>24401</v>
      </c>
      <c r="B1656" s="16" t="s">
        <v>20</v>
      </c>
      <c r="C1656" s="16" t="s">
        <v>3220</v>
      </c>
      <c r="D1656" s="16" t="s">
        <v>3268</v>
      </c>
      <c r="E1656" s="17" t="s">
        <v>3269</v>
      </c>
      <c r="F1656" s="16" t="n">
        <v>34.36407218</v>
      </c>
      <c r="G1656" s="16" t="n">
        <v>45.23815962</v>
      </c>
      <c r="H1656" s="18" t="n">
        <v>32</v>
      </c>
      <c r="I1656" s="18" t="n">
        <v>192</v>
      </c>
      <c r="J1656" s="19"/>
      <c r="K1656" s="19"/>
      <c r="L1656" s="19"/>
      <c r="M1656" s="19"/>
      <c r="N1656" s="19"/>
      <c r="O1656" s="19" t="n">
        <v>32</v>
      </c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 t="n">
        <v>32</v>
      </c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 t="n">
        <v>15</v>
      </c>
      <c r="AN1656" s="19"/>
      <c r="AO1656" s="19" t="n">
        <v>17</v>
      </c>
      <c r="AP1656" s="19"/>
      <c r="AQ1656" s="19"/>
      <c r="AR1656" s="19"/>
      <c r="AS1656" s="20" t="str">
        <f aca="false">HYPERLINK("http://www.openstreetmap.org/?mlat=34.3641&amp;mlon=45.2382&amp;zoom=12#map=12/34.3641/45.2382","Maplink1")</f>
        <v>Maplink1</v>
      </c>
      <c r="AT1656" s="20" t="str">
        <f aca="false">HYPERLINK("https://www.google.iq/maps/search/+34.3641,45.2382/@34.3641,45.2382,14z?hl=en","Maplink2")</f>
        <v>Maplink2</v>
      </c>
      <c r="AU1656" s="20" t="str">
        <f aca="false">HYPERLINK("http://www.bing.com/maps/?lvl=14&amp;sty=h&amp;cp=34.3641~45.2382&amp;sp=point.34.3641_45.2382","Maplink3")</f>
        <v>Maplink3</v>
      </c>
    </row>
    <row r="1657" customFormat="false" ht="15" hidden="false" customHeight="true" outlineLevel="0" collapsed="false">
      <c r="A1657" s="15" t="n">
        <v>24394</v>
      </c>
      <c r="B1657" s="16" t="s">
        <v>20</v>
      </c>
      <c r="C1657" s="16" t="s">
        <v>3220</v>
      </c>
      <c r="D1657" s="16" t="s">
        <v>3270</v>
      </c>
      <c r="E1657" s="17" t="s">
        <v>3271</v>
      </c>
      <c r="F1657" s="16" t="n">
        <v>34.3092887529</v>
      </c>
      <c r="G1657" s="16" t="n">
        <v>45.3192874614</v>
      </c>
      <c r="H1657" s="18" t="n">
        <v>25</v>
      </c>
      <c r="I1657" s="18" t="n">
        <v>150</v>
      </c>
      <c r="J1657" s="19"/>
      <c r="K1657" s="19"/>
      <c r="L1657" s="19"/>
      <c r="M1657" s="19"/>
      <c r="N1657" s="19"/>
      <c r="O1657" s="19" t="n">
        <v>25</v>
      </c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 t="n">
        <v>20</v>
      </c>
      <c r="AD1657" s="19"/>
      <c r="AE1657" s="19"/>
      <c r="AF1657" s="19"/>
      <c r="AG1657" s="19"/>
      <c r="AH1657" s="19"/>
      <c r="AI1657" s="19"/>
      <c r="AJ1657" s="19" t="n">
        <v>5</v>
      </c>
      <c r="AK1657" s="19"/>
      <c r="AL1657" s="19"/>
      <c r="AM1657" s="19" t="n">
        <v>25</v>
      </c>
      <c r="AN1657" s="19"/>
      <c r="AO1657" s="19"/>
      <c r="AP1657" s="19"/>
      <c r="AQ1657" s="19"/>
      <c r="AR1657" s="19"/>
      <c r="AS1657" s="20" t="str">
        <f aca="false">HYPERLINK("http://www.openstreetmap.org/?mlat=34.3093&amp;mlon=45.3193&amp;zoom=12#map=12/34.3093/45.3193","Maplink1")</f>
        <v>Maplink1</v>
      </c>
      <c r="AT1657" s="20" t="str">
        <f aca="false">HYPERLINK("https://www.google.iq/maps/search/+34.3093,45.3193/@34.3093,45.3193,14z?hl=en","Maplink2")</f>
        <v>Maplink2</v>
      </c>
      <c r="AU1657" s="20" t="str">
        <f aca="false">HYPERLINK("http://www.bing.com/maps/?lvl=14&amp;sty=h&amp;cp=34.3093~45.3193&amp;sp=point.34.3093_45.3193","Maplink3")</f>
        <v>Maplink3</v>
      </c>
    </row>
    <row r="1658" customFormat="false" ht="15" hidden="false" customHeight="true" outlineLevel="0" collapsed="false">
      <c r="A1658" s="15" t="n">
        <v>25626</v>
      </c>
      <c r="B1658" s="16" t="s">
        <v>20</v>
      </c>
      <c r="C1658" s="16" t="s">
        <v>3220</v>
      </c>
      <c r="D1658" s="16" t="s">
        <v>3272</v>
      </c>
      <c r="E1658" s="17" t="s">
        <v>3273</v>
      </c>
      <c r="F1658" s="16" t="n">
        <v>34.3836435716</v>
      </c>
      <c r="G1658" s="16" t="n">
        <v>45.2636413828</v>
      </c>
      <c r="H1658" s="18" t="n">
        <v>7</v>
      </c>
      <c r="I1658" s="18" t="n">
        <v>42</v>
      </c>
      <c r="J1658" s="19"/>
      <c r="K1658" s="19"/>
      <c r="L1658" s="19"/>
      <c r="M1658" s="19"/>
      <c r="N1658" s="19"/>
      <c r="O1658" s="19" t="n">
        <v>7</v>
      </c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 t="n">
        <v>7</v>
      </c>
      <c r="AK1658" s="19"/>
      <c r="AL1658" s="19"/>
      <c r="AM1658" s="19" t="n">
        <v>7</v>
      </c>
      <c r="AN1658" s="19"/>
      <c r="AO1658" s="19"/>
      <c r="AP1658" s="19"/>
      <c r="AQ1658" s="19"/>
      <c r="AR1658" s="19"/>
      <c r="AS1658" s="20" t="str">
        <f aca="false">HYPERLINK("http://www.openstreetmap.org/?mlat=34.3836&amp;mlon=45.2636&amp;zoom=12#map=12/34.3836/45.2636","Maplink1")</f>
        <v>Maplink1</v>
      </c>
      <c r="AT1658" s="20" t="str">
        <f aca="false">HYPERLINK("https://www.google.iq/maps/search/+34.3836,45.2636/@34.3836,45.2636,14z?hl=en","Maplink2")</f>
        <v>Maplink2</v>
      </c>
      <c r="AU1658" s="20" t="str">
        <f aca="false">HYPERLINK("http://www.bing.com/maps/?lvl=14&amp;sty=h&amp;cp=34.3836~45.2636&amp;sp=point.34.3836_45.2636","Maplink3")</f>
        <v>Maplink3</v>
      </c>
    </row>
    <row r="1659" customFormat="false" ht="15" hidden="false" customHeight="true" outlineLevel="0" collapsed="false">
      <c r="A1659" s="15" t="n">
        <v>24410</v>
      </c>
      <c r="B1659" s="16" t="s">
        <v>20</v>
      </c>
      <c r="C1659" s="16" t="s">
        <v>3220</v>
      </c>
      <c r="D1659" s="16" t="s">
        <v>3274</v>
      </c>
      <c r="E1659" s="17" t="s">
        <v>3275</v>
      </c>
      <c r="F1659" s="16" t="n">
        <v>34.43560002</v>
      </c>
      <c r="G1659" s="16" t="n">
        <v>45.25519183</v>
      </c>
      <c r="H1659" s="18" t="n">
        <v>15</v>
      </c>
      <c r="I1659" s="18" t="n">
        <v>90</v>
      </c>
      <c r="J1659" s="19"/>
      <c r="K1659" s="19"/>
      <c r="L1659" s="19"/>
      <c r="M1659" s="19"/>
      <c r="N1659" s="19"/>
      <c r="O1659" s="19" t="n">
        <v>15</v>
      </c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 t="n">
        <v>5</v>
      </c>
      <c r="AD1659" s="19"/>
      <c r="AE1659" s="19"/>
      <c r="AF1659" s="19"/>
      <c r="AG1659" s="19"/>
      <c r="AH1659" s="19" t="n">
        <v>10</v>
      </c>
      <c r="AI1659" s="19"/>
      <c r="AJ1659" s="19"/>
      <c r="AK1659" s="19"/>
      <c r="AL1659" s="19"/>
      <c r="AM1659" s="19" t="n">
        <v>15</v>
      </c>
      <c r="AN1659" s="19"/>
      <c r="AO1659" s="19"/>
      <c r="AP1659" s="19"/>
      <c r="AQ1659" s="19"/>
      <c r="AR1659" s="19"/>
      <c r="AS1659" s="20" t="str">
        <f aca="false">HYPERLINK("http://www.openstreetmap.org/?mlat=34.4356&amp;mlon=45.2552&amp;zoom=12#map=12/34.4356/45.2552","Maplink1")</f>
        <v>Maplink1</v>
      </c>
      <c r="AT1659" s="20" t="str">
        <f aca="false">HYPERLINK("https://www.google.iq/maps/search/+34.4356,45.2552/@34.4356,45.2552,14z?hl=en","Maplink2")</f>
        <v>Maplink2</v>
      </c>
      <c r="AU1659" s="20" t="str">
        <f aca="false">HYPERLINK("http://www.bing.com/maps/?lvl=14&amp;sty=h&amp;cp=34.4356~45.2552&amp;sp=point.34.4356_45.2552","Maplink3")</f>
        <v>Maplink3</v>
      </c>
    </row>
    <row r="1660" customFormat="false" ht="15" hidden="false" customHeight="true" outlineLevel="0" collapsed="false">
      <c r="A1660" s="15" t="n">
        <v>24312</v>
      </c>
      <c r="B1660" s="16" t="s">
        <v>20</v>
      </c>
      <c r="C1660" s="16" t="s">
        <v>3220</v>
      </c>
      <c r="D1660" s="16" t="s">
        <v>3276</v>
      </c>
      <c r="E1660" s="17" t="s">
        <v>3277</v>
      </c>
      <c r="F1660" s="16" t="n">
        <v>34.34176676</v>
      </c>
      <c r="G1660" s="16" t="n">
        <v>45.36219444</v>
      </c>
      <c r="H1660" s="18" t="n">
        <v>125</v>
      </c>
      <c r="I1660" s="18" t="n">
        <v>750</v>
      </c>
      <c r="J1660" s="19" t="n">
        <v>2</v>
      </c>
      <c r="K1660" s="19"/>
      <c r="L1660" s="19"/>
      <c r="M1660" s="19"/>
      <c r="N1660" s="19"/>
      <c r="O1660" s="19" t="n">
        <v>121</v>
      </c>
      <c r="P1660" s="19"/>
      <c r="Q1660" s="19"/>
      <c r="R1660" s="19"/>
      <c r="S1660" s="19"/>
      <c r="T1660" s="19"/>
      <c r="U1660" s="19"/>
      <c r="V1660" s="19" t="n">
        <v>2</v>
      </c>
      <c r="W1660" s="19"/>
      <c r="X1660" s="19"/>
      <c r="Y1660" s="19"/>
      <c r="Z1660" s="19"/>
      <c r="AA1660" s="19"/>
      <c r="AB1660" s="19"/>
      <c r="AC1660" s="19" t="n">
        <v>4</v>
      </c>
      <c r="AD1660" s="19"/>
      <c r="AE1660" s="19"/>
      <c r="AF1660" s="19"/>
      <c r="AG1660" s="19"/>
      <c r="AH1660" s="19" t="n">
        <v>75</v>
      </c>
      <c r="AI1660" s="19"/>
      <c r="AJ1660" s="19" t="n">
        <v>46</v>
      </c>
      <c r="AK1660" s="19"/>
      <c r="AL1660" s="19" t="n">
        <v>2</v>
      </c>
      <c r="AM1660" s="19" t="n">
        <v>123</v>
      </c>
      <c r="AN1660" s="19"/>
      <c r="AO1660" s="19"/>
      <c r="AP1660" s="19"/>
      <c r="AQ1660" s="19"/>
      <c r="AR1660" s="19"/>
      <c r="AS1660" s="20" t="str">
        <f aca="false">HYPERLINK("http://www.openstreetmap.org/?mlat=34.3418&amp;mlon=45.3622&amp;zoom=12#map=12/34.3418/45.3622","Maplink1")</f>
        <v>Maplink1</v>
      </c>
      <c r="AT1660" s="20" t="str">
        <f aca="false">HYPERLINK("https://www.google.iq/maps/search/+34.3418,45.3622/@34.3418,45.3622,14z?hl=en","Maplink2")</f>
        <v>Maplink2</v>
      </c>
      <c r="AU1660" s="20" t="str">
        <f aca="false">HYPERLINK("http://www.bing.com/maps/?lvl=14&amp;sty=h&amp;cp=34.3418~45.3622&amp;sp=point.34.3418_45.3622","Maplink3")</f>
        <v>Maplink3</v>
      </c>
    </row>
    <row r="1661" customFormat="false" ht="15" hidden="false" customHeight="true" outlineLevel="0" collapsed="false">
      <c r="A1661" s="15" t="n">
        <v>10666</v>
      </c>
      <c r="B1661" s="16" t="s">
        <v>20</v>
      </c>
      <c r="C1661" s="16" t="s">
        <v>3220</v>
      </c>
      <c r="D1661" s="16" t="s">
        <v>3278</v>
      </c>
      <c r="E1661" s="17" t="s">
        <v>3279</v>
      </c>
      <c r="F1661" s="16" t="n">
        <v>34.3146359</v>
      </c>
      <c r="G1661" s="16" t="n">
        <v>45.38705189</v>
      </c>
      <c r="H1661" s="18" t="n">
        <v>40</v>
      </c>
      <c r="I1661" s="18" t="n">
        <v>240</v>
      </c>
      <c r="J1661" s="19"/>
      <c r="K1661" s="19"/>
      <c r="L1661" s="19"/>
      <c r="M1661" s="19"/>
      <c r="N1661" s="19"/>
      <c r="O1661" s="19" t="n">
        <v>40</v>
      </c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 t="n">
        <v>5</v>
      </c>
      <c r="AD1661" s="19"/>
      <c r="AE1661" s="19"/>
      <c r="AF1661" s="19"/>
      <c r="AG1661" s="19"/>
      <c r="AH1661" s="19" t="n">
        <v>2</v>
      </c>
      <c r="AI1661" s="19"/>
      <c r="AJ1661" s="19" t="n">
        <v>33</v>
      </c>
      <c r="AK1661" s="19"/>
      <c r="AL1661" s="19"/>
      <c r="AM1661" s="19" t="n">
        <v>40</v>
      </c>
      <c r="AN1661" s="19"/>
      <c r="AO1661" s="19"/>
      <c r="AP1661" s="19"/>
      <c r="AQ1661" s="19"/>
      <c r="AR1661" s="19"/>
      <c r="AS1661" s="20" t="str">
        <f aca="false">HYPERLINK("http://www.openstreetmap.org/?mlat=34.3146&amp;mlon=45.3871&amp;zoom=12#map=12/34.3146/45.3871","Maplink1")</f>
        <v>Maplink1</v>
      </c>
      <c r="AT1661" s="20" t="str">
        <f aca="false">HYPERLINK("https://www.google.iq/maps/search/+34.3146,45.3871/@34.3146,45.3871,14z?hl=en","Maplink2")</f>
        <v>Maplink2</v>
      </c>
      <c r="AU1661" s="20" t="str">
        <f aca="false">HYPERLINK("http://www.bing.com/maps/?lvl=14&amp;sty=h&amp;cp=34.3146~45.3871&amp;sp=point.34.3146_45.3871","Maplink3")</f>
        <v>Maplink3</v>
      </c>
    </row>
    <row r="1662" customFormat="false" ht="15" hidden="false" customHeight="true" outlineLevel="0" collapsed="false">
      <c r="A1662" s="15" t="n">
        <v>24409</v>
      </c>
      <c r="B1662" s="16" t="s">
        <v>20</v>
      </c>
      <c r="C1662" s="16" t="s">
        <v>3220</v>
      </c>
      <c r="D1662" s="16" t="s">
        <v>3280</v>
      </c>
      <c r="E1662" s="17" t="s">
        <v>3281</v>
      </c>
      <c r="F1662" s="16" t="n">
        <v>34.4794144242</v>
      </c>
      <c r="G1662" s="16" t="n">
        <v>45.2189848713</v>
      </c>
      <c r="H1662" s="18" t="n">
        <v>15</v>
      </c>
      <c r="I1662" s="18" t="n">
        <v>90</v>
      </c>
      <c r="J1662" s="19"/>
      <c r="K1662" s="19"/>
      <c r="L1662" s="19"/>
      <c r="M1662" s="19"/>
      <c r="N1662" s="19"/>
      <c r="O1662" s="19" t="n">
        <v>15</v>
      </c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 t="n">
        <v>12</v>
      </c>
      <c r="AD1662" s="19"/>
      <c r="AE1662" s="19"/>
      <c r="AF1662" s="19"/>
      <c r="AG1662" s="19"/>
      <c r="AH1662" s="19" t="n">
        <v>3</v>
      </c>
      <c r="AI1662" s="19"/>
      <c r="AJ1662" s="19"/>
      <c r="AK1662" s="19"/>
      <c r="AL1662" s="19"/>
      <c r="AM1662" s="19" t="n">
        <v>15</v>
      </c>
      <c r="AN1662" s="19"/>
      <c r="AO1662" s="19"/>
      <c r="AP1662" s="19"/>
      <c r="AQ1662" s="19"/>
      <c r="AR1662" s="19"/>
      <c r="AS1662" s="20" t="str">
        <f aca="false">HYPERLINK("http://www.openstreetmap.org/?mlat=34.4794&amp;mlon=45.219&amp;zoom=12#map=12/34.4794/45.219","Maplink1")</f>
        <v>Maplink1</v>
      </c>
      <c r="AT1662" s="20" t="str">
        <f aca="false">HYPERLINK("https://www.google.iq/maps/search/+34.4794,45.219/@34.4794,45.219,14z?hl=en","Maplink2")</f>
        <v>Maplink2</v>
      </c>
      <c r="AU1662" s="20" t="str">
        <f aca="false">HYPERLINK("http://www.bing.com/maps/?lvl=14&amp;sty=h&amp;cp=34.4794~45.219&amp;sp=point.34.4794_45.219","Maplink3")</f>
        <v>Maplink3</v>
      </c>
    </row>
    <row r="1663" customFormat="false" ht="15" hidden="false" customHeight="true" outlineLevel="0" collapsed="false">
      <c r="A1663" s="15" t="n">
        <v>25343</v>
      </c>
      <c r="B1663" s="16" t="s">
        <v>20</v>
      </c>
      <c r="C1663" s="16" t="s">
        <v>3220</v>
      </c>
      <c r="D1663" s="16" t="s">
        <v>3282</v>
      </c>
      <c r="E1663" s="17" t="s">
        <v>3283</v>
      </c>
      <c r="F1663" s="16" t="n">
        <v>34.33108295</v>
      </c>
      <c r="G1663" s="16" t="n">
        <v>45.38146575</v>
      </c>
      <c r="H1663" s="18" t="n">
        <v>52</v>
      </c>
      <c r="I1663" s="18" t="n">
        <v>312</v>
      </c>
      <c r="J1663" s="19"/>
      <c r="K1663" s="19"/>
      <c r="L1663" s="19"/>
      <c r="M1663" s="19"/>
      <c r="N1663" s="19"/>
      <c r="O1663" s="19" t="n">
        <v>52</v>
      </c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 t="n">
        <v>37</v>
      </c>
      <c r="AI1663" s="19"/>
      <c r="AJ1663" s="19" t="n">
        <v>15</v>
      </c>
      <c r="AK1663" s="19"/>
      <c r="AL1663" s="19"/>
      <c r="AM1663" s="19" t="n">
        <v>52</v>
      </c>
      <c r="AN1663" s="19"/>
      <c r="AO1663" s="19"/>
      <c r="AP1663" s="19"/>
      <c r="AQ1663" s="19"/>
      <c r="AR1663" s="19"/>
      <c r="AS1663" s="20" t="str">
        <f aca="false">HYPERLINK("http://www.openstreetmap.org/?mlat=34.3311&amp;mlon=45.3815&amp;zoom=12#map=12/34.3311/45.3815","Maplink1")</f>
        <v>Maplink1</v>
      </c>
      <c r="AT1663" s="20" t="str">
        <f aca="false">HYPERLINK("https://www.google.iq/maps/search/+34.3311,45.3815/@34.3311,45.3815,14z?hl=en","Maplink2")</f>
        <v>Maplink2</v>
      </c>
      <c r="AU1663" s="20" t="str">
        <f aca="false">HYPERLINK("http://www.bing.com/maps/?lvl=14&amp;sty=h&amp;cp=34.3311~45.3815&amp;sp=point.34.3311_45.3815","Maplink3")</f>
        <v>Maplink3</v>
      </c>
    </row>
    <row r="1664" customFormat="false" ht="15" hidden="false" customHeight="true" outlineLevel="0" collapsed="false">
      <c r="A1664" s="15" t="n">
        <v>24777</v>
      </c>
      <c r="B1664" s="16" t="s">
        <v>20</v>
      </c>
      <c r="C1664" s="16" t="s">
        <v>3220</v>
      </c>
      <c r="D1664" s="16" t="s">
        <v>3284</v>
      </c>
      <c r="E1664" s="17" t="s">
        <v>3285</v>
      </c>
      <c r="F1664" s="16" t="n">
        <v>34.32713885</v>
      </c>
      <c r="G1664" s="16" t="n">
        <v>45.44853037</v>
      </c>
      <c r="H1664" s="18" t="n">
        <v>800</v>
      </c>
      <c r="I1664" s="18" t="n">
        <v>4800</v>
      </c>
      <c r="J1664" s="19"/>
      <c r="K1664" s="19"/>
      <c r="L1664" s="19"/>
      <c r="M1664" s="19"/>
      <c r="N1664" s="19"/>
      <c r="O1664" s="19" t="n">
        <v>800</v>
      </c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 t="n">
        <v>800</v>
      </c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 t="n">
        <v>600</v>
      </c>
      <c r="AN1664" s="19" t="n">
        <v>200</v>
      </c>
      <c r="AO1664" s="19"/>
      <c r="AP1664" s="19"/>
      <c r="AQ1664" s="19"/>
      <c r="AR1664" s="19"/>
      <c r="AS1664" s="20" t="str">
        <f aca="false">HYPERLINK("http://www.openstreetmap.org/?mlat=34.3271&amp;mlon=45.4485&amp;zoom=12#map=12/34.3271/45.4485","Maplink1")</f>
        <v>Maplink1</v>
      </c>
      <c r="AT1664" s="20" t="str">
        <f aca="false">HYPERLINK("https://www.google.iq/maps/search/+34.3271,45.4485/@34.3271,45.4485,14z?hl=en","Maplink2")</f>
        <v>Maplink2</v>
      </c>
      <c r="AU1664" s="20" t="str">
        <f aca="false">HYPERLINK("http://www.bing.com/maps/?lvl=14&amp;sty=h&amp;cp=34.3271~45.4485&amp;sp=point.34.3271_45.4485","Maplink3")</f>
        <v>Maplink3</v>
      </c>
    </row>
    <row r="1665" customFormat="false" ht="15" hidden="false" customHeight="true" outlineLevel="0" collapsed="false">
      <c r="A1665" s="15" t="n">
        <v>24398</v>
      </c>
      <c r="B1665" s="16" t="s">
        <v>20</v>
      </c>
      <c r="C1665" s="16" t="s">
        <v>3220</v>
      </c>
      <c r="D1665" s="16" t="s">
        <v>3286</v>
      </c>
      <c r="E1665" s="17" t="s">
        <v>3287</v>
      </c>
      <c r="F1665" s="16" t="n">
        <v>34.35917137</v>
      </c>
      <c r="G1665" s="16" t="n">
        <v>45.26212038</v>
      </c>
      <c r="H1665" s="18" t="n">
        <v>40</v>
      </c>
      <c r="I1665" s="18" t="n">
        <v>240</v>
      </c>
      <c r="J1665" s="19"/>
      <c r="K1665" s="19"/>
      <c r="L1665" s="19"/>
      <c r="M1665" s="19"/>
      <c r="N1665" s="19"/>
      <c r="O1665" s="19" t="n">
        <v>40</v>
      </c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 t="n">
        <v>26</v>
      </c>
      <c r="AD1665" s="19"/>
      <c r="AE1665" s="19"/>
      <c r="AF1665" s="19"/>
      <c r="AG1665" s="19"/>
      <c r="AH1665" s="19"/>
      <c r="AI1665" s="19"/>
      <c r="AJ1665" s="19" t="n">
        <v>14</v>
      </c>
      <c r="AK1665" s="19"/>
      <c r="AL1665" s="19"/>
      <c r="AM1665" s="19" t="n">
        <v>40</v>
      </c>
      <c r="AN1665" s="19"/>
      <c r="AO1665" s="19"/>
      <c r="AP1665" s="19"/>
      <c r="AQ1665" s="19"/>
      <c r="AR1665" s="19"/>
      <c r="AS1665" s="20" t="str">
        <f aca="false">HYPERLINK("http://www.openstreetmap.org/?mlat=34.3592&amp;mlon=45.2621&amp;zoom=12#map=12/34.3592/45.2621","Maplink1")</f>
        <v>Maplink1</v>
      </c>
      <c r="AT1665" s="20" t="str">
        <f aca="false">HYPERLINK("https://www.google.iq/maps/search/+34.3592,45.2621/@34.3592,45.2621,14z?hl=en","Maplink2")</f>
        <v>Maplink2</v>
      </c>
      <c r="AU1665" s="20" t="str">
        <f aca="false">HYPERLINK("http://www.bing.com/maps/?lvl=14&amp;sty=h&amp;cp=34.3592~45.2621&amp;sp=point.34.3592_45.2621","Maplink3")</f>
        <v>Maplink3</v>
      </c>
    </row>
    <row r="1666" customFormat="false" ht="15" hidden="false" customHeight="true" outlineLevel="0" collapsed="false">
      <c r="A1666" s="15" t="n">
        <v>10530</v>
      </c>
      <c r="B1666" s="16" t="s">
        <v>20</v>
      </c>
      <c r="C1666" s="16" t="s">
        <v>3220</v>
      </c>
      <c r="D1666" s="16" t="s">
        <v>3288</v>
      </c>
      <c r="E1666" s="17" t="s">
        <v>3289</v>
      </c>
      <c r="F1666" s="16" t="n">
        <v>34.33002318</v>
      </c>
      <c r="G1666" s="16" t="n">
        <v>45.36320794</v>
      </c>
      <c r="H1666" s="18" t="n">
        <v>50</v>
      </c>
      <c r="I1666" s="18" t="n">
        <v>300</v>
      </c>
      <c r="J1666" s="19"/>
      <c r="K1666" s="19"/>
      <c r="L1666" s="19"/>
      <c r="M1666" s="19"/>
      <c r="N1666" s="19"/>
      <c r="O1666" s="19" t="n">
        <v>50</v>
      </c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 t="n">
        <v>10</v>
      </c>
      <c r="AD1666" s="19"/>
      <c r="AE1666" s="19"/>
      <c r="AF1666" s="19"/>
      <c r="AG1666" s="19"/>
      <c r="AH1666" s="19" t="n">
        <v>29</v>
      </c>
      <c r="AI1666" s="19"/>
      <c r="AJ1666" s="19" t="n">
        <v>11</v>
      </c>
      <c r="AK1666" s="19"/>
      <c r="AL1666" s="19"/>
      <c r="AM1666" s="19" t="n">
        <v>40</v>
      </c>
      <c r="AN1666" s="19" t="n">
        <v>10</v>
      </c>
      <c r="AO1666" s="19"/>
      <c r="AP1666" s="19"/>
      <c r="AQ1666" s="19"/>
      <c r="AR1666" s="19"/>
      <c r="AS1666" s="20" t="str">
        <f aca="false">HYPERLINK("http://www.openstreetmap.org/?mlat=34.33&amp;mlon=45.3632&amp;zoom=12#map=12/34.33/45.3632","Maplink1")</f>
        <v>Maplink1</v>
      </c>
      <c r="AT1666" s="20" t="str">
        <f aca="false">HYPERLINK("https://www.google.iq/maps/search/+34.33,45.3632/@34.33,45.3632,14z?hl=en","Maplink2")</f>
        <v>Maplink2</v>
      </c>
      <c r="AU1666" s="20" t="str">
        <f aca="false">HYPERLINK("http://www.bing.com/maps/?lvl=14&amp;sty=h&amp;cp=34.33~45.3632&amp;sp=point.34.33_45.3632","Maplink3")</f>
        <v>Maplink3</v>
      </c>
    </row>
    <row r="1667" customFormat="false" ht="15" hidden="false" customHeight="true" outlineLevel="0" collapsed="false">
      <c r="A1667" s="15" t="n">
        <v>24351</v>
      </c>
      <c r="B1667" s="16" t="s">
        <v>20</v>
      </c>
      <c r="C1667" s="16" t="s">
        <v>3220</v>
      </c>
      <c r="D1667" s="16" t="s">
        <v>3290</v>
      </c>
      <c r="E1667" s="17" t="s">
        <v>3291</v>
      </c>
      <c r="F1667" s="16" t="n">
        <v>34.34317388</v>
      </c>
      <c r="G1667" s="16" t="n">
        <v>45.38915182</v>
      </c>
      <c r="H1667" s="18" t="n">
        <v>100</v>
      </c>
      <c r="I1667" s="18" t="n">
        <v>600</v>
      </c>
      <c r="J1667" s="19"/>
      <c r="K1667" s="19"/>
      <c r="L1667" s="19"/>
      <c r="M1667" s="19"/>
      <c r="N1667" s="19"/>
      <c r="O1667" s="19" t="n">
        <v>100</v>
      </c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 t="n">
        <v>5</v>
      </c>
      <c r="AD1667" s="19"/>
      <c r="AE1667" s="19"/>
      <c r="AF1667" s="19"/>
      <c r="AG1667" s="19"/>
      <c r="AH1667" s="19" t="n">
        <v>80</v>
      </c>
      <c r="AI1667" s="19"/>
      <c r="AJ1667" s="19" t="n">
        <v>15</v>
      </c>
      <c r="AK1667" s="19"/>
      <c r="AL1667" s="19"/>
      <c r="AM1667" s="19" t="n">
        <v>100</v>
      </c>
      <c r="AN1667" s="19"/>
      <c r="AO1667" s="19"/>
      <c r="AP1667" s="19"/>
      <c r="AQ1667" s="19"/>
      <c r="AR1667" s="19"/>
      <c r="AS1667" s="20" t="str">
        <f aca="false">HYPERLINK("http://www.openstreetmap.org/?mlat=34.3432&amp;mlon=45.3892&amp;zoom=12#map=12/34.3432/45.3892","Maplink1")</f>
        <v>Maplink1</v>
      </c>
      <c r="AT1667" s="20" t="str">
        <f aca="false">HYPERLINK("https://www.google.iq/maps/search/+34.3432,45.3892/@34.3432,45.3892,14z?hl=en","Maplink2")</f>
        <v>Maplink2</v>
      </c>
      <c r="AU1667" s="20" t="str">
        <f aca="false">HYPERLINK("http://www.bing.com/maps/?lvl=14&amp;sty=h&amp;cp=34.3432~45.3892&amp;sp=point.34.3432_45.3892","Maplink3")</f>
        <v>Maplink3</v>
      </c>
    </row>
    <row r="1668" customFormat="false" ht="15" hidden="false" customHeight="true" outlineLevel="0" collapsed="false">
      <c r="A1668" s="15" t="n">
        <v>10528</v>
      </c>
      <c r="B1668" s="16" t="s">
        <v>20</v>
      </c>
      <c r="C1668" s="16" t="s">
        <v>3220</v>
      </c>
      <c r="D1668" s="16" t="s">
        <v>3292</v>
      </c>
      <c r="E1668" s="17" t="s">
        <v>3293</v>
      </c>
      <c r="F1668" s="16" t="n">
        <v>34.39597591</v>
      </c>
      <c r="G1668" s="16" t="n">
        <v>45.35249241</v>
      </c>
      <c r="H1668" s="18" t="n">
        <v>20</v>
      </c>
      <c r="I1668" s="18" t="n">
        <v>120</v>
      </c>
      <c r="J1668" s="19"/>
      <c r="K1668" s="19"/>
      <c r="L1668" s="19"/>
      <c r="M1668" s="19"/>
      <c r="N1668" s="19"/>
      <c r="O1668" s="19" t="n">
        <v>20</v>
      </c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 t="n">
        <v>8</v>
      </c>
      <c r="AD1668" s="19"/>
      <c r="AE1668" s="19"/>
      <c r="AF1668" s="19"/>
      <c r="AG1668" s="19"/>
      <c r="AH1668" s="19" t="n">
        <v>12</v>
      </c>
      <c r="AI1668" s="19"/>
      <c r="AJ1668" s="19"/>
      <c r="AK1668" s="19"/>
      <c r="AL1668" s="19"/>
      <c r="AM1668" s="19" t="n">
        <v>20</v>
      </c>
      <c r="AN1668" s="19"/>
      <c r="AO1668" s="19"/>
      <c r="AP1668" s="19"/>
      <c r="AQ1668" s="19"/>
      <c r="AR1668" s="19"/>
      <c r="AS1668" s="20" t="str">
        <f aca="false">HYPERLINK("http://www.openstreetmap.org/?mlat=34.396&amp;mlon=45.3525&amp;zoom=12#map=12/34.396/45.3525","Maplink1")</f>
        <v>Maplink1</v>
      </c>
      <c r="AT1668" s="20" t="str">
        <f aca="false">HYPERLINK("https://www.google.iq/maps/search/+34.396,45.3525/@34.396,45.3525,14z?hl=en","Maplink2")</f>
        <v>Maplink2</v>
      </c>
      <c r="AU1668" s="20" t="str">
        <f aca="false">HYPERLINK("http://www.bing.com/maps/?lvl=14&amp;sty=h&amp;cp=34.396~45.3525&amp;sp=point.34.396_45.3525","Maplink3")</f>
        <v>Maplink3</v>
      </c>
    </row>
    <row r="1669" customFormat="false" ht="15" hidden="false" customHeight="true" outlineLevel="0" collapsed="false">
      <c r="A1669" s="15" t="n">
        <v>25628</v>
      </c>
      <c r="B1669" s="16" t="s">
        <v>20</v>
      </c>
      <c r="C1669" s="16" t="s">
        <v>3220</v>
      </c>
      <c r="D1669" s="16" t="s">
        <v>3294</v>
      </c>
      <c r="E1669" s="17" t="s">
        <v>3295</v>
      </c>
      <c r="F1669" s="16" t="n">
        <v>34.3636402059</v>
      </c>
      <c r="G1669" s="16" t="n">
        <v>45.2784391402</v>
      </c>
      <c r="H1669" s="18" t="n">
        <v>1</v>
      </c>
      <c r="I1669" s="18" t="n">
        <v>6</v>
      </c>
      <c r="J1669" s="19"/>
      <c r="K1669" s="19"/>
      <c r="L1669" s="19"/>
      <c r="M1669" s="19"/>
      <c r="N1669" s="19"/>
      <c r="O1669" s="19" t="n">
        <v>1</v>
      </c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 t="n">
        <v>1</v>
      </c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 t="n">
        <v>1</v>
      </c>
      <c r="AN1669" s="19"/>
      <c r="AO1669" s="19"/>
      <c r="AP1669" s="19"/>
      <c r="AQ1669" s="19"/>
      <c r="AR1669" s="19"/>
      <c r="AS1669" s="20" t="str">
        <f aca="false">HYPERLINK("http://www.openstreetmap.org/?mlat=34.3636&amp;mlon=45.2784&amp;zoom=12#map=12/34.3636/45.2784","Maplink1")</f>
        <v>Maplink1</v>
      </c>
      <c r="AT1669" s="20" t="str">
        <f aca="false">HYPERLINK("https://www.google.iq/maps/search/+34.3636,45.2784/@34.3636,45.2784,14z?hl=en","Maplink2")</f>
        <v>Maplink2</v>
      </c>
      <c r="AU1669" s="20" t="str">
        <f aca="false">HYPERLINK("http://www.bing.com/maps/?lvl=14&amp;sty=h&amp;cp=34.3636~45.2784&amp;sp=point.34.3636_45.2784","Maplink3")</f>
        <v>Maplink3</v>
      </c>
    </row>
    <row r="1670" customFormat="false" ht="15" hidden="false" customHeight="true" outlineLevel="0" collapsed="false">
      <c r="A1670" s="15" t="n">
        <v>24402</v>
      </c>
      <c r="B1670" s="16" t="s">
        <v>20</v>
      </c>
      <c r="C1670" s="16" t="s">
        <v>3220</v>
      </c>
      <c r="D1670" s="16" t="s">
        <v>3296</v>
      </c>
      <c r="E1670" s="17" t="s">
        <v>3297</v>
      </c>
      <c r="F1670" s="16" t="n">
        <v>34.37456863</v>
      </c>
      <c r="G1670" s="16" t="n">
        <v>45.24897329</v>
      </c>
      <c r="H1670" s="18" t="n">
        <v>50</v>
      </c>
      <c r="I1670" s="18" t="n">
        <v>300</v>
      </c>
      <c r="J1670" s="19"/>
      <c r="K1670" s="19"/>
      <c r="L1670" s="19"/>
      <c r="M1670" s="19"/>
      <c r="N1670" s="19"/>
      <c r="O1670" s="19" t="n">
        <v>50</v>
      </c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 t="n">
        <v>50</v>
      </c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 t="n">
        <v>35</v>
      </c>
      <c r="AN1670" s="19" t="n">
        <v>15</v>
      </c>
      <c r="AO1670" s="19"/>
      <c r="AP1670" s="19"/>
      <c r="AQ1670" s="19"/>
      <c r="AR1670" s="19"/>
      <c r="AS1670" s="20" t="str">
        <f aca="false">HYPERLINK("http://www.openstreetmap.org/?mlat=34.3746&amp;mlon=45.249&amp;zoom=12#map=12/34.3746/45.249","Maplink1")</f>
        <v>Maplink1</v>
      </c>
      <c r="AT1670" s="20" t="str">
        <f aca="false">HYPERLINK("https://www.google.iq/maps/search/+34.3746,45.249/@34.3746,45.249,14z?hl=en","Maplink2")</f>
        <v>Maplink2</v>
      </c>
      <c r="AU1670" s="20" t="str">
        <f aca="false">HYPERLINK("http://www.bing.com/maps/?lvl=14&amp;sty=h&amp;cp=34.3746~45.249&amp;sp=point.34.3746_45.249","Maplink3")</f>
        <v>Maplink3</v>
      </c>
    </row>
    <row r="1671" customFormat="false" ht="15" hidden="false" customHeight="true" outlineLevel="0" collapsed="false">
      <c r="A1671" s="15" t="n">
        <v>10924</v>
      </c>
      <c r="B1671" s="16" t="s">
        <v>20</v>
      </c>
      <c r="C1671" s="16" t="s">
        <v>3220</v>
      </c>
      <c r="D1671" s="16" t="s">
        <v>3298</v>
      </c>
      <c r="E1671" s="17" t="s">
        <v>3299</v>
      </c>
      <c r="F1671" s="16" t="n">
        <v>34.32352909</v>
      </c>
      <c r="G1671" s="16" t="n">
        <v>45.41747717</v>
      </c>
      <c r="H1671" s="18" t="n">
        <v>50</v>
      </c>
      <c r="I1671" s="18" t="n">
        <v>300</v>
      </c>
      <c r="J1671" s="19"/>
      <c r="K1671" s="19"/>
      <c r="L1671" s="19"/>
      <c r="M1671" s="19"/>
      <c r="N1671" s="19"/>
      <c r="O1671" s="19" t="n">
        <v>50</v>
      </c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 t="n">
        <v>11</v>
      </c>
      <c r="AI1671" s="19"/>
      <c r="AJ1671" s="19" t="n">
        <v>39</v>
      </c>
      <c r="AK1671" s="19"/>
      <c r="AL1671" s="19"/>
      <c r="AM1671" s="19" t="n">
        <v>50</v>
      </c>
      <c r="AN1671" s="19"/>
      <c r="AO1671" s="19"/>
      <c r="AP1671" s="19"/>
      <c r="AQ1671" s="19"/>
      <c r="AR1671" s="19"/>
      <c r="AS1671" s="20" t="str">
        <f aca="false">HYPERLINK("http://www.openstreetmap.org/?mlat=34.3235&amp;mlon=45.4175&amp;zoom=12#map=12/34.3235/45.4175","Maplink1")</f>
        <v>Maplink1</v>
      </c>
      <c r="AT1671" s="20" t="str">
        <f aca="false">HYPERLINK("https://www.google.iq/maps/search/+34.3235,45.4175/@34.3235,45.4175,14z?hl=en","Maplink2")</f>
        <v>Maplink2</v>
      </c>
      <c r="AU1671" s="20" t="str">
        <f aca="false">HYPERLINK("http://www.bing.com/maps/?lvl=14&amp;sty=h&amp;cp=34.3235~45.4175&amp;sp=point.34.3235_45.4175","Maplink3")</f>
        <v>Maplink3</v>
      </c>
    </row>
    <row r="1672" customFormat="false" ht="15" hidden="false" customHeight="true" outlineLevel="0" collapsed="false">
      <c r="A1672" s="15" t="n">
        <v>25249</v>
      </c>
      <c r="B1672" s="16" t="s">
        <v>20</v>
      </c>
      <c r="C1672" s="16" t="s">
        <v>3220</v>
      </c>
      <c r="D1672" s="16" t="s">
        <v>3300</v>
      </c>
      <c r="E1672" s="17" t="s">
        <v>3301</v>
      </c>
      <c r="F1672" s="16" t="n">
        <v>34.35850962</v>
      </c>
      <c r="G1672" s="16" t="n">
        <v>45.3941221</v>
      </c>
      <c r="H1672" s="18" t="n">
        <v>40</v>
      </c>
      <c r="I1672" s="18" t="n">
        <v>240</v>
      </c>
      <c r="J1672" s="19"/>
      <c r="K1672" s="19"/>
      <c r="L1672" s="19"/>
      <c r="M1672" s="19"/>
      <c r="N1672" s="19"/>
      <c r="O1672" s="19" t="n">
        <v>40</v>
      </c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 t="n">
        <v>15</v>
      </c>
      <c r="AD1672" s="19"/>
      <c r="AE1672" s="19"/>
      <c r="AF1672" s="19"/>
      <c r="AG1672" s="19"/>
      <c r="AH1672" s="19" t="n">
        <v>25</v>
      </c>
      <c r="AI1672" s="19"/>
      <c r="AJ1672" s="19"/>
      <c r="AK1672" s="19"/>
      <c r="AL1672" s="19"/>
      <c r="AM1672" s="19" t="n">
        <v>40</v>
      </c>
      <c r="AN1672" s="19"/>
      <c r="AO1672" s="19"/>
      <c r="AP1672" s="19"/>
      <c r="AQ1672" s="19"/>
      <c r="AR1672" s="19"/>
      <c r="AS1672" s="20" t="str">
        <f aca="false">HYPERLINK("http://www.openstreetmap.org/?mlat=34.3585&amp;mlon=45.3941&amp;zoom=12#map=12/34.3585/45.3941","Maplink1")</f>
        <v>Maplink1</v>
      </c>
      <c r="AT1672" s="20" t="str">
        <f aca="false">HYPERLINK("https://www.google.iq/maps/search/+34.3585,45.3941/@34.3585,45.3941,14z?hl=en","Maplink2")</f>
        <v>Maplink2</v>
      </c>
      <c r="AU1672" s="20" t="str">
        <f aca="false">HYPERLINK("http://www.bing.com/maps/?lvl=14&amp;sty=h&amp;cp=34.3585~45.3941&amp;sp=point.34.3585_45.3941","Maplink3")</f>
        <v>Maplink3</v>
      </c>
    </row>
    <row r="1673" customFormat="false" ht="15" hidden="false" customHeight="true" outlineLevel="0" collapsed="false">
      <c r="A1673" s="15" t="n">
        <v>25250</v>
      </c>
      <c r="B1673" s="16" t="s">
        <v>20</v>
      </c>
      <c r="C1673" s="16" t="s">
        <v>3220</v>
      </c>
      <c r="D1673" s="16" t="s">
        <v>3302</v>
      </c>
      <c r="E1673" s="17" t="s">
        <v>3303</v>
      </c>
      <c r="F1673" s="16" t="n">
        <v>34.3606294</v>
      </c>
      <c r="G1673" s="16" t="n">
        <v>45.39088815</v>
      </c>
      <c r="H1673" s="18" t="n">
        <v>35</v>
      </c>
      <c r="I1673" s="18" t="n">
        <v>210</v>
      </c>
      <c r="J1673" s="19"/>
      <c r="K1673" s="19"/>
      <c r="L1673" s="19"/>
      <c r="M1673" s="19"/>
      <c r="N1673" s="19"/>
      <c r="O1673" s="19" t="n">
        <v>35</v>
      </c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 t="n">
        <v>33</v>
      </c>
      <c r="AI1673" s="19"/>
      <c r="AJ1673" s="19" t="n">
        <v>2</v>
      </c>
      <c r="AK1673" s="19"/>
      <c r="AL1673" s="19"/>
      <c r="AM1673" s="19" t="n">
        <v>35</v>
      </c>
      <c r="AN1673" s="19"/>
      <c r="AO1673" s="19"/>
      <c r="AP1673" s="19"/>
      <c r="AQ1673" s="19"/>
      <c r="AR1673" s="19"/>
      <c r="AS1673" s="20" t="str">
        <f aca="false">HYPERLINK("http://www.openstreetmap.org/?mlat=34.3606&amp;mlon=45.3909&amp;zoom=12#map=12/34.3606/45.3909","Maplink1")</f>
        <v>Maplink1</v>
      </c>
      <c r="AT1673" s="20" t="str">
        <f aca="false">HYPERLINK("https://www.google.iq/maps/search/+34.3606,45.3909/@34.3606,45.3909,14z?hl=en","Maplink2")</f>
        <v>Maplink2</v>
      </c>
      <c r="AU1673" s="20" t="str">
        <f aca="false">HYPERLINK("http://www.bing.com/maps/?lvl=14&amp;sty=h&amp;cp=34.3606~45.3909&amp;sp=point.34.3606_45.3909","Maplink3")</f>
        <v>Maplink3</v>
      </c>
    </row>
    <row r="1674" customFormat="false" ht="15" hidden="false" customHeight="true" outlineLevel="0" collapsed="false">
      <c r="A1674" s="15" t="n">
        <v>25818</v>
      </c>
      <c r="B1674" s="16" t="s">
        <v>20</v>
      </c>
      <c r="C1674" s="16" t="s">
        <v>3220</v>
      </c>
      <c r="D1674" s="16" t="s">
        <v>3304</v>
      </c>
      <c r="E1674" s="17" t="s">
        <v>3305</v>
      </c>
      <c r="F1674" s="16" t="n">
        <v>34.54417366</v>
      </c>
      <c r="G1674" s="16" t="n">
        <v>45.39100778</v>
      </c>
      <c r="H1674" s="18" t="n">
        <v>304</v>
      </c>
      <c r="I1674" s="18" t="n">
        <v>1824</v>
      </c>
      <c r="J1674" s="19" t="n">
        <v>146</v>
      </c>
      <c r="K1674" s="19"/>
      <c r="L1674" s="19" t="n">
        <v>3</v>
      </c>
      <c r="M1674" s="19"/>
      <c r="N1674" s="19"/>
      <c r="O1674" s="19" t="n">
        <v>155</v>
      </c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 t="n">
        <v>304</v>
      </c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 t="n">
        <v>22</v>
      </c>
      <c r="AM1674" s="19" t="n">
        <v>132</v>
      </c>
      <c r="AN1674" s="19"/>
      <c r="AO1674" s="19" t="n">
        <v>34</v>
      </c>
      <c r="AP1674" s="19" t="n">
        <v>107</v>
      </c>
      <c r="AQ1674" s="19" t="n">
        <v>9</v>
      </c>
      <c r="AR1674" s="19"/>
      <c r="AS1674" s="20" t="str">
        <f aca="false">HYPERLINK("http://www.openstreetmap.org/?mlat=34.5442&amp;mlon=45.391&amp;zoom=12#map=12/34.5442/45.391","Maplink1")</f>
        <v>Maplink1</v>
      </c>
      <c r="AT1674" s="20" t="str">
        <f aca="false">HYPERLINK("https://www.google.iq/maps/search/+34.5442,45.391/@34.5442,45.391,14z?hl=en","Maplink2")</f>
        <v>Maplink2</v>
      </c>
      <c r="AU1674" s="20" t="str">
        <f aca="false">HYPERLINK("http://www.bing.com/maps/?lvl=14&amp;sty=h&amp;cp=34.5442~45.391&amp;sp=point.34.5442_45.391","Maplink3")</f>
        <v>Maplink3</v>
      </c>
    </row>
    <row r="1675" customFormat="false" ht="15" hidden="false" customHeight="true" outlineLevel="0" collapsed="false">
      <c r="A1675" s="15" t="n">
        <v>24411</v>
      </c>
      <c r="B1675" s="16" t="s">
        <v>20</v>
      </c>
      <c r="C1675" s="16" t="s">
        <v>3220</v>
      </c>
      <c r="D1675" s="16" t="s">
        <v>3306</v>
      </c>
      <c r="E1675" s="17" t="s">
        <v>3307</v>
      </c>
      <c r="F1675" s="16" t="n">
        <v>34.42114463</v>
      </c>
      <c r="G1675" s="16" t="n">
        <v>45.28950934</v>
      </c>
      <c r="H1675" s="18" t="n">
        <v>40</v>
      </c>
      <c r="I1675" s="18" t="n">
        <v>240</v>
      </c>
      <c r="J1675" s="19"/>
      <c r="K1675" s="19"/>
      <c r="L1675" s="19"/>
      <c r="M1675" s="19"/>
      <c r="N1675" s="19"/>
      <c r="O1675" s="19" t="n">
        <v>40</v>
      </c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 t="n">
        <v>40</v>
      </c>
      <c r="AK1675" s="19"/>
      <c r="AL1675" s="19"/>
      <c r="AM1675" s="19" t="n">
        <v>40</v>
      </c>
      <c r="AN1675" s="19"/>
      <c r="AO1675" s="19"/>
      <c r="AP1675" s="19"/>
      <c r="AQ1675" s="19"/>
      <c r="AR1675" s="19"/>
      <c r="AS1675" s="20" t="str">
        <f aca="false">HYPERLINK("http://www.openstreetmap.org/?mlat=34.4211&amp;mlon=45.2895&amp;zoom=12#map=12/34.4211/45.2895","Maplink1")</f>
        <v>Maplink1</v>
      </c>
      <c r="AT1675" s="20" t="str">
        <f aca="false">HYPERLINK("https://www.google.iq/maps/search/+34.4211,45.2895/@34.4211,45.2895,14z?hl=en","Maplink2")</f>
        <v>Maplink2</v>
      </c>
      <c r="AU1675" s="20" t="str">
        <f aca="false">HYPERLINK("http://www.bing.com/maps/?lvl=14&amp;sty=h&amp;cp=34.4211~45.2895&amp;sp=point.34.4211_45.2895","Maplink3")</f>
        <v>Maplink3</v>
      </c>
    </row>
    <row r="1676" customFormat="false" ht="15" hidden="false" customHeight="true" outlineLevel="0" collapsed="false">
      <c r="A1676" s="15" t="n">
        <v>10511</v>
      </c>
      <c r="B1676" s="16" t="s">
        <v>20</v>
      </c>
      <c r="C1676" s="16" t="s">
        <v>3220</v>
      </c>
      <c r="D1676" s="16" t="s">
        <v>3308</v>
      </c>
      <c r="E1676" s="17" t="s">
        <v>3309</v>
      </c>
      <c r="F1676" s="16" t="n">
        <v>34.3708578164</v>
      </c>
      <c r="G1676" s="16" t="n">
        <v>45.2763846544</v>
      </c>
      <c r="H1676" s="18" t="n">
        <v>3</v>
      </c>
      <c r="I1676" s="18" t="n">
        <v>18</v>
      </c>
      <c r="J1676" s="19"/>
      <c r="K1676" s="19"/>
      <c r="L1676" s="19"/>
      <c r="M1676" s="19"/>
      <c r="N1676" s="19"/>
      <c r="O1676" s="19" t="n">
        <v>3</v>
      </c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 t="n">
        <v>3</v>
      </c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 t="n">
        <v>3</v>
      </c>
      <c r="AN1676" s="19"/>
      <c r="AO1676" s="19"/>
      <c r="AP1676" s="19"/>
      <c r="AQ1676" s="19"/>
      <c r="AR1676" s="19"/>
      <c r="AS1676" s="20" t="str">
        <f aca="false">HYPERLINK("http://www.openstreetmap.org/?mlat=34.3709&amp;mlon=45.2764&amp;zoom=12#map=12/34.3709/45.2764","Maplink1")</f>
        <v>Maplink1</v>
      </c>
      <c r="AT1676" s="20" t="str">
        <f aca="false">HYPERLINK("https://www.google.iq/maps/search/+34.3709,45.2764/@34.3709,45.2764,14z?hl=en","Maplink2")</f>
        <v>Maplink2</v>
      </c>
      <c r="AU1676" s="20" t="str">
        <f aca="false">HYPERLINK("http://www.bing.com/maps/?lvl=14&amp;sty=h&amp;cp=34.3709~45.2764&amp;sp=point.34.3709_45.2764","Maplink3")</f>
        <v>Maplink3</v>
      </c>
    </row>
    <row r="1677" customFormat="false" ht="15" hidden="false" customHeight="true" outlineLevel="0" collapsed="false">
      <c r="A1677" s="15" t="n">
        <v>25247</v>
      </c>
      <c r="B1677" s="16" t="s">
        <v>20</v>
      </c>
      <c r="C1677" s="16" t="s">
        <v>3220</v>
      </c>
      <c r="D1677" s="16" t="s">
        <v>3310</v>
      </c>
      <c r="E1677" s="17" t="s">
        <v>3311</v>
      </c>
      <c r="F1677" s="16" t="n">
        <v>34.32108606</v>
      </c>
      <c r="G1677" s="16" t="n">
        <v>45.38210908</v>
      </c>
      <c r="H1677" s="18" t="n">
        <v>35</v>
      </c>
      <c r="I1677" s="18" t="n">
        <v>210</v>
      </c>
      <c r="J1677" s="19"/>
      <c r="K1677" s="19"/>
      <c r="L1677" s="19"/>
      <c r="M1677" s="19"/>
      <c r="N1677" s="19"/>
      <c r="O1677" s="19" t="n">
        <v>35</v>
      </c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 t="n">
        <v>8</v>
      </c>
      <c r="AI1677" s="19"/>
      <c r="AJ1677" s="19" t="n">
        <v>27</v>
      </c>
      <c r="AK1677" s="19"/>
      <c r="AL1677" s="19"/>
      <c r="AM1677" s="19" t="n">
        <v>35</v>
      </c>
      <c r="AN1677" s="19"/>
      <c r="AO1677" s="19"/>
      <c r="AP1677" s="19"/>
      <c r="AQ1677" s="19"/>
      <c r="AR1677" s="19"/>
      <c r="AS1677" s="20" t="str">
        <f aca="false">HYPERLINK("http://www.openstreetmap.org/?mlat=34.3211&amp;mlon=45.3821&amp;zoom=12#map=12/34.3211/45.3821","Maplink1")</f>
        <v>Maplink1</v>
      </c>
      <c r="AT1677" s="20" t="str">
        <f aca="false">HYPERLINK("https://www.google.iq/maps/search/+34.3211,45.3821/@34.3211,45.3821,14z?hl=en","Maplink2")</f>
        <v>Maplink2</v>
      </c>
      <c r="AU1677" s="20" t="str">
        <f aca="false">HYPERLINK("http://www.bing.com/maps/?lvl=14&amp;sty=h&amp;cp=34.3211~45.3821&amp;sp=point.34.3211_45.3821","Maplink3")</f>
        <v>Maplink3</v>
      </c>
    </row>
    <row r="1678" customFormat="false" ht="15" hidden="false" customHeight="true" outlineLevel="0" collapsed="false">
      <c r="A1678" s="15" t="n">
        <v>25248</v>
      </c>
      <c r="B1678" s="16" t="s">
        <v>20</v>
      </c>
      <c r="C1678" s="16" t="s">
        <v>3220</v>
      </c>
      <c r="D1678" s="16" t="s">
        <v>3312</v>
      </c>
      <c r="E1678" s="17" t="s">
        <v>3313</v>
      </c>
      <c r="F1678" s="16" t="n">
        <v>34.31671836</v>
      </c>
      <c r="G1678" s="16" t="n">
        <v>45.38444819</v>
      </c>
      <c r="H1678" s="18" t="n">
        <v>30</v>
      </c>
      <c r="I1678" s="18" t="n">
        <v>180</v>
      </c>
      <c r="J1678" s="19"/>
      <c r="K1678" s="19"/>
      <c r="L1678" s="19"/>
      <c r="M1678" s="19"/>
      <c r="N1678" s="19"/>
      <c r="O1678" s="19" t="n">
        <v>30</v>
      </c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 t="n">
        <v>10</v>
      </c>
      <c r="AI1678" s="19"/>
      <c r="AJ1678" s="19" t="n">
        <v>20</v>
      </c>
      <c r="AK1678" s="19"/>
      <c r="AL1678" s="19"/>
      <c r="AM1678" s="19" t="n">
        <v>30</v>
      </c>
      <c r="AN1678" s="19"/>
      <c r="AO1678" s="19"/>
      <c r="AP1678" s="19"/>
      <c r="AQ1678" s="19"/>
      <c r="AR1678" s="19"/>
      <c r="AS1678" s="20" t="str">
        <f aca="false">HYPERLINK("http://www.openstreetmap.org/?mlat=34.3167&amp;mlon=45.3844&amp;zoom=12#map=12/34.3167/45.3844","Maplink1")</f>
        <v>Maplink1</v>
      </c>
      <c r="AT1678" s="20" t="str">
        <f aca="false">HYPERLINK("https://www.google.iq/maps/search/+34.3167,45.3844/@34.3167,45.3844,14z?hl=en","Maplink2")</f>
        <v>Maplink2</v>
      </c>
      <c r="AU1678" s="20" t="str">
        <f aca="false">HYPERLINK("http://www.bing.com/maps/?lvl=14&amp;sty=h&amp;cp=34.3167~45.3844&amp;sp=point.34.3167_45.3844","Maplink3")</f>
        <v>Maplink3</v>
      </c>
    </row>
    <row r="1679" customFormat="false" ht="15" hidden="false" customHeight="true" outlineLevel="0" collapsed="false">
      <c r="A1679" s="15" t="n">
        <v>10403</v>
      </c>
      <c r="B1679" s="16" t="s">
        <v>20</v>
      </c>
      <c r="C1679" s="16" t="s">
        <v>3220</v>
      </c>
      <c r="D1679" s="16" t="s">
        <v>3314</v>
      </c>
      <c r="E1679" s="17" t="s">
        <v>3315</v>
      </c>
      <c r="F1679" s="16" t="n">
        <v>34.57227693</v>
      </c>
      <c r="G1679" s="16" t="n">
        <v>45.33926212</v>
      </c>
      <c r="H1679" s="18" t="n">
        <v>208</v>
      </c>
      <c r="I1679" s="18" t="n">
        <v>1248</v>
      </c>
      <c r="J1679" s="19" t="n">
        <v>30</v>
      </c>
      <c r="K1679" s="19"/>
      <c r="L1679" s="19" t="n">
        <v>4</v>
      </c>
      <c r="M1679" s="19"/>
      <c r="N1679" s="19"/>
      <c r="O1679" s="19" t="n">
        <v>174</v>
      </c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 t="n">
        <v>208</v>
      </c>
      <c r="AI1679" s="19"/>
      <c r="AJ1679" s="19"/>
      <c r="AK1679" s="19"/>
      <c r="AL1679" s="19"/>
      <c r="AM1679" s="19" t="n">
        <v>114</v>
      </c>
      <c r="AN1679" s="19" t="n">
        <v>30</v>
      </c>
      <c r="AO1679" s="19" t="n">
        <v>51</v>
      </c>
      <c r="AP1679" s="19" t="n">
        <v>10</v>
      </c>
      <c r="AQ1679" s="19" t="n">
        <v>3</v>
      </c>
      <c r="AR1679" s="19"/>
      <c r="AS1679" s="20" t="str">
        <f aca="false">HYPERLINK("http://www.openstreetmap.org/?mlat=34.5723&amp;mlon=45.3393&amp;zoom=12#map=12/34.5723/45.3393","Maplink1")</f>
        <v>Maplink1</v>
      </c>
      <c r="AT1679" s="20" t="str">
        <f aca="false">HYPERLINK("https://www.google.iq/maps/search/+34.5723,45.3393/@34.5723,45.3393,14z?hl=en","Maplink2")</f>
        <v>Maplink2</v>
      </c>
      <c r="AU1679" s="20" t="str">
        <f aca="false">HYPERLINK("http://www.bing.com/maps/?lvl=14&amp;sty=h&amp;cp=34.5723~45.3393&amp;sp=point.34.5723_45.3393","Maplink3")</f>
        <v>Maplink3</v>
      </c>
    </row>
    <row r="1680" customFormat="false" ht="15" hidden="false" customHeight="true" outlineLevel="0" collapsed="false">
      <c r="A1680" s="15" t="n">
        <v>24509</v>
      </c>
      <c r="B1680" s="16" t="s">
        <v>20</v>
      </c>
      <c r="C1680" s="16" t="s">
        <v>3220</v>
      </c>
      <c r="D1680" s="16" t="s">
        <v>3316</v>
      </c>
      <c r="E1680" s="17" t="s">
        <v>3317</v>
      </c>
      <c r="F1680" s="16" t="n">
        <v>34.35003552</v>
      </c>
      <c r="G1680" s="16" t="n">
        <v>45.29932424</v>
      </c>
      <c r="H1680" s="18" t="n">
        <v>23</v>
      </c>
      <c r="I1680" s="18" t="n">
        <v>138</v>
      </c>
      <c r="J1680" s="19"/>
      <c r="K1680" s="19"/>
      <c r="L1680" s="19"/>
      <c r="M1680" s="19"/>
      <c r="N1680" s="19"/>
      <c r="O1680" s="19" t="n">
        <v>23</v>
      </c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 t="n">
        <v>10</v>
      </c>
      <c r="AI1680" s="19"/>
      <c r="AJ1680" s="19" t="n">
        <v>13</v>
      </c>
      <c r="AK1680" s="19"/>
      <c r="AL1680" s="19"/>
      <c r="AM1680" s="19" t="n">
        <v>10</v>
      </c>
      <c r="AN1680" s="19" t="n">
        <v>13</v>
      </c>
      <c r="AO1680" s="19"/>
      <c r="AP1680" s="19"/>
      <c r="AQ1680" s="19"/>
      <c r="AR1680" s="19"/>
      <c r="AS1680" s="20" t="str">
        <f aca="false">HYPERLINK("http://www.openstreetmap.org/?mlat=34.35&amp;mlon=45.2993&amp;zoom=12#map=12/34.35/45.2993","Maplink1")</f>
        <v>Maplink1</v>
      </c>
      <c r="AT1680" s="20" t="str">
        <f aca="false">HYPERLINK("https://www.google.iq/maps/search/+34.35,45.2993/@34.35,45.2993,14z?hl=en","Maplink2")</f>
        <v>Maplink2</v>
      </c>
      <c r="AU1680" s="20" t="str">
        <f aca="false">HYPERLINK("http://www.bing.com/maps/?lvl=14&amp;sty=h&amp;cp=34.35~45.2993&amp;sp=point.34.35_45.2993","Maplink3")</f>
        <v>Maplink3</v>
      </c>
    </row>
    <row r="1681" customFormat="false" ht="15" hidden="false" customHeight="true" outlineLevel="0" collapsed="false">
      <c r="A1681" s="15" t="n">
        <v>24385</v>
      </c>
      <c r="B1681" s="16" t="s">
        <v>20</v>
      </c>
      <c r="C1681" s="16" t="s">
        <v>3220</v>
      </c>
      <c r="D1681" s="16" t="s">
        <v>3318</v>
      </c>
      <c r="E1681" s="17" t="s">
        <v>3319</v>
      </c>
      <c r="F1681" s="16" t="n">
        <v>34.3883325</v>
      </c>
      <c r="G1681" s="16" t="n">
        <v>45.30169634</v>
      </c>
      <c r="H1681" s="18" t="n">
        <v>8</v>
      </c>
      <c r="I1681" s="18" t="n">
        <v>48</v>
      </c>
      <c r="J1681" s="19"/>
      <c r="K1681" s="19"/>
      <c r="L1681" s="19"/>
      <c r="M1681" s="19"/>
      <c r="N1681" s="19"/>
      <c r="O1681" s="19" t="n">
        <v>8</v>
      </c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 t="n">
        <v>8</v>
      </c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 t="n">
        <v>5</v>
      </c>
      <c r="AN1681" s="19" t="n">
        <v>3</v>
      </c>
      <c r="AO1681" s="19"/>
      <c r="AP1681" s="19"/>
      <c r="AQ1681" s="19"/>
      <c r="AR1681" s="19"/>
      <c r="AS1681" s="20" t="str">
        <f aca="false">HYPERLINK("http://www.openstreetmap.org/?mlat=34.3883&amp;mlon=45.3017&amp;zoom=12#map=12/34.3883/45.3017","Maplink1")</f>
        <v>Maplink1</v>
      </c>
      <c r="AT1681" s="20" t="str">
        <f aca="false">HYPERLINK("https://www.google.iq/maps/search/+34.3883,45.3017/@34.3883,45.3017,14z?hl=en","Maplink2")</f>
        <v>Maplink2</v>
      </c>
      <c r="AU1681" s="20" t="str">
        <f aca="false">HYPERLINK("http://www.bing.com/maps/?lvl=14&amp;sty=h&amp;cp=34.3883~45.3017&amp;sp=point.34.3883_45.3017","Maplink3")</f>
        <v>Maplink3</v>
      </c>
    </row>
    <row r="1682" customFormat="false" ht="15" hidden="false" customHeight="true" outlineLevel="0" collapsed="false">
      <c r="A1682" s="15" t="n">
        <v>24392</v>
      </c>
      <c r="B1682" s="16" t="s">
        <v>20</v>
      </c>
      <c r="C1682" s="16" t="s">
        <v>3220</v>
      </c>
      <c r="D1682" s="16" t="s">
        <v>3320</v>
      </c>
      <c r="E1682" s="17" t="s">
        <v>3321</v>
      </c>
      <c r="F1682" s="16" t="n">
        <v>34.3569105</v>
      </c>
      <c r="G1682" s="16" t="n">
        <v>45.33790839</v>
      </c>
      <c r="H1682" s="18" t="n">
        <v>60</v>
      </c>
      <c r="I1682" s="18" t="n">
        <v>360</v>
      </c>
      <c r="J1682" s="19"/>
      <c r="K1682" s="19"/>
      <c r="L1682" s="19"/>
      <c r="M1682" s="19"/>
      <c r="N1682" s="19"/>
      <c r="O1682" s="19" t="n">
        <v>60</v>
      </c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 t="n">
        <v>60</v>
      </c>
      <c r="AL1682" s="19"/>
      <c r="AM1682" s="19" t="n">
        <v>60</v>
      </c>
      <c r="AN1682" s="19"/>
      <c r="AO1682" s="19"/>
      <c r="AP1682" s="19"/>
      <c r="AQ1682" s="19"/>
      <c r="AR1682" s="19"/>
      <c r="AS1682" s="20" t="str">
        <f aca="false">HYPERLINK("http://www.openstreetmap.org/?mlat=34.3569&amp;mlon=45.3379&amp;zoom=12#map=12/34.3569/45.3379","Maplink1")</f>
        <v>Maplink1</v>
      </c>
      <c r="AT1682" s="20" t="str">
        <f aca="false">HYPERLINK("https://www.google.iq/maps/search/+34.3569,45.3379/@34.3569,45.3379,14z?hl=en","Maplink2")</f>
        <v>Maplink2</v>
      </c>
      <c r="AU1682" s="20" t="str">
        <f aca="false">HYPERLINK("http://www.bing.com/maps/?lvl=14&amp;sty=h&amp;cp=34.3569~45.3379&amp;sp=point.34.3569_45.3379","Maplink3")</f>
        <v>Maplink3</v>
      </c>
    </row>
    <row r="1683" customFormat="false" ht="15" hidden="false" customHeight="true" outlineLevel="0" collapsed="false">
      <c r="A1683" s="15" t="n">
        <v>24408</v>
      </c>
      <c r="B1683" s="16" t="s">
        <v>20</v>
      </c>
      <c r="C1683" s="16" t="s">
        <v>3220</v>
      </c>
      <c r="D1683" s="16" t="s">
        <v>3322</v>
      </c>
      <c r="E1683" s="17" t="s">
        <v>3323</v>
      </c>
      <c r="F1683" s="16" t="n">
        <v>34.38841664</v>
      </c>
      <c r="G1683" s="16" t="n">
        <v>45.22000526</v>
      </c>
      <c r="H1683" s="18" t="n">
        <v>12</v>
      </c>
      <c r="I1683" s="18" t="n">
        <v>72</v>
      </c>
      <c r="J1683" s="19"/>
      <c r="K1683" s="19"/>
      <c r="L1683" s="19"/>
      <c r="M1683" s="19"/>
      <c r="N1683" s="19"/>
      <c r="O1683" s="19" t="n">
        <v>12</v>
      </c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 t="n">
        <v>12</v>
      </c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 t="n">
        <v>12</v>
      </c>
      <c r="AN1683" s="19"/>
      <c r="AO1683" s="19"/>
      <c r="AP1683" s="19"/>
      <c r="AQ1683" s="19"/>
      <c r="AR1683" s="19"/>
      <c r="AS1683" s="20" t="str">
        <f aca="false">HYPERLINK("http://www.openstreetmap.org/?mlat=34.3884&amp;mlon=45.22&amp;zoom=12#map=12/34.3884/45.22","Maplink1")</f>
        <v>Maplink1</v>
      </c>
      <c r="AT1683" s="20" t="str">
        <f aca="false">HYPERLINK("https://www.google.iq/maps/search/+34.3884,45.22/@34.3884,45.22,14z?hl=en","Maplink2")</f>
        <v>Maplink2</v>
      </c>
      <c r="AU1683" s="20" t="str">
        <f aca="false">HYPERLINK("http://www.bing.com/maps/?lvl=14&amp;sty=h&amp;cp=34.3884~45.22&amp;sp=point.34.3884_45.22","Maplink3")</f>
        <v>Maplink3</v>
      </c>
    </row>
    <row r="1684" customFormat="false" ht="15" hidden="false" customHeight="true" outlineLevel="0" collapsed="false">
      <c r="A1684" s="15" t="n">
        <v>25342</v>
      </c>
      <c r="B1684" s="16" t="s">
        <v>20</v>
      </c>
      <c r="C1684" s="16" t="s">
        <v>3220</v>
      </c>
      <c r="D1684" s="16" t="s">
        <v>3324</v>
      </c>
      <c r="E1684" s="17" t="s">
        <v>3325</v>
      </c>
      <c r="F1684" s="16" t="n">
        <v>34.3508032766</v>
      </c>
      <c r="G1684" s="16" t="n">
        <v>45.4155243203</v>
      </c>
      <c r="H1684" s="18" t="n">
        <v>50</v>
      </c>
      <c r="I1684" s="18" t="n">
        <v>300</v>
      </c>
      <c r="J1684" s="19"/>
      <c r="K1684" s="19"/>
      <c r="L1684" s="19"/>
      <c r="M1684" s="19"/>
      <c r="N1684" s="19"/>
      <c r="O1684" s="19" t="n">
        <v>50</v>
      </c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 t="n">
        <v>20</v>
      </c>
      <c r="AI1684" s="19"/>
      <c r="AJ1684" s="19" t="n">
        <v>30</v>
      </c>
      <c r="AK1684" s="19"/>
      <c r="AL1684" s="19"/>
      <c r="AM1684" s="19" t="n">
        <v>50</v>
      </c>
      <c r="AN1684" s="19"/>
      <c r="AO1684" s="19"/>
      <c r="AP1684" s="19"/>
      <c r="AQ1684" s="19"/>
      <c r="AR1684" s="19"/>
      <c r="AS1684" s="20" t="str">
        <f aca="false">HYPERLINK("http://www.openstreetmap.org/?mlat=34.3508&amp;mlon=45.4155&amp;zoom=12#map=12/34.3508/45.4155","Maplink1")</f>
        <v>Maplink1</v>
      </c>
      <c r="AT1684" s="20" t="str">
        <f aca="false">HYPERLINK("https://www.google.iq/maps/search/+34.3508,45.4155/@34.3508,45.4155,14z?hl=en","Maplink2")</f>
        <v>Maplink2</v>
      </c>
      <c r="AU1684" s="20" t="str">
        <f aca="false">HYPERLINK("http://www.bing.com/maps/?lvl=14&amp;sty=h&amp;cp=34.3508~45.4155&amp;sp=point.34.3508_45.4155","Maplink3")</f>
        <v>Maplink3</v>
      </c>
    </row>
    <row r="1685" customFormat="false" ht="15" hidden="false" customHeight="true" outlineLevel="0" collapsed="false">
      <c r="A1685" s="15" t="n">
        <v>25468</v>
      </c>
      <c r="B1685" s="16" t="s">
        <v>20</v>
      </c>
      <c r="C1685" s="16" t="s">
        <v>3220</v>
      </c>
      <c r="D1685" s="16" t="s">
        <v>3326</v>
      </c>
      <c r="E1685" s="17" t="s">
        <v>3327</v>
      </c>
      <c r="F1685" s="16" t="n">
        <v>34.34417674</v>
      </c>
      <c r="G1685" s="16" t="n">
        <v>45.38515396</v>
      </c>
      <c r="H1685" s="18" t="n">
        <v>50</v>
      </c>
      <c r="I1685" s="18" t="n">
        <v>300</v>
      </c>
      <c r="J1685" s="19"/>
      <c r="K1685" s="19"/>
      <c r="L1685" s="19"/>
      <c r="M1685" s="19"/>
      <c r="N1685" s="19"/>
      <c r="O1685" s="19" t="n">
        <v>50</v>
      </c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 t="n">
        <v>30</v>
      </c>
      <c r="AI1685" s="19"/>
      <c r="AJ1685" s="19" t="n">
        <v>20</v>
      </c>
      <c r="AK1685" s="19"/>
      <c r="AL1685" s="19"/>
      <c r="AM1685" s="19" t="n">
        <v>40</v>
      </c>
      <c r="AN1685" s="19" t="n">
        <v>10</v>
      </c>
      <c r="AO1685" s="19"/>
      <c r="AP1685" s="19"/>
      <c r="AQ1685" s="19"/>
      <c r="AR1685" s="19"/>
      <c r="AS1685" s="20" t="str">
        <f aca="false">HYPERLINK("http://www.openstreetmap.org/?mlat=34.3442&amp;mlon=45.3852&amp;zoom=12#map=12/34.3442/45.3852","Maplink1")</f>
        <v>Maplink1</v>
      </c>
      <c r="AT1685" s="20" t="str">
        <f aca="false">HYPERLINK("https://www.google.iq/maps/search/+34.3442,45.3852/@34.3442,45.3852,14z?hl=en","Maplink2")</f>
        <v>Maplink2</v>
      </c>
      <c r="AU1685" s="20" t="str">
        <f aca="false">HYPERLINK("http://www.bing.com/maps/?lvl=14&amp;sty=h&amp;cp=34.3442~45.3852&amp;sp=point.34.3442_45.3852","Maplink3")</f>
        <v>Maplink3</v>
      </c>
    </row>
    <row r="1686" customFormat="false" ht="15" hidden="false" customHeight="true" outlineLevel="0" collapsed="false">
      <c r="A1686" s="15" t="n">
        <v>24406</v>
      </c>
      <c r="B1686" s="16" t="s">
        <v>20</v>
      </c>
      <c r="C1686" s="16" t="s">
        <v>3220</v>
      </c>
      <c r="D1686" s="16" t="s">
        <v>3328</v>
      </c>
      <c r="E1686" s="17" t="s">
        <v>3329</v>
      </c>
      <c r="F1686" s="16" t="n">
        <v>34.35559741</v>
      </c>
      <c r="G1686" s="16" t="n">
        <v>45.20113156</v>
      </c>
      <c r="H1686" s="18" t="n">
        <v>50</v>
      </c>
      <c r="I1686" s="18" t="n">
        <v>300</v>
      </c>
      <c r="J1686" s="19"/>
      <c r="K1686" s="19"/>
      <c r="L1686" s="19"/>
      <c r="M1686" s="19"/>
      <c r="N1686" s="19"/>
      <c r="O1686" s="19" t="n">
        <v>50</v>
      </c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 t="n">
        <v>35</v>
      </c>
      <c r="AD1686" s="19"/>
      <c r="AE1686" s="19"/>
      <c r="AF1686" s="19"/>
      <c r="AG1686" s="19"/>
      <c r="AH1686" s="19" t="n">
        <v>5</v>
      </c>
      <c r="AI1686" s="19"/>
      <c r="AJ1686" s="19" t="n">
        <v>10</v>
      </c>
      <c r="AK1686" s="19"/>
      <c r="AL1686" s="19"/>
      <c r="AM1686" s="19" t="n">
        <v>15</v>
      </c>
      <c r="AN1686" s="19" t="n">
        <v>30</v>
      </c>
      <c r="AO1686" s="19" t="n">
        <v>5</v>
      </c>
      <c r="AP1686" s="19"/>
      <c r="AQ1686" s="19"/>
      <c r="AR1686" s="19"/>
      <c r="AS1686" s="20" t="str">
        <f aca="false">HYPERLINK("http://www.openstreetmap.org/?mlat=34.3556&amp;mlon=45.2011&amp;zoom=12#map=12/34.3556/45.2011","Maplink1")</f>
        <v>Maplink1</v>
      </c>
      <c r="AT1686" s="20" t="str">
        <f aca="false">HYPERLINK("https://www.google.iq/maps/search/+34.3556,45.2011/@34.3556,45.2011,14z?hl=en","Maplink2")</f>
        <v>Maplink2</v>
      </c>
      <c r="AU1686" s="20" t="str">
        <f aca="false">HYPERLINK("http://www.bing.com/maps/?lvl=14&amp;sty=h&amp;cp=34.3556~45.2011&amp;sp=point.34.3556_45.2011","Maplink3")</f>
        <v>Maplink3</v>
      </c>
    </row>
    <row r="1687" customFormat="false" ht="15" hidden="false" customHeight="true" outlineLevel="0" collapsed="false">
      <c r="A1687" s="15" t="n">
        <v>10497</v>
      </c>
      <c r="B1687" s="16" t="s">
        <v>20</v>
      </c>
      <c r="C1687" s="16" t="s">
        <v>3220</v>
      </c>
      <c r="D1687" s="16" t="s">
        <v>3330</v>
      </c>
      <c r="E1687" s="17" t="s">
        <v>3331</v>
      </c>
      <c r="F1687" s="16" t="n">
        <v>34.36981084</v>
      </c>
      <c r="G1687" s="16" t="n">
        <v>45.21474687</v>
      </c>
      <c r="H1687" s="18" t="n">
        <v>3</v>
      </c>
      <c r="I1687" s="18" t="n">
        <v>18</v>
      </c>
      <c r="J1687" s="19"/>
      <c r="K1687" s="19"/>
      <c r="L1687" s="19"/>
      <c r="M1687" s="19"/>
      <c r="N1687" s="19"/>
      <c r="O1687" s="19" t="n">
        <v>3</v>
      </c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 t="n">
        <v>3</v>
      </c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 t="n">
        <v>3</v>
      </c>
      <c r="AN1687" s="19"/>
      <c r="AO1687" s="19"/>
      <c r="AP1687" s="19"/>
      <c r="AQ1687" s="19"/>
      <c r="AR1687" s="19"/>
      <c r="AS1687" s="20" t="str">
        <f aca="false">HYPERLINK("http://www.openstreetmap.org/?mlat=34.3698&amp;mlon=45.2147&amp;zoom=12#map=12/34.3698/45.2147","Maplink1")</f>
        <v>Maplink1</v>
      </c>
      <c r="AT1687" s="20" t="str">
        <f aca="false">HYPERLINK("https://www.google.iq/maps/search/+34.3698,45.2147/@34.3698,45.2147,14z?hl=en","Maplink2")</f>
        <v>Maplink2</v>
      </c>
      <c r="AU1687" s="20" t="str">
        <f aca="false">HYPERLINK("http://www.bing.com/maps/?lvl=14&amp;sty=h&amp;cp=34.3698~45.2147&amp;sp=point.34.3698_45.2147","Maplink3")</f>
        <v>Maplink3</v>
      </c>
    </row>
    <row r="1688" customFormat="false" ht="15" hidden="false" customHeight="true" outlineLevel="0" collapsed="false">
      <c r="A1688" s="15" t="n">
        <v>24389</v>
      </c>
      <c r="B1688" s="16" t="s">
        <v>20</v>
      </c>
      <c r="C1688" s="16" t="s">
        <v>3220</v>
      </c>
      <c r="D1688" s="16" t="s">
        <v>3332</v>
      </c>
      <c r="E1688" s="17" t="s">
        <v>3333</v>
      </c>
      <c r="F1688" s="16" t="n">
        <v>34.3184753467</v>
      </c>
      <c r="G1688" s="16" t="n">
        <v>45.2925797535</v>
      </c>
      <c r="H1688" s="18" t="n">
        <v>10</v>
      </c>
      <c r="I1688" s="18" t="n">
        <v>60</v>
      </c>
      <c r="J1688" s="19"/>
      <c r="K1688" s="19"/>
      <c r="L1688" s="19"/>
      <c r="M1688" s="19"/>
      <c r="N1688" s="19"/>
      <c r="O1688" s="19" t="n">
        <v>10</v>
      </c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 t="n">
        <v>10</v>
      </c>
      <c r="AL1688" s="19"/>
      <c r="AM1688" s="19" t="n">
        <v>10</v>
      </c>
      <c r="AN1688" s="19"/>
      <c r="AO1688" s="19"/>
      <c r="AP1688" s="19"/>
      <c r="AQ1688" s="19"/>
      <c r="AR1688" s="19"/>
      <c r="AS1688" s="20" t="str">
        <f aca="false">HYPERLINK("http://www.openstreetmap.org/?mlat=34.3185&amp;mlon=45.2926&amp;zoom=12#map=12/34.3185/45.2926","Maplink1")</f>
        <v>Maplink1</v>
      </c>
      <c r="AT1688" s="20" t="str">
        <f aca="false">HYPERLINK("https://www.google.iq/maps/search/+34.3185,45.2926/@34.3185,45.2926,14z?hl=en","Maplink2")</f>
        <v>Maplink2</v>
      </c>
      <c r="AU1688" s="20" t="str">
        <f aca="false">HYPERLINK("http://www.bing.com/maps/?lvl=14&amp;sty=h&amp;cp=34.3185~45.2926&amp;sp=point.34.3185_45.2926","Maplink3")</f>
        <v>Maplink3</v>
      </c>
    </row>
    <row r="1689" customFormat="false" ht="15" hidden="false" customHeight="true" outlineLevel="0" collapsed="false">
      <c r="A1689" s="15" t="n">
        <v>11047</v>
      </c>
      <c r="B1689" s="16" t="s">
        <v>20</v>
      </c>
      <c r="C1689" s="16" t="s">
        <v>3220</v>
      </c>
      <c r="D1689" s="16" t="s">
        <v>3334</v>
      </c>
      <c r="E1689" s="17" t="s">
        <v>3335</v>
      </c>
      <c r="F1689" s="16" t="n">
        <v>34.35402567</v>
      </c>
      <c r="G1689" s="16" t="n">
        <v>45.34567798</v>
      </c>
      <c r="H1689" s="18" t="n">
        <v>150</v>
      </c>
      <c r="I1689" s="18" t="n">
        <v>900</v>
      </c>
      <c r="J1689" s="19"/>
      <c r="K1689" s="19"/>
      <c r="L1689" s="19"/>
      <c r="M1689" s="19"/>
      <c r="N1689" s="19"/>
      <c r="O1689" s="19" t="n">
        <v>150</v>
      </c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 t="n">
        <v>10</v>
      </c>
      <c r="AD1689" s="19"/>
      <c r="AE1689" s="19"/>
      <c r="AF1689" s="19"/>
      <c r="AG1689" s="19"/>
      <c r="AH1689" s="19" t="n">
        <v>110</v>
      </c>
      <c r="AI1689" s="19"/>
      <c r="AJ1689" s="19" t="n">
        <v>30</v>
      </c>
      <c r="AK1689" s="19"/>
      <c r="AL1689" s="19"/>
      <c r="AM1689" s="19" t="n">
        <v>145</v>
      </c>
      <c r="AN1689" s="19"/>
      <c r="AO1689" s="19" t="n">
        <v>5</v>
      </c>
      <c r="AP1689" s="19"/>
      <c r="AQ1689" s="19"/>
      <c r="AR1689" s="19"/>
      <c r="AS1689" s="20" t="str">
        <f aca="false">HYPERLINK("http://www.openstreetmap.org/?mlat=34.354&amp;mlon=45.3457&amp;zoom=12#map=12/34.354/45.3457","Maplink1")</f>
        <v>Maplink1</v>
      </c>
      <c r="AT1689" s="20" t="str">
        <f aca="false">HYPERLINK("https://www.google.iq/maps/search/+34.354,45.3457/@34.354,45.3457,14z?hl=en","Maplink2")</f>
        <v>Maplink2</v>
      </c>
      <c r="AU1689" s="20" t="str">
        <f aca="false">HYPERLINK("http://www.bing.com/maps/?lvl=14&amp;sty=h&amp;cp=34.354~45.3457&amp;sp=point.34.354_45.3457","Maplink3")</f>
        <v>Maplink3</v>
      </c>
    </row>
    <row r="1690" customFormat="false" ht="15" hidden="false" customHeight="true" outlineLevel="0" collapsed="false">
      <c r="A1690" s="15" t="n">
        <v>25625</v>
      </c>
      <c r="B1690" s="16" t="s">
        <v>20</v>
      </c>
      <c r="C1690" s="16" t="s">
        <v>3220</v>
      </c>
      <c r="D1690" s="16" t="s">
        <v>3336</v>
      </c>
      <c r="E1690" s="17" t="s">
        <v>3337</v>
      </c>
      <c r="F1690" s="16" t="n">
        <v>34.3936052922</v>
      </c>
      <c r="G1690" s="16" t="n">
        <v>45.2575524443</v>
      </c>
      <c r="H1690" s="18" t="n">
        <v>9</v>
      </c>
      <c r="I1690" s="18" t="n">
        <v>54</v>
      </c>
      <c r="J1690" s="19"/>
      <c r="K1690" s="19"/>
      <c r="L1690" s="19"/>
      <c r="M1690" s="19"/>
      <c r="N1690" s="19"/>
      <c r="O1690" s="19" t="n">
        <v>9</v>
      </c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 t="n">
        <v>9</v>
      </c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 t="n">
        <v>9</v>
      </c>
      <c r="AO1690" s="19"/>
      <c r="AP1690" s="19"/>
      <c r="AQ1690" s="19"/>
      <c r="AR1690" s="19"/>
      <c r="AS1690" s="20" t="str">
        <f aca="false">HYPERLINK("http://www.openstreetmap.org/?mlat=34.3936&amp;mlon=45.2576&amp;zoom=12#map=12/34.3936/45.2576","Maplink1")</f>
        <v>Maplink1</v>
      </c>
      <c r="AT1690" s="20" t="str">
        <f aca="false">HYPERLINK("https://www.google.iq/maps/search/+34.3936,45.2576/@34.3936,45.2576,14z?hl=en","Maplink2")</f>
        <v>Maplink2</v>
      </c>
      <c r="AU1690" s="20" t="str">
        <f aca="false">HYPERLINK("http://www.bing.com/maps/?lvl=14&amp;sty=h&amp;cp=34.3936~45.2576&amp;sp=point.34.3936_45.2576","Maplink3")</f>
        <v>Maplink3</v>
      </c>
    </row>
    <row r="1691" customFormat="false" ht="15" hidden="false" customHeight="true" outlineLevel="0" collapsed="false">
      <c r="A1691" s="15" t="n">
        <v>24393</v>
      </c>
      <c r="B1691" s="16" t="s">
        <v>20</v>
      </c>
      <c r="C1691" s="16" t="s">
        <v>3220</v>
      </c>
      <c r="D1691" s="16" t="s">
        <v>3338</v>
      </c>
      <c r="E1691" s="17" t="s">
        <v>3339</v>
      </c>
      <c r="F1691" s="16" t="n">
        <v>34.3540283</v>
      </c>
      <c r="G1691" s="16" t="n">
        <v>45.34569114</v>
      </c>
      <c r="H1691" s="18" t="n">
        <v>50</v>
      </c>
      <c r="I1691" s="18" t="n">
        <v>300</v>
      </c>
      <c r="J1691" s="19"/>
      <c r="K1691" s="19"/>
      <c r="L1691" s="19"/>
      <c r="M1691" s="19"/>
      <c r="N1691" s="19"/>
      <c r="O1691" s="19" t="n">
        <v>50</v>
      </c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 t="n">
        <v>50</v>
      </c>
      <c r="AL1691" s="19"/>
      <c r="AM1691" s="19" t="n">
        <v>50</v>
      </c>
      <c r="AN1691" s="19"/>
      <c r="AO1691" s="19"/>
      <c r="AP1691" s="19"/>
      <c r="AQ1691" s="19"/>
      <c r="AR1691" s="19"/>
      <c r="AS1691" s="20" t="str">
        <f aca="false">HYPERLINK("http://www.openstreetmap.org/?mlat=34.354&amp;mlon=45.3457&amp;zoom=12#map=12/34.354/45.3457","Maplink1")</f>
        <v>Maplink1</v>
      </c>
      <c r="AT1691" s="20" t="str">
        <f aca="false">HYPERLINK("https://www.google.iq/maps/search/+34.354,45.3457/@34.354,45.3457,14z?hl=en","Maplink2")</f>
        <v>Maplink2</v>
      </c>
      <c r="AU1691" s="20" t="str">
        <f aca="false">HYPERLINK("http://www.bing.com/maps/?lvl=14&amp;sty=h&amp;cp=34.354~45.3457&amp;sp=point.34.354_45.3457","Maplink3")</f>
        <v>Maplink3</v>
      </c>
    </row>
    <row r="1692" customFormat="false" ht="15" hidden="false" customHeight="true" outlineLevel="0" collapsed="false">
      <c r="A1692" s="15" t="n">
        <v>10394</v>
      </c>
      <c r="B1692" s="16" t="s">
        <v>20</v>
      </c>
      <c r="C1692" s="16" t="s">
        <v>3340</v>
      </c>
      <c r="D1692" s="16" t="s">
        <v>3341</v>
      </c>
      <c r="E1692" s="16" t="s">
        <v>3342</v>
      </c>
      <c r="F1692" s="16" t="n">
        <v>34.63653</v>
      </c>
      <c r="G1692" s="16" t="n">
        <v>45.01131</v>
      </c>
      <c r="H1692" s="18" t="n">
        <v>46</v>
      </c>
      <c r="I1692" s="18" t="n">
        <v>276</v>
      </c>
      <c r="J1692" s="19"/>
      <c r="K1692" s="19" t="n">
        <v>2</v>
      </c>
      <c r="L1692" s="19" t="n">
        <v>1</v>
      </c>
      <c r="M1692" s="19"/>
      <c r="N1692" s="19"/>
      <c r="O1692" s="19" t="n">
        <v>30</v>
      </c>
      <c r="P1692" s="19"/>
      <c r="Q1692" s="19"/>
      <c r="R1692" s="19"/>
      <c r="S1692" s="19"/>
      <c r="T1692" s="19"/>
      <c r="U1692" s="19"/>
      <c r="V1692" s="19"/>
      <c r="W1692" s="19"/>
      <c r="X1692" s="19" t="n">
        <v>13</v>
      </c>
      <c r="Y1692" s="19"/>
      <c r="Z1692" s="19"/>
      <c r="AA1692" s="19"/>
      <c r="AB1692" s="19"/>
      <c r="AC1692" s="19"/>
      <c r="AD1692" s="19"/>
      <c r="AE1692" s="19"/>
      <c r="AF1692" s="19" t="n">
        <v>3</v>
      </c>
      <c r="AG1692" s="19"/>
      <c r="AH1692" s="19" t="n">
        <v>43</v>
      </c>
      <c r="AI1692" s="19"/>
      <c r="AJ1692" s="19"/>
      <c r="AK1692" s="19"/>
      <c r="AL1692" s="19"/>
      <c r="AM1692" s="19" t="n">
        <v>46</v>
      </c>
      <c r="AN1692" s="19"/>
      <c r="AO1692" s="19"/>
      <c r="AP1692" s="19"/>
      <c r="AQ1692" s="19"/>
      <c r="AR1692" s="19"/>
      <c r="AS1692" s="20" t="str">
        <f aca="false">HYPERLINK("http://www.openstreetmap.org/?mlat=34.6365&amp;mlon=45.0113&amp;zoom=12#map=12/34.6365/45.0113","Maplink1")</f>
        <v>Maplink1</v>
      </c>
      <c r="AT1692" s="20" t="str">
        <f aca="false">HYPERLINK("https://www.google.iq/maps/search/+34.6365,45.0113/@34.6365,45.0113,14z?hl=en","Maplink2")</f>
        <v>Maplink2</v>
      </c>
      <c r="AU1692" s="20" t="str">
        <f aca="false">HYPERLINK("http://www.bing.com/maps/?lvl=14&amp;sty=h&amp;cp=34.6365~45.0113&amp;sp=point.34.6365_45.0113","Maplink3")</f>
        <v>Maplink3</v>
      </c>
    </row>
    <row r="1693" customFormat="false" ht="15" hidden="false" customHeight="true" outlineLevel="0" collapsed="false">
      <c r="A1693" s="15" t="n">
        <v>25255</v>
      </c>
      <c r="B1693" s="16" t="s">
        <v>20</v>
      </c>
      <c r="C1693" s="16" t="s">
        <v>3340</v>
      </c>
      <c r="D1693" s="16" t="s">
        <v>3343</v>
      </c>
      <c r="E1693" s="17" t="s">
        <v>3344</v>
      </c>
      <c r="F1693" s="16" t="n">
        <v>34.427128241</v>
      </c>
      <c r="G1693" s="16" t="n">
        <v>45.0861890037</v>
      </c>
      <c r="H1693" s="18" t="n">
        <v>50</v>
      </c>
      <c r="I1693" s="18" t="n">
        <v>300</v>
      </c>
      <c r="J1693" s="19"/>
      <c r="K1693" s="19"/>
      <c r="L1693" s="19"/>
      <c r="M1693" s="19"/>
      <c r="N1693" s="19"/>
      <c r="O1693" s="19" t="n">
        <v>50</v>
      </c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 t="n">
        <v>50</v>
      </c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 t="n">
        <v>50</v>
      </c>
      <c r="AN1693" s="19"/>
      <c r="AO1693" s="19"/>
      <c r="AP1693" s="19"/>
      <c r="AQ1693" s="19"/>
      <c r="AR1693" s="19"/>
      <c r="AS1693" s="20" t="str">
        <f aca="false">HYPERLINK("http://www.openstreetmap.org/?mlat=34.4271&amp;mlon=45.0862&amp;zoom=12#map=12/34.4271/45.0862","Maplink1")</f>
        <v>Maplink1</v>
      </c>
      <c r="AT1693" s="20" t="str">
        <f aca="false">HYPERLINK("https://www.google.iq/maps/search/+34.4271,45.0862/@34.4271,45.0862,14z?hl=en","Maplink2")</f>
        <v>Maplink2</v>
      </c>
      <c r="AU1693" s="20" t="str">
        <f aca="false">HYPERLINK("http://www.bing.com/maps/?lvl=14&amp;sty=h&amp;cp=34.4271~45.0862&amp;sp=point.34.4271_45.0862","Maplink3")</f>
        <v>Maplink3</v>
      </c>
    </row>
    <row r="1694" customFormat="false" ht="15" hidden="false" customHeight="true" outlineLevel="0" collapsed="false">
      <c r="A1694" s="15" t="n">
        <v>28426</v>
      </c>
      <c r="B1694" s="16" t="s">
        <v>20</v>
      </c>
      <c r="C1694" s="16" t="s">
        <v>3340</v>
      </c>
      <c r="D1694" s="16" t="s">
        <v>3345</v>
      </c>
      <c r="E1694" s="17" t="s">
        <v>3346</v>
      </c>
      <c r="F1694" s="16" t="n">
        <v>34.67938</v>
      </c>
      <c r="G1694" s="16" t="n">
        <v>44.59826</v>
      </c>
      <c r="H1694" s="18" t="n">
        <v>39</v>
      </c>
      <c r="I1694" s="18" t="n">
        <v>234</v>
      </c>
      <c r="J1694" s="19" t="n">
        <v>4</v>
      </c>
      <c r="K1694" s="19" t="n">
        <v>4</v>
      </c>
      <c r="L1694" s="19"/>
      <c r="M1694" s="19"/>
      <c r="N1694" s="19"/>
      <c r="O1694" s="19" t="n">
        <v>20</v>
      </c>
      <c r="P1694" s="19"/>
      <c r="Q1694" s="19"/>
      <c r="R1694" s="19"/>
      <c r="S1694" s="19"/>
      <c r="T1694" s="19"/>
      <c r="U1694" s="19"/>
      <c r="V1694" s="19"/>
      <c r="W1694" s="19"/>
      <c r="X1694" s="19" t="n">
        <v>11</v>
      </c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 t="n">
        <v>34</v>
      </c>
      <c r="AI1694" s="19"/>
      <c r="AJ1694" s="19" t="n">
        <v>5</v>
      </c>
      <c r="AK1694" s="19"/>
      <c r="AL1694" s="19" t="n">
        <v>8</v>
      </c>
      <c r="AM1694" s="19" t="n">
        <v>16</v>
      </c>
      <c r="AN1694" s="19" t="n">
        <v>3</v>
      </c>
      <c r="AO1694" s="19" t="n">
        <v>12</v>
      </c>
      <c r="AP1694" s="19"/>
      <c r="AQ1694" s="19"/>
      <c r="AR1694" s="19"/>
      <c r="AS1694" s="20" t="str">
        <f aca="false">HYPERLINK("http://www.openstreetmap.org/?mlat=34.6794&amp;mlon=44.5983&amp;zoom=12#map=12/34.6794/44.5983","Maplink1")</f>
        <v>Maplink1</v>
      </c>
      <c r="AT1694" s="20" t="str">
        <f aca="false">HYPERLINK("https://www.google.iq/maps/search/+34.6794,44.5983/@34.6794,44.5983,14z?hl=en","Maplink2")</f>
        <v>Maplink2</v>
      </c>
      <c r="AU1694" s="20" t="str">
        <f aca="false">HYPERLINK("http://www.bing.com/maps/?lvl=14&amp;sty=h&amp;cp=34.6794~44.5983&amp;sp=point.34.6794_44.5983","Maplink3")</f>
        <v>Maplink3</v>
      </c>
    </row>
    <row r="1695" customFormat="false" ht="15" hidden="false" customHeight="true" outlineLevel="0" collapsed="false">
      <c r="A1695" s="15" t="n">
        <v>28422</v>
      </c>
      <c r="B1695" s="16" t="s">
        <v>20</v>
      </c>
      <c r="C1695" s="16" t="s">
        <v>3340</v>
      </c>
      <c r="D1695" s="16" t="s">
        <v>3347</v>
      </c>
      <c r="E1695" s="17" t="s">
        <v>3348</v>
      </c>
      <c r="F1695" s="16" t="n">
        <v>34.67893</v>
      </c>
      <c r="G1695" s="16" t="n">
        <v>44.97132</v>
      </c>
      <c r="H1695" s="18" t="n">
        <v>96</v>
      </c>
      <c r="I1695" s="18" t="n">
        <v>576</v>
      </c>
      <c r="J1695" s="19" t="n">
        <v>10</v>
      </c>
      <c r="K1695" s="19" t="n">
        <v>12</v>
      </c>
      <c r="L1695" s="19"/>
      <c r="M1695" s="19"/>
      <c r="N1695" s="19"/>
      <c r="O1695" s="19" t="n">
        <v>42</v>
      </c>
      <c r="P1695" s="19"/>
      <c r="Q1695" s="19"/>
      <c r="R1695" s="19"/>
      <c r="S1695" s="19"/>
      <c r="T1695" s="19"/>
      <c r="U1695" s="19"/>
      <c r="V1695" s="19"/>
      <c r="W1695" s="19"/>
      <c r="X1695" s="19" t="n">
        <v>32</v>
      </c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 t="n">
        <v>96</v>
      </c>
      <c r="AI1695" s="19"/>
      <c r="AJ1695" s="19"/>
      <c r="AK1695" s="19"/>
      <c r="AL1695" s="19" t="n">
        <v>6</v>
      </c>
      <c r="AM1695" s="19" t="n">
        <v>38</v>
      </c>
      <c r="AN1695" s="19" t="n">
        <v>15</v>
      </c>
      <c r="AO1695" s="19" t="n">
        <v>26</v>
      </c>
      <c r="AP1695" s="19" t="n">
        <v>5</v>
      </c>
      <c r="AQ1695" s="19" t="n">
        <v>6</v>
      </c>
      <c r="AR1695" s="19"/>
      <c r="AS1695" s="20" t="str">
        <f aca="false">HYPERLINK("http://www.openstreetmap.org/?mlat=34.6789&amp;mlon=44.9713&amp;zoom=12#map=12/34.6789/44.9713","Maplink1")</f>
        <v>Maplink1</v>
      </c>
      <c r="AT1695" s="20" t="str">
        <f aca="false">HYPERLINK("https://www.google.iq/maps/search/+34.6789,44.9713/@34.6789,44.9713,14z?hl=en","Maplink2")</f>
        <v>Maplink2</v>
      </c>
      <c r="AU1695" s="20" t="str">
        <f aca="false">HYPERLINK("http://www.bing.com/maps/?lvl=14&amp;sty=h&amp;cp=34.6789~44.9713&amp;sp=point.34.6789_44.9713","Maplink3")</f>
        <v>Maplink3</v>
      </c>
    </row>
    <row r="1696" customFormat="false" ht="15" hidden="false" customHeight="true" outlineLevel="0" collapsed="false">
      <c r="A1696" s="15" t="n">
        <v>28431</v>
      </c>
      <c r="B1696" s="16" t="s">
        <v>20</v>
      </c>
      <c r="C1696" s="16" t="s">
        <v>3340</v>
      </c>
      <c r="D1696" s="16" t="s">
        <v>3349</v>
      </c>
      <c r="E1696" s="17" t="s">
        <v>3350</v>
      </c>
      <c r="F1696" s="16" t="n">
        <v>34.6859147</v>
      </c>
      <c r="G1696" s="16" t="n">
        <v>44.9616721</v>
      </c>
      <c r="H1696" s="18" t="n">
        <v>57</v>
      </c>
      <c r="I1696" s="18" t="n">
        <v>342</v>
      </c>
      <c r="J1696" s="19" t="n">
        <v>16</v>
      </c>
      <c r="K1696" s="19"/>
      <c r="L1696" s="19"/>
      <c r="M1696" s="19"/>
      <c r="N1696" s="19"/>
      <c r="O1696" s="19" t="n">
        <v>28</v>
      </c>
      <c r="P1696" s="19"/>
      <c r="Q1696" s="19"/>
      <c r="R1696" s="19"/>
      <c r="S1696" s="19"/>
      <c r="T1696" s="19"/>
      <c r="U1696" s="19"/>
      <c r="V1696" s="19"/>
      <c r="W1696" s="19"/>
      <c r="X1696" s="19" t="n">
        <v>13</v>
      </c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 t="n">
        <v>57</v>
      </c>
      <c r="AI1696" s="19"/>
      <c r="AJ1696" s="19"/>
      <c r="AK1696" s="19"/>
      <c r="AL1696" s="19" t="n">
        <v>2</v>
      </c>
      <c r="AM1696" s="19" t="n">
        <v>27</v>
      </c>
      <c r="AN1696" s="19" t="n">
        <v>8</v>
      </c>
      <c r="AO1696" s="19" t="n">
        <v>12</v>
      </c>
      <c r="AP1696" s="19" t="n">
        <v>6</v>
      </c>
      <c r="AQ1696" s="19" t="n">
        <v>2</v>
      </c>
      <c r="AR1696" s="19"/>
      <c r="AS1696" s="20" t="str">
        <f aca="false">HYPERLINK("http://www.openstreetmap.org/?mlat=34.6859&amp;mlon=44.9617&amp;zoom=12#map=12/34.6859/44.9617","Maplink1")</f>
        <v>Maplink1</v>
      </c>
      <c r="AT1696" s="20" t="str">
        <f aca="false">HYPERLINK("https://www.google.iq/maps/search/+34.6859,44.9617/@34.6859,44.9617,14z?hl=en","Maplink2")</f>
        <v>Maplink2</v>
      </c>
      <c r="AU1696" s="20" t="str">
        <f aca="false">HYPERLINK("http://www.bing.com/maps/?lvl=14&amp;sty=h&amp;cp=34.6859~44.9617&amp;sp=point.34.6859_44.9617","Maplink3")</f>
        <v>Maplink3</v>
      </c>
    </row>
    <row r="1697" customFormat="false" ht="15" hidden="false" customHeight="true" outlineLevel="0" collapsed="false">
      <c r="A1697" s="15" t="n">
        <v>25251</v>
      </c>
      <c r="B1697" s="16" t="s">
        <v>20</v>
      </c>
      <c r="C1697" s="16" t="s">
        <v>3340</v>
      </c>
      <c r="D1697" s="16" t="s">
        <v>3351</v>
      </c>
      <c r="E1697" s="17" t="s">
        <v>3352</v>
      </c>
      <c r="F1697" s="16" t="n">
        <v>34.42039065</v>
      </c>
      <c r="G1697" s="16" t="n">
        <v>45.09714923</v>
      </c>
      <c r="H1697" s="18" t="n">
        <v>150</v>
      </c>
      <c r="I1697" s="18" t="n">
        <v>900</v>
      </c>
      <c r="J1697" s="19"/>
      <c r="K1697" s="19"/>
      <c r="L1697" s="19"/>
      <c r="M1697" s="19"/>
      <c r="N1697" s="19"/>
      <c r="O1697" s="19" t="n">
        <v>150</v>
      </c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 t="n">
        <v>70</v>
      </c>
      <c r="AD1697" s="19"/>
      <c r="AE1697" s="19"/>
      <c r="AF1697" s="19"/>
      <c r="AG1697" s="19"/>
      <c r="AH1697" s="19"/>
      <c r="AI1697" s="19"/>
      <c r="AJ1697" s="19" t="n">
        <v>80</v>
      </c>
      <c r="AK1697" s="19"/>
      <c r="AL1697" s="19"/>
      <c r="AM1697" s="19" t="n">
        <v>130</v>
      </c>
      <c r="AN1697" s="19" t="n">
        <v>20</v>
      </c>
      <c r="AO1697" s="19"/>
      <c r="AP1697" s="19"/>
      <c r="AQ1697" s="19"/>
      <c r="AR1697" s="19"/>
      <c r="AS1697" s="20" t="str">
        <f aca="false">HYPERLINK("http://www.openstreetmap.org/?mlat=34.4204&amp;mlon=45.0971&amp;zoom=12#map=12/34.4204/45.0971","Maplink1")</f>
        <v>Maplink1</v>
      </c>
      <c r="AT1697" s="20" t="str">
        <f aca="false">HYPERLINK("https://www.google.iq/maps/search/+34.4204,45.0971/@34.4204,45.0971,14z?hl=en","Maplink2")</f>
        <v>Maplink2</v>
      </c>
      <c r="AU1697" s="20" t="str">
        <f aca="false">HYPERLINK("http://www.bing.com/maps/?lvl=14&amp;sty=h&amp;cp=34.4204~45.0971&amp;sp=point.34.4204_45.0971","Maplink3")</f>
        <v>Maplink3</v>
      </c>
    </row>
    <row r="1698" customFormat="false" ht="15" hidden="false" customHeight="true" outlineLevel="0" collapsed="false">
      <c r="A1698" s="15" t="n">
        <v>28423</v>
      </c>
      <c r="B1698" s="16" t="s">
        <v>20</v>
      </c>
      <c r="C1698" s="16" t="s">
        <v>3340</v>
      </c>
      <c r="D1698" s="16" t="s">
        <v>3353</v>
      </c>
      <c r="E1698" s="17" t="s">
        <v>3354</v>
      </c>
      <c r="F1698" s="16" t="n">
        <v>34.70039828</v>
      </c>
      <c r="G1698" s="16" t="n">
        <v>44.96439481</v>
      </c>
      <c r="H1698" s="18" t="n">
        <v>31</v>
      </c>
      <c r="I1698" s="18" t="n">
        <v>186</v>
      </c>
      <c r="J1698" s="19" t="n">
        <v>6</v>
      </c>
      <c r="K1698" s="19"/>
      <c r="L1698" s="19" t="n">
        <v>3</v>
      </c>
      <c r="M1698" s="19"/>
      <c r="N1698" s="19"/>
      <c r="O1698" s="19" t="n">
        <v>22</v>
      </c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 t="n">
        <v>21</v>
      </c>
      <c r="AI1698" s="19"/>
      <c r="AJ1698" s="19" t="n">
        <v>10</v>
      </c>
      <c r="AK1698" s="19"/>
      <c r="AL1698" s="19"/>
      <c r="AM1698" s="19" t="n">
        <v>14</v>
      </c>
      <c r="AN1698" s="19" t="n">
        <v>4</v>
      </c>
      <c r="AO1698" s="19" t="n">
        <v>9</v>
      </c>
      <c r="AP1698" s="19" t="n">
        <v>4</v>
      </c>
      <c r="AQ1698" s="19"/>
      <c r="AR1698" s="19"/>
      <c r="AS1698" s="20" t="str">
        <f aca="false">HYPERLINK("http://www.openstreetmap.org/?mlat=34.7004&amp;mlon=44.9644&amp;zoom=12#map=12/34.7004/44.9644","Maplink1")</f>
        <v>Maplink1</v>
      </c>
      <c r="AT1698" s="20" t="str">
        <f aca="false">HYPERLINK("https://www.google.iq/maps/search/+34.7004,44.9644/@34.7004,44.9644,14z?hl=en","Maplink2")</f>
        <v>Maplink2</v>
      </c>
      <c r="AU1698" s="20" t="str">
        <f aca="false">HYPERLINK("http://www.bing.com/maps/?lvl=14&amp;sty=h&amp;cp=34.7004~44.9644&amp;sp=point.34.7004_44.9644","Maplink3")</f>
        <v>Maplink3</v>
      </c>
    </row>
    <row r="1699" customFormat="false" ht="15" hidden="false" customHeight="true" outlineLevel="0" collapsed="false">
      <c r="A1699" s="15" t="n">
        <v>25254</v>
      </c>
      <c r="B1699" s="16" t="s">
        <v>20</v>
      </c>
      <c r="C1699" s="16" t="s">
        <v>3340</v>
      </c>
      <c r="D1699" s="16" t="s">
        <v>3355</v>
      </c>
      <c r="E1699" s="17" t="s">
        <v>3356</v>
      </c>
      <c r="F1699" s="16" t="n">
        <v>34.44368732</v>
      </c>
      <c r="G1699" s="16" t="n">
        <v>45.05846697</v>
      </c>
      <c r="H1699" s="18" t="n">
        <v>60</v>
      </c>
      <c r="I1699" s="18" t="n">
        <v>360</v>
      </c>
      <c r="J1699" s="19"/>
      <c r="K1699" s="19"/>
      <c r="L1699" s="19"/>
      <c r="M1699" s="19"/>
      <c r="N1699" s="19"/>
      <c r="O1699" s="19" t="n">
        <v>60</v>
      </c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 t="n">
        <v>40</v>
      </c>
      <c r="AD1699" s="19"/>
      <c r="AE1699" s="19"/>
      <c r="AF1699" s="19"/>
      <c r="AG1699" s="19"/>
      <c r="AH1699" s="19"/>
      <c r="AI1699" s="19"/>
      <c r="AJ1699" s="19" t="n">
        <v>20</v>
      </c>
      <c r="AK1699" s="19"/>
      <c r="AL1699" s="19"/>
      <c r="AM1699" s="19" t="n">
        <v>60</v>
      </c>
      <c r="AN1699" s="19"/>
      <c r="AO1699" s="19"/>
      <c r="AP1699" s="19"/>
      <c r="AQ1699" s="19"/>
      <c r="AR1699" s="19"/>
      <c r="AS1699" s="20" t="str">
        <f aca="false">HYPERLINK("http://www.openstreetmap.org/?mlat=34.4437&amp;mlon=45.0585&amp;zoom=12#map=12/34.4437/45.0585","Maplink1")</f>
        <v>Maplink1</v>
      </c>
      <c r="AT1699" s="20" t="str">
        <f aca="false">HYPERLINK("https://www.google.iq/maps/search/+34.4437,45.0585/@34.4437,45.0585,14z?hl=en","Maplink2")</f>
        <v>Maplink2</v>
      </c>
      <c r="AU1699" s="20" t="str">
        <f aca="false">HYPERLINK("http://www.bing.com/maps/?lvl=14&amp;sty=h&amp;cp=34.4437~45.0585&amp;sp=point.34.4437_45.0585","Maplink3")</f>
        <v>Maplink3</v>
      </c>
    </row>
    <row r="1700" customFormat="false" ht="15" hidden="false" customHeight="true" outlineLevel="0" collapsed="false">
      <c r="A1700" s="15" t="n">
        <v>28425</v>
      </c>
      <c r="B1700" s="16" t="s">
        <v>20</v>
      </c>
      <c r="C1700" s="16" t="s">
        <v>3340</v>
      </c>
      <c r="D1700" s="16" t="s">
        <v>3357</v>
      </c>
      <c r="E1700" s="17" t="s">
        <v>3358</v>
      </c>
      <c r="F1700" s="16" t="n">
        <v>34.68479129</v>
      </c>
      <c r="G1700" s="16" t="n">
        <v>44.97109476</v>
      </c>
      <c r="H1700" s="18" t="n">
        <v>39</v>
      </c>
      <c r="I1700" s="18" t="n">
        <v>234</v>
      </c>
      <c r="J1700" s="19" t="n">
        <v>12</v>
      </c>
      <c r="K1700" s="19" t="n">
        <v>4</v>
      </c>
      <c r="L1700" s="19"/>
      <c r="M1700" s="19"/>
      <c r="N1700" s="19"/>
      <c r="O1700" s="19" t="n">
        <v>18</v>
      </c>
      <c r="P1700" s="19"/>
      <c r="Q1700" s="19"/>
      <c r="R1700" s="19"/>
      <c r="S1700" s="19"/>
      <c r="T1700" s="19"/>
      <c r="U1700" s="19"/>
      <c r="V1700" s="19"/>
      <c r="W1700" s="19"/>
      <c r="X1700" s="19" t="n">
        <v>5</v>
      </c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 t="n">
        <v>39</v>
      </c>
      <c r="AI1700" s="19"/>
      <c r="AJ1700" s="19"/>
      <c r="AK1700" s="19"/>
      <c r="AL1700" s="19" t="n">
        <v>10</v>
      </c>
      <c r="AM1700" s="19" t="n">
        <v>10</v>
      </c>
      <c r="AN1700" s="19" t="n">
        <v>7</v>
      </c>
      <c r="AO1700" s="19" t="n">
        <v>4</v>
      </c>
      <c r="AP1700" s="19" t="n">
        <v>6</v>
      </c>
      <c r="AQ1700" s="19" t="n">
        <v>2</v>
      </c>
      <c r="AR1700" s="19"/>
      <c r="AS1700" s="20" t="str">
        <f aca="false">HYPERLINK("http://www.openstreetmap.org/?mlat=34.6848&amp;mlon=44.9711&amp;zoom=12#map=12/34.6848/44.9711","Maplink1")</f>
        <v>Maplink1</v>
      </c>
      <c r="AT1700" s="20" t="str">
        <f aca="false">HYPERLINK("https://www.google.iq/maps/search/+34.6848,44.9711/@34.6848,44.9711,14z?hl=en","Maplink2")</f>
        <v>Maplink2</v>
      </c>
      <c r="AU1700" s="20" t="str">
        <f aca="false">HYPERLINK("http://www.bing.com/maps/?lvl=14&amp;sty=h&amp;cp=34.6848~44.9711&amp;sp=point.34.6848_44.9711","Maplink3")</f>
        <v>Maplink3</v>
      </c>
    </row>
    <row r="1701" customFormat="false" ht="15" hidden="false" customHeight="true" outlineLevel="0" collapsed="false">
      <c r="A1701" s="15" t="n">
        <v>28427</v>
      </c>
      <c r="B1701" s="16" t="s">
        <v>20</v>
      </c>
      <c r="C1701" s="16" t="s">
        <v>3340</v>
      </c>
      <c r="D1701" s="16" t="s">
        <v>3359</v>
      </c>
      <c r="E1701" s="17" t="s">
        <v>3360</v>
      </c>
      <c r="F1701" s="16" t="n">
        <v>34.68975</v>
      </c>
      <c r="G1701" s="16" t="n">
        <v>44.94985</v>
      </c>
      <c r="H1701" s="18" t="n">
        <v>73</v>
      </c>
      <c r="I1701" s="18" t="n">
        <v>438</v>
      </c>
      <c r="J1701" s="19" t="n">
        <v>6</v>
      </c>
      <c r="K1701" s="19" t="n">
        <v>8</v>
      </c>
      <c r="L1701" s="19" t="n">
        <v>4</v>
      </c>
      <c r="M1701" s="19"/>
      <c r="N1701" s="19"/>
      <c r="O1701" s="19" t="n">
        <v>43</v>
      </c>
      <c r="P1701" s="19"/>
      <c r="Q1701" s="19"/>
      <c r="R1701" s="19"/>
      <c r="S1701" s="19"/>
      <c r="T1701" s="19"/>
      <c r="U1701" s="19"/>
      <c r="V1701" s="19"/>
      <c r="W1701" s="19"/>
      <c r="X1701" s="19" t="n">
        <v>12</v>
      </c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 t="n">
        <v>67</v>
      </c>
      <c r="AI1701" s="19"/>
      <c r="AJ1701" s="19" t="n">
        <v>6</v>
      </c>
      <c r="AK1701" s="19"/>
      <c r="AL1701" s="19" t="n">
        <v>10</v>
      </c>
      <c r="AM1701" s="19" t="n">
        <v>39</v>
      </c>
      <c r="AN1701" s="19" t="n">
        <v>9</v>
      </c>
      <c r="AO1701" s="19" t="n">
        <v>13</v>
      </c>
      <c r="AP1701" s="19" t="n">
        <v>2</v>
      </c>
      <c r="AQ1701" s="19"/>
      <c r="AR1701" s="19"/>
      <c r="AS1701" s="20" t="str">
        <f aca="false">HYPERLINK("http://www.openstreetmap.org/?mlat=34.6897&amp;mlon=44.9498&amp;zoom=12#map=12/34.6897/44.9498","Maplink1")</f>
        <v>Maplink1</v>
      </c>
      <c r="AT1701" s="20" t="str">
        <f aca="false">HYPERLINK("https://www.google.iq/maps/search/+34.6897,44.9498/@34.6897,44.9498,14z?hl=en","Maplink2")</f>
        <v>Maplink2</v>
      </c>
      <c r="AU1701" s="20" t="str">
        <f aca="false">HYPERLINK("http://www.bing.com/maps/?lvl=14&amp;sty=h&amp;cp=34.6897~44.9498&amp;sp=point.34.6897_44.9498","Maplink3")</f>
        <v>Maplink3</v>
      </c>
    </row>
    <row r="1702" customFormat="false" ht="15" hidden="false" customHeight="true" outlineLevel="0" collapsed="false">
      <c r="A1702" s="15" t="n">
        <v>25253</v>
      </c>
      <c r="B1702" s="16" t="s">
        <v>20</v>
      </c>
      <c r="C1702" s="16" t="s">
        <v>3340</v>
      </c>
      <c r="D1702" s="16" t="s">
        <v>3361</v>
      </c>
      <c r="E1702" s="17" t="s">
        <v>3362</v>
      </c>
      <c r="F1702" s="16" t="n">
        <v>34.42765081</v>
      </c>
      <c r="G1702" s="16" t="n">
        <v>45.1400398</v>
      </c>
      <c r="H1702" s="18" t="n">
        <v>51</v>
      </c>
      <c r="I1702" s="18" t="n">
        <v>306</v>
      </c>
      <c r="J1702" s="19"/>
      <c r="K1702" s="19"/>
      <c r="L1702" s="19"/>
      <c r="M1702" s="19"/>
      <c r="N1702" s="19"/>
      <c r="O1702" s="19" t="n">
        <v>51</v>
      </c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 t="n">
        <v>33</v>
      </c>
      <c r="AD1702" s="19"/>
      <c r="AE1702" s="19"/>
      <c r="AF1702" s="19"/>
      <c r="AG1702" s="19"/>
      <c r="AH1702" s="19"/>
      <c r="AI1702" s="19"/>
      <c r="AJ1702" s="19" t="n">
        <v>18</v>
      </c>
      <c r="AK1702" s="19"/>
      <c r="AL1702" s="19"/>
      <c r="AM1702" s="19" t="n">
        <v>36</v>
      </c>
      <c r="AN1702" s="19" t="n">
        <v>10</v>
      </c>
      <c r="AO1702" s="19" t="n">
        <v>5</v>
      </c>
      <c r="AP1702" s="19"/>
      <c r="AQ1702" s="19"/>
      <c r="AR1702" s="19"/>
      <c r="AS1702" s="20" t="str">
        <f aca="false">HYPERLINK("http://www.openstreetmap.org/?mlat=34.4277&amp;mlon=45.14&amp;zoom=12#map=12/34.4277/45.14","Maplink1")</f>
        <v>Maplink1</v>
      </c>
      <c r="AT1702" s="20" t="str">
        <f aca="false">HYPERLINK("https://www.google.iq/maps/search/+34.4277,45.14/@34.4277,45.14,14z?hl=en","Maplink2")</f>
        <v>Maplink2</v>
      </c>
      <c r="AU1702" s="20" t="str">
        <f aca="false">HYPERLINK("http://www.bing.com/maps/?lvl=14&amp;sty=h&amp;cp=34.4277~45.14&amp;sp=point.34.4277_45.14","Maplink3")</f>
        <v>Maplink3</v>
      </c>
    </row>
    <row r="1703" customFormat="false" ht="15" hidden="false" customHeight="true" outlineLevel="0" collapsed="false">
      <c r="A1703" s="15" t="n">
        <v>25252</v>
      </c>
      <c r="B1703" s="16" t="s">
        <v>20</v>
      </c>
      <c r="C1703" s="16" t="s">
        <v>3340</v>
      </c>
      <c r="D1703" s="16" t="s">
        <v>3363</v>
      </c>
      <c r="E1703" s="17" t="s">
        <v>3364</v>
      </c>
      <c r="F1703" s="16" t="n">
        <v>34.43637634</v>
      </c>
      <c r="G1703" s="16" t="n">
        <v>45.05981541</v>
      </c>
      <c r="H1703" s="18" t="n">
        <v>100</v>
      </c>
      <c r="I1703" s="18" t="n">
        <v>600</v>
      </c>
      <c r="J1703" s="19"/>
      <c r="K1703" s="19"/>
      <c r="L1703" s="19"/>
      <c r="M1703" s="19"/>
      <c r="N1703" s="19"/>
      <c r="O1703" s="19" t="n">
        <v>100</v>
      </c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 t="n">
        <v>100</v>
      </c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 t="n">
        <v>100</v>
      </c>
      <c r="AN1703" s="19"/>
      <c r="AO1703" s="19"/>
      <c r="AP1703" s="19"/>
      <c r="AQ1703" s="19"/>
      <c r="AR1703" s="19"/>
      <c r="AS1703" s="20" t="str">
        <f aca="false">HYPERLINK("http://www.openstreetmap.org/?mlat=34.4364&amp;mlon=45.0598&amp;zoom=12#map=12/34.4364/45.0598","Maplink1")</f>
        <v>Maplink1</v>
      </c>
      <c r="AT1703" s="20" t="str">
        <f aca="false">HYPERLINK("https://www.google.iq/maps/search/+34.4364,45.0598/@34.4364,45.0598,14z?hl=en","Maplink2")</f>
        <v>Maplink2</v>
      </c>
      <c r="AU1703" s="20" t="str">
        <f aca="false">HYPERLINK("http://www.bing.com/maps/?lvl=14&amp;sty=h&amp;cp=34.4364~45.0598&amp;sp=point.34.4364_45.0598","Maplink3")</f>
        <v>Maplink3</v>
      </c>
    </row>
    <row r="1704" customFormat="false" ht="15" hidden="false" customHeight="true" outlineLevel="0" collapsed="false">
      <c r="A1704" s="15" t="n">
        <v>28424</v>
      </c>
      <c r="B1704" s="16" t="s">
        <v>20</v>
      </c>
      <c r="C1704" s="16" t="s">
        <v>3340</v>
      </c>
      <c r="D1704" s="16" t="s">
        <v>3365</v>
      </c>
      <c r="E1704" s="17" t="s">
        <v>3366</v>
      </c>
      <c r="F1704" s="16" t="n">
        <v>34.6895972</v>
      </c>
      <c r="G1704" s="16" t="n">
        <v>44.958551</v>
      </c>
      <c r="H1704" s="18" t="n">
        <v>19</v>
      </c>
      <c r="I1704" s="18" t="n">
        <v>114</v>
      </c>
      <c r="J1704" s="19" t="n">
        <v>2</v>
      </c>
      <c r="K1704" s="19" t="n">
        <v>6</v>
      </c>
      <c r="L1704" s="19"/>
      <c r="M1704" s="19"/>
      <c r="N1704" s="19"/>
      <c r="O1704" s="19" t="n">
        <v>11</v>
      </c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 t="n">
        <v>19</v>
      </c>
      <c r="AI1704" s="19"/>
      <c r="AJ1704" s="19"/>
      <c r="AK1704" s="19"/>
      <c r="AL1704" s="19" t="n">
        <v>5</v>
      </c>
      <c r="AM1704" s="19" t="n">
        <v>6</v>
      </c>
      <c r="AN1704" s="19" t="n">
        <v>2</v>
      </c>
      <c r="AO1704" s="19" t="n">
        <v>6</v>
      </c>
      <c r="AP1704" s="19"/>
      <c r="AQ1704" s="19"/>
      <c r="AR1704" s="19"/>
      <c r="AS1704" s="20" t="str">
        <f aca="false">HYPERLINK("http://www.openstreetmap.org/?mlat=34.6896&amp;mlon=44.9586&amp;zoom=12#map=12/34.6896/44.9586","Maplink1")</f>
        <v>Maplink1</v>
      </c>
      <c r="AT1704" s="20" t="str">
        <f aca="false">HYPERLINK("https://www.google.iq/maps/search/+34.6896,44.9586/@34.6896,44.9586,14z?hl=en","Maplink2")</f>
        <v>Maplink2</v>
      </c>
      <c r="AU1704" s="20" t="str">
        <f aca="false">HYPERLINK("http://www.bing.com/maps/?lvl=14&amp;sty=h&amp;cp=34.6896~44.9586&amp;sp=point.34.6896_44.9586","Maplink3")</f>
        <v>Maplink3</v>
      </c>
    </row>
    <row r="1705" customFormat="false" ht="15" hidden="false" customHeight="true" outlineLevel="0" collapsed="false">
      <c r="A1705" s="15" t="n">
        <v>25429</v>
      </c>
      <c r="B1705" s="16" t="s">
        <v>20</v>
      </c>
      <c r="C1705" s="16" t="s">
        <v>3340</v>
      </c>
      <c r="D1705" s="16" t="s">
        <v>3367</v>
      </c>
      <c r="E1705" s="17" t="s">
        <v>3368</v>
      </c>
      <c r="F1705" s="16" t="n">
        <v>34.59485072</v>
      </c>
      <c r="G1705" s="16" t="n">
        <v>44.92643195</v>
      </c>
      <c r="H1705" s="18" t="n">
        <v>100</v>
      </c>
      <c r="I1705" s="18" t="n">
        <v>600</v>
      </c>
      <c r="J1705" s="19"/>
      <c r="K1705" s="19"/>
      <c r="L1705" s="19"/>
      <c r="M1705" s="19"/>
      <c r="N1705" s="19"/>
      <c r="O1705" s="19" t="n">
        <v>100</v>
      </c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 t="n">
        <v>60</v>
      </c>
      <c r="AD1705" s="19"/>
      <c r="AE1705" s="19"/>
      <c r="AF1705" s="19"/>
      <c r="AG1705" s="19"/>
      <c r="AH1705" s="19" t="n">
        <v>40</v>
      </c>
      <c r="AI1705" s="19"/>
      <c r="AJ1705" s="19"/>
      <c r="AK1705" s="19"/>
      <c r="AL1705" s="19"/>
      <c r="AM1705" s="19" t="n">
        <v>100</v>
      </c>
      <c r="AN1705" s="19"/>
      <c r="AO1705" s="19"/>
      <c r="AP1705" s="19"/>
      <c r="AQ1705" s="19"/>
      <c r="AR1705" s="19"/>
      <c r="AS1705" s="20" t="str">
        <f aca="false">HYPERLINK("http://www.openstreetmap.org/?mlat=34.5949&amp;mlon=44.9264&amp;zoom=12#map=12/34.5949/44.9264","Maplink1")</f>
        <v>Maplink1</v>
      </c>
      <c r="AT1705" s="20" t="str">
        <f aca="false">HYPERLINK("https://www.google.iq/maps/search/+34.5949,44.9264/@34.5949,44.9264,14z?hl=en","Maplink2")</f>
        <v>Maplink2</v>
      </c>
      <c r="AU1705" s="20" t="str">
        <f aca="false">HYPERLINK("http://www.bing.com/maps/?lvl=14&amp;sty=h&amp;cp=34.5949~44.9264&amp;sp=point.34.5949_44.9264","Maplink3")</f>
        <v>Maplink3</v>
      </c>
    </row>
    <row r="1706" customFormat="false" ht="15" hidden="false" customHeight="true" outlineLevel="0" collapsed="false">
      <c r="A1706" s="15" t="n">
        <v>25256</v>
      </c>
      <c r="B1706" s="16" t="s">
        <v>20</v>
      </c>
      <c r="C1706" s="16" t="s">
        <v>3340</v>
      </c>
      <c r="D1706" s="16" t="s">
        <v>3369</v>
      </c>
      <c r="E1706" s="17" t="s">
        <v>3370</v>
      </c>
      <c r="F1706" s="16" t="n">
        <v>34.43797586</v>
      </c>
      <c r="G1706" s="16" t="n">
        <v>45.14504377</v>
      </c>
      <c r="H1706" s="18" t="n">
        <v>60</v>
      </c>
      <c r="I1706" s="18" t="n">
        <v>360</v>
      </c>
      <c r="J1706" s="19"/>
      <c r="K1706" s="19"/>
      <c r="L1706" s="19"/>
      <c r="M1706" s="19"/>
      <c r="N1706" s="19"/>
      <c r="O1706" s="19" t="n">
        <v>60</v>
      </c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 t="n">
        <v>30</v>
      </c>
      <c r="AD1706" s="19"/>
      <c r="AE1706" s="19"/>
      <c r="AF1706" s="19"/>
      <c r="AG1706" s="19"/>
      <c r="AH1706" s="19"/>
      <c r="AI1706" s="19"/>
      <c r="AJ1706" s="19" t="n">
        <v>30</v>
      </c>
      <c r="AK1706" s="19"/>
      <c r="AL1706" s="19"/>
      <c r="AM1706" s="19" t="n">
        <v>60</v>
      </c>
      <c r="AN1706" s="19"/>
      <c r="AO1706" s="19"/>
      <c r="AP1706" s="19"/>
      <c r="AQ1706" s="19"/>
      <c r="AR1706" s="19"/>
      <c r="AS1706" s="20" t="str">
        <f aca="false">HYPERLINK("http://www.openstreetmap.org/?mlat=34.438&amp;mlon=45.145&amp;zoom=12#map=12/34.438/45.145","Maplink1")</f>
        <v>Maplink1</v>
      </c>
      <c r="AT1706" s="20" t="str">
        <f aca="false">HYPERLINK("https://www.google.iq/maps/search/+34.438,45.145/@34.438,45.145,14z?hl=en","Maplink2")</f>
        <v>Maplink2</v>
      </c>
      <c r="AU1706" s="20" t="str">
        <f aca="false">HYPERLINK("http://www.bing.com/maps/?lvl=14&amp;sty=h&amp;cp=34.438~45.145&amp;sp=point.34.438_45.145","Maplink3")</f>
        <v>Maplink3</v>
      </c>
    </row>
    <row r="1707" customFormat="false" ht="15" hidden="false" customHeight="true" outlineLevel="0" collapsed="false">
      <c r="A1707" s="15" t="n">
        <v>28432</v>
      </c>
      <c r="B1707" s="16" t="s">
        <v>20</v>
      </c>
      <c r="C1707" s="16" t="s">
        <v>3340</v>
      </c>
      <c r="D1707" s="16" t="s">
        <v>3371</v>
      </c>
      <c r="E1707" s="17" t="s">
        <v>2820</v>
      </c>
      <c r="F1707" s="16" t="n">
        <v>34.69234523</v>
      </c>
      <c r="G1707" s="16" t="n">
        <v>44.96510348</v>
      </c>
      <c r="H1707" s="18" t="n">
        <v>77</v>
      </c>
      <c r="I1707" s="18" t="n">
        <v>462</v>
      </c>
      <c r="J1707" s="19" t="n">
        <v>12</v>
      </c>
      <c r="K1707" s="19" t="n">
        <v>14</v>
      </c>
      <c r="L1707" s="19"/>
      <c r="M1707" s="19"/>
      <c r="N1707" s="19"/>
      <c r="O1707" s="19" t="n">
        <v>29</v>
      </c>
      <c r="P1707" s="19"/>
      <c r="Q1707" s="19"/>
      <c r="R1707" s="19"/>
      <c r="S1707" s="19"/>
      <c r="T1707" s="19"/>
      <c r="U1707" s="19"/>
      <c r="V1707" s="19"/>
      <c r="W1707" s="19"/>
      <c r="X1707" s="19" t="n">
        <v>22</v>
      </c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 t="n">
        <v>77</v>
      </c>
      <c r="AI1707" s="19"/>
      <c r="AJ1707" s="19"/>
      <c r="AK1707" s="19"/>
      <c r="AL1707" s="19" t="n">
        <v>13</v>
      </c>
      <c r="AM1707" s="19" t="n">
        <v>31</v>
      </c>
      <c r="AN1707" s="19" t="n">
        <v>13</v>
      </c>
      <c r="AO1707" s="19" t="n">
        <v>20</v>
      </c>
      <c r="AP1707" s="19"/>
      <c r="AQ1707" s="19"/>
      <c r="AR1707" s="19"/>
      <c r="AS1707" s="20" t="str">
        <f aca="false">HYPERLINK("http://www.openstreetmap.org/?mlat=34.6923&amp;mlon=44.9651&amp;zoom=12#map=12/34.6923/44.9651","Maplink1")</f>
        <v>Maplink1</v>
      </c>
      <c r="AT1707" s="20" t="str">
        <f aca="false">HYPERLINK("https://www.google.iq/maps/search/+34.6923,44.9651/@34.6923,44.9651,14z?hl=en","Maplink2")</f>
        <v>Maplink2</v>
      </c>
      <c r="AU1707" s="20" t="str">
        <f aca="false">HYPERLINK("http://www.bing.com/maps/?lvl=14&amp;sty=h&amp;cp=34.6923~44.9651&amp;sp=point.34.6923_44.9651","Maplink3")</f>
        <v>Maplink3</v>
      </c>
    </row>
    <row r="1708" customFormat="false" ht="15" hidden="false" customHeight="true" outlineLevel="0" collapsed="false">
      <c r="A1708" s="15" t="n">
        <v>10592</v>
      </c>
      <c r="B1708" s="16" t="s">
        <v>20</v>
      </c>
      <c r="C1708" s="16" t="s">
        <v>3340</v>
      </c>
      <c r="D1708" s="16" t="s">
        <v>3372</v>
      </c>
      <c r="E1708" s="17" t="s">
        <v>3373</v>
      </c>
      <c r="F1708" s="16" t="n">
        <v>34.4304438516</v>
      </c>
      <c r="G1708" s="16" t="n">
        <v>44.9226581535</v>
      </c>
      <c r="H1708" s="18" t="n">
        <v>150</v>
      </c>
      <c r="I1708" s="18" t="n">
        <v>900</v>
      </c>
      <c r="J1708" s="19"/>
      <c r="K1708" s="19"/>
      <c r="L1708" s="19"/>
      <c r="M1708" s="19"/>
      <c r="N1708" s="19"/>
      <c r="O1708" s="19" t="n">
        <v>150</v>
      </c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 t="n">
        <v>50</v>
      </c>
      <c r="AD1708" s="19"/>
      <c r="AE1708" s="19"/>
      <c r="AF1708" s="19"/>
      <c r="AG1708" s="19"/>
      <c r="AH1708" s="19" t="n">
        <v>100</v>
      </c>
      <c r="AI1708" s="19"/>
      <c r="AJ1708" s="19"/>
      <c r="AK1708" s="19"/>
      <c r="AL1708" s="19"/>
      <c r="AM1708" s="19" t="n">
        <v>150</v>
      </c>
      <c r="AN1708" s="19"/>
      <c r="AO1708" s="19"/>
      <c r="AP1708" s="19"/>
      <c r="AQ1708" s="19"/>
      <c r="AR1708" s="19"/>
      <c r="AS1708" s="20" t="str">
        <f aca="false">HYPERLINK("http://www.openstreetmap.org/?mlat=34.4304&amp;mlon=44.9227&amp;zoom=12#map=12/34.4304/44.9227","Maplink1")</f>
        <v>Maplink1</v>
      </c>
      <c r="AT1708" s="20" t="str">
        <f aca="false">HYPERLINK("https://www.google.iq/maps/search/+34.4304,44.9227/@34.4304,44.9227,14z?hl=en","Maplink2")</f>
        <v>Maplink2</v>
      </c>
      <c r="AU1708" s="20" t="str">
        <f aca="false">HYPERLINK("http://www.bing.com/maps/?lvl=14&amp;sty=h&amp;cp=34.4304~44.9227&amp;sp=point.34.4304_44.9227","Maplink3")</f>
        <v>Maplink3</v>
      </c>
    </row>
    <row r="1709" customFormat="false" ht="15" hidden="false" customHeight="true" outlineLevel="0" collapsed="false">
      <c r="A1709" s="15" t="n">
        <v>28430</v>
      </c>
      <c r="B1709" s="16" t="s">
        <v>20</v>
      </c>
      <c r="C1709" s="16" t="s">
        <v>3340</v>
      </c>
      <c r="D1709" s="16" t="s">
        <v>3374</v>
      </c>
      <c r="E1709" s="17" t="s">
        <v>3375</v>
      </c>
      <c r="F1709" s="16" t="n">
        <v>34.68388089</v>
      </c>
      <c r="G1709" s="16" t="n">
        <v>44.94808527</v>
      </c>
      <c r="H1709" s="18" t="n">
        <v>75</v>
      </c>
      <c r="I1709" s="18" t="n">
        <v>450</v>
      </c>
      <c r="J1709" s="19" t="n">
        <v>9</v>
      </c>
      <c r="K1709" s="19" t="n">
        <v>12</v>
      </c>
      <c r="L1709" s="19" t="n">
        <v>6</v>
      </c>
      <c r="M1709" s="19"/>
      <c r="N1709" s="19"/>
      <c r="O1709" s="19" t="n">
        <v>34</v>
      </c>
      <c r="P1709" s="19"/>
      <c r="Q1709" s="19"/>
      <c r="R1709" s="19"/>
      <c r="S1709" s="19"/>
      <c r="T1709" s="19"/>
      <c r="U1709" s="19"/>
      <c r="V1709" s="19"/>
      <c r="W1709" s="19"/>
      <c r="X1709" s="19" t="n">
        <v>14</v>
      </c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 t="n">
        <v>73</v>
      </c>
      <c r="AI1709" s="19"/>
      <c r="AJ1709" s="19" t="n">
        <v>2</v>
      </c>
      <c r="AK1709" s="19"/>
      <c r="AL1709" s="19" t="n">
        <v>10</v>
      </c>
      <c r="AM1709" s="19" t="n">
        <v>39</v>
      </c>
      <c r="AN1709" s="19" t="n">
        <v>9</v>
      </c>
      <c r="AO1709" s="19" t="n">
        <v>15</v>
      </c>
      <c r="AP1709" s="19" t="n">
        <v>2</v>
      </c>
      <c r="AQ1709" s="19"/>
      <c r="AR1709" s="19"/>
      <c r="AS1709" s="20" t="str">
        <f aca="false">HYPERLINK("http://www.openstreetmap.org/?mlat=34.6839&amp;mlon=44.9481&amp;zoom=12#map=12/34.6839/44.9481","Maplink1")</f>
        <v>Maplink1</v>
      </c>
      <c r="AT1709" s="20" t="str">
        <f aca="false">HYPERLINK("https://www.google.iq/maps/search/+34.6839,44.9481/@34.6839,44.9481,14z?hl=en","Maplink2")</f>
        <v>Maplink2</v>
      </c>
      <c r="AU1709" s="20" t="str">
        <f aca="false">HYPERLINK("http://www.bing.com/maps/?lvl=14&amp;sty=h&amp;cp=34.6839~44.9481&amp;sp=point.34.6839_44.9481","Maplink3")</f>
        <v>Maplink3</v>
      </c>
    </row>
    <row r="1710" customFormat="false" ht="15" hidden="false" customHeight="true" outlineLevel="0" collapsed="false">
      <c r="A1710" s="15" t="n">
        <v>28428</v>
      </c>
      <c r="B1710" s="16" t="s">
        <v>20</v>
      </c>
      <c r="C1710" s="16" t="s">
        <v>3340</v>
      </c>
      <c r="D1710" s="16" t="s">
        <v>3376</v>
      </c>
      <c r="E1710" s="17" t="s">
        <v>2978</v>
      </c>
      <c r="F1710" s="16" t="n">
        <v>34.69105967</v>
      </c>
      <c r="G1710" s="16" t="n">
        <v>44.96222385</v>
      </c>
      <c r="H1710" s="18" t="n">
        <v>55</v>
      </c>
      <c r="I1710" s="18" t="n">
        <v>330</v>
      </c>
      <c r="J1710" s="19" t="n">
        <v>5</v>
      </c>
      <c r="K1710" s="19" t="n">
        <v>10</v>
      </c>
      <c r="L1710" s="19"/>
      <c r="M1710" s="19"/>
      <c r="N1710" s="19"/>
      <c r="O1710" s="19" t="n">
        <v>33</v>
      </c>
      <c r="P1710" s="19"/>
      <c r="Q1710" s="19"/>
      <c r="R1710" s="19"/>
      <c r="S1710" s="19"/>
      <c r="T1710" s="19"/>
      <c r="U1710" s="19"/>
      <c r="V1710" s="19"/>
      <c r="W1710" s="19"/>
      <c r="X1710" s="19" t="n">
        <v>7</v>
      </c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 t="n">
        <v>47</v>
      </c>
      <c r="AI1710" s="19"/>
      <c r="AJ1710" s="19" t="n">
        <v>8</v>
      </c>
      <c r="AK1710" s="19"/>
      <c r="AL1710" s="19" t="n">
        <v>10</v>
      </c>
      <c r="AM1710" s="19" t="n">
        <v>31</v>
      </c>
      <c r="AN1710" s="19" t="n">
        <v>6</v>
      </c>
      <c r="AO1710" s="19" t="n">
        <v>6</v>
      </c>
      <c r="AP1710" s="19" t="n">
        <v>2</v>
      </c>
      <c r="AQ1710" s="19"/>
      <c r="AR1710" s="19"/>
      <c r="AS1710" s="20" t="str">
        <f aca="false">HYPERLINK("http://www.openstreetmap.org/?mlat=34.6911&amp;mlon=44.9622&amp;zoom=12#map=12/34.6911/44.9622","Maplink1")</f>
        <v>Maplink1</v>
      </c>
      <c r="AT1710" s="20" t="str">
        <f aca="false">HYPERLINK("https://www.google.iq/maps/search/+34.6911,44.9622/@34.6911,44.9622,14z?hl=en","Maplink2")</f>
        <v>Maplink2</v>
      </c>
      <c r="AU1710" s="20" t="str">
        <f aca="false">HYPERLINK("http://www.bing.com/maps/?lvl=14&amp;sty=h&amp;cp=34.6911~44.9622&amp;sp=point.34.6911_44.9622","Maplink3")</f>
        <v>Maplink3</v>
      </c>
    </row>
    <row r="1711" customFormat="false" ht="15" hidden="false" customHeight="true" outlineLevel="0" collapsed="false">
      <c r="A1711" s="15" t="n">
        <v>11023</v>
      </c>
      <c r="B1711" s="16" t="s">
        <v>20</v>
      </c>
      <c r="C1711" s="16" t="s">
        <v>3340</v>
      </c>
      <c r="D1711" s="16" t="s">
        <v>3377</v>
      </c>
      <c r="E1711" s="17" t="s">
        <v>3378</v>
      </c>
      <c r="F1711" s="16" t="n">
        <v>34.74517</v>
      </c>
      <c r="G1711" s="16" t="n">
        <v>45.06593</v>
      </c>
      <c r="H1711" s="18" t="n">
        <v>66</v>
      </c>
      <c r="I1711" s="18" t="n">
        <v>396</v>
      </c>
      <c r="J1711" s="19" t="n">
        <v>4</v>
      </c>
      <c r="K1711" s="19" t="n">
        <v>1</v>
      </c>
      <c r="L1711" s="19"/>
      <c r="M1711" s="19"/>
      <c r="N1711" s="19"/>
      <c r="O1711" s="19" t="n">
        <v>28</v>
      </c>
      <c r="P1711" s="19"/>
      <c r="Q1711" s="19"/>
      <c r="R1711" s="19"/>
      <c r="S1711" s="19"/>
      <c r="T1711" s="19"/>
      <c r="U1711" s="19"/>
      <c r="V1711" s="19"/>
      <c r="W1711" s="19"/>
      <c r="X1711" s="19" t="n">
        <v>33</v>
      </c>
      <c r="Y1711" s="19"/>
      <c r="Z1711" s="19"/>
      <c r="AA1711" s="19"/>
      <c r="AB1711" s="19"/>
      <c r="AC1711" s="19"/>
      <c r="AD1711" s="19"/>
      <c r="AE1711" s="19" t="n">
        <v>5</v>
      </c>
      <c r="AF1711" s="19"/>
      <c r="AG1711" s="19"/>
      <c r="AH1711" s="19" t="n">
        <v>60</v>
      </c>
      <c r="AI1711" s="19"/>
      <c r="AJ1711" s="19" t="n">
        <v>1</v>
      </c>
      <c r="AK1711" s="19"/>
      <c r="AL1711" s="19" t="n">
        <v>11</v>
      </c>
      <c r="AM1711" s="19" t="n">
        <v>38</v>
      </c>
      <c r="AN1711" s="19" t="n">
        <v>17</v>
      </c>
      <c r="AO1711" s="19"/>
      <c r="AP1711" s="19"/>
      <c r="AQ1711" s="19"/>
      <c r="AR1711" s="19"/>
      <c r="AS1711" s="20" t="str">
        <f aca="false">HYPERLINK("http://www.openstreetmap.org/?mlat=34.7452&amp;mlon=45.0659&amp;zoom=12#map=12/34.7452/45.0659","Maplink1")</f>
        <v>Maplink1</v>
      </c>
      <c r="AT1711" s="20" t="str">
        <f aca="false">HYPERLINK("https://www.google.iq/maps/search/+34.7452,45.0659/@34.7452,45.0659,14z?hl=en","Maplink2")</f>
        <v>Maplink2</v>
      </c>
      <c r="AU1711" s="20" t="str">
        <f aca="false">HYPERLINK("http://www.bing.com/maps/?lvl=14&amp;sty=h&amp;cp=34.7452~45.0659&amp;sp=point.34.7452_45.0659","Maplink3")</f>
        <v>Maplink3</v>
      </c>
    </row>
    <row r="1712" customFormat="false" ht="15" hidden="false" customHeight="true" outlineLevel="0" collapsed="false">
      <c r="A1712" s="15" t="n">
        <v>28429</v>
      </c>
      <c r="B1712" s="16" t="s">
        <v>20</v>
      </c>
      <c r="C1712" s="16" t="s">
        <v>3340</v>
      </c>
      <c r="D1712" s="16" t="s">
        <v>3379</v>
      </c>
      <c r="E1712" s="17" t="s">
        <v>2937</v>
      </c>
      <c r="F1712" s="16" t="n">
        <v>34.68559138</v>
      </c>
      <c r="G1712" s="16" t="n">
        <v>44.95674846</v>
      </c>
      <c r="H1712" s="18" t="n">
        <v>60</v>
      </c>
      <c r="I1712" s="18" t="n">
        <v>360</v>
      </c>
      <c r="J1712" s="19" t="n">
        <v>16</v>
      </c>
      <c r="K1712" s="19"/>
      <c r="L1712" s="19" t="n">
        <v>5</v>
      </c>
      <c r="M1712" s="19"/>
      <c r="N1712" s="19"/>
      <c r="O1712" s="19" t="n">
        <v>22</v>
      </c>
      <c r="P1712" s="19"/>
      <c r="Q1712" s="19"/>
      <c r="R1712" s="19"/>
      <c r="S1712" s="19"/>
      <c r="T1712" s="19"/>
      <c r="U1712" s="19"/>
      <c r="V1712" s="19"/>
      <c r="W1712" s="19"/>
      <c r="X1712" s="19" t="n">
        <v>17</v>
      </c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 t="n">
        <v>60</v>
      </c>
      <c r="AI1712" s="19"/>
      <c r="AJ1712" s="19"/>
      <c r="AK1712" s="19"/>
      <c r="AL1712" s="19" t="n">
        <v>9</v>
      </c>
      <c r="AM1712" s="19" t="n">
        <v>18</v>
      </c>
      <c r="AN1712" s="19" t="n">
        <v>9</v>
      </c>
      <c r="AO1712" s="19" t="n">
        <v>16</v>
      </c>
      <c r="AP1712" s="19" t="n">
        <v>6</v>
      </c>
      <c r="AQ1712" s="19" t="n">
        <v>2</v>
      </c>
      <c r="AR1712" s="19"/>
      <c r="AS1712" s="20" t="str">
        <f aca="false">HYPERLINK("http://www.openstreetmap.org/?mlat=34.6856&amp;mlon=44.9567&amp;zoom=12#map=12/34.6856/44.9567","Maplink1")</f>
        <v>Maplink1</v>
      </c>
      <c r="AT1712" s="20" t="str">
        <f aca="false">HYPERLINK("https://www.google.iq/maps/search/+34.6856,44.9567/@34.6856,44.9567,14z?hl=en","Maplink2")</f>
        <v>Maplink2</v>
      </c>
      <c r="AU1712" s="20" t="str">
        <f aca="false">HYPERLINK("http://www.bing.com/maps/?lvl=14&amp;sty=h&amp;cp=34.6856~44.9567&amp;sp=point.34.6856_44.9567","Maplink3")</f>
        <v>Maplink3</v>
      </c>
    </row>
    <row r="1713" customFormat="false" ht="15" hidden="false" customHeight="true" outlineLevel="0" collapsed="false">
      <c r="A1713" s="15" t="n">
        <v>27224</v>
      </c>
      <c r="B1713" s="16" t="s">
        <v>21</v>
      </c>
      <c r="C1713" s="16" t="s">
        <v>3380</v>
      </c>
      <c r="D1713" s="16" t="s">
        <v>3381</v>
      </c>
      <c r="E1713" s="17" t="s">
        <v>3382</v>
      </c>
      <c r="F1713" s="16" t="n">
        <v>36.63345559</v>
      </c>
      <c r="G1713" s="16" t="n">
        <v>44.88805599</v>
      </c>
      <c r="H1713" s="18" t="n">
        <v>58</v>
      </c>
      <c r="I1713" s="18" t="n">
        <v>348</v>
      </c>
      <c r="J1713" s="19" t="n">
        <v>27</v>
      </c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 t="n">
        <v>31</v>
      </c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 t="n">
        <v>58</v>
      </c>
      <c r="AI1713" s="19"/>
      <c r="AJ1713" s="19"/>
      <c r="AK1713" s="19"/>
      <c r="AL1713" s="19"/>
      <c r="AM1713" s="19" t="n">
        <v>31</v>
      </c>
      <c r="AN1713" s="19"/>
      <c r="AO1713" s="19"/>
      <c r="AP1713" s="19" t="n">
        <v>27</v>
      </c>
      <c r="AQ1713" s="19"/>
      <c r="AR1713" s="19"/>
      <c r="AS1713" s="20" t="str">
        <f aca="false">HYPERLINK("http://www.openstreetmap.org/?mlat=36.6335&amp;mlon=44.8881&amp;zoom=12#map=12/36.6335/44.8881","Maplink1")</f>
        <v>Maplink1</v>
      </c>
      <c r="AT1713" s="20" t="str">
        <f aca="false">HYPERLINK("https://www.google.iq/maps/search/+36.6335,44.8881/@36.6335,44.8881,14z?hl=en","Maplink2")</f>
        <v>Maplink2</v>
      </c>
      <c r="AU1713" s="20" t="str">
        <f aca="false">HYPERLINK("http://www.bing.com/maps/?lvl=14&amp;sty=h&amp;cp=36.6335~44.8881&amp;sp=point.36.6335_44.8881","Maplink3")</f>
        <v>Maplink3</v>
      </c>
    </row>
    <row r="1714" customFormat="false" ht="15" hidden="false" customHeight="true" outlineLevel="0" collapsed="false">
      <c r="A1714" s="15" t="n">
        <v>21582</v>
      </c>
      <c r="B1714" s="16" t="s">
        <v>21</v>
      </c>
      <c r="C1714" s="16" t="s">
        <v>21</v>
      </c>
      <c r="D1714" s="16" t="s">
        <v>3383</v>
      </c>
      <c r="E1714" s="16" t="s">
        <v>3384</v>
      </c>
      <c r="F1714" s="16" t="n">
        <v>36.19283619</v>
      </c>
      <c r="G1714" s="16" t="n">
        <v>44.14193354</v>
      </c>
      <c r="H1714" s="18" t="n">
        <v>54</v>
      </c>
      <c r="I1714" s="18" t="n">
        <v>324</v>
      </c>
      <c r="J1714" s="19" t="n">
        <v>31</v>
      </c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 t="n">
        <v>23</v>
      </c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 t="n">
        <v>54</v>
      </c>
      <c r="AI1714" s="19"/>
      <c r="AJ1714" s="19"/>
      <c r="AK1714" s="19"/>
      <c r="AL1714" s="19" t="n">
        <v>31</v>
      </c>
      <c r="AM1714" s="19" t="n">
        <v>23</v>
      </c>
      <c r="AN1714" s="19"/>
      <c r="AO1714" s="19"/>
      <c r="AP1714" s="19"/>
      <c r="AQ1714" s="19"/>
      <c r="AR1714" s="19"/>
      <c r="AS1714" s="20" t="str">
        <f aca="false">HYPERLINK("http://www.openstreetmap.org/?mlat=36.1928&amp;mlon=44.1419&amp;zoom=12#map=12/36.1928/44.1419","Maplink1")</f>
        <v>Maplink1</v>
      </c>
      <c r="AT1714" s="20" t="str">
        <f aca="false">HYPERLINK("https://www.google.iq/maps/search/+36.1928,44.1419/@36.1928,44.1419,14z?hl=en","Maplink2")</f>
        <v>Maplink2</v>
      </c>
      <c r="AU1714" s="20" t="str">
        <f aca="false">HYPERLINK("http://www.bing.com/maps/?lvl=14&amp;sty=h&amp;cp=36.1928~44.1419&amp;sp=point.36.1928_44.1419","Maplink3")</f>
        <v>Maplink3</v>
      </c>
    </row>
    <row r="1715" customFormat="false" ht="15" hidden="false" customHeight="true" outlineLevel="0" collapsed="false">
      <c r="A1715" s="15" t="n">
        <v>20980</v>
      </c>
      <c r="B1715" s="16" t="s">
        <v>21</v>
      </c>
      <c r="C1715" s="16" t="s">
        <v>21</v>
      </c>
      <c r="D1715" s="16" t="s">
        <v>3385</v>
      </c>
      <c r="E1715" s="16" t="s">
        <v>3386</v>
      </c>
      <c r="F1715" s="16" t="n">
        <v>36.24349834</v>
      </c>
      <c r="G1715" s="16" t="n">
        <v>43.983621</v>
      </c>
      <c r="H1715" s="18" t="n">
        <v>1170</v>
      </c>
      <c r="I1715" s="18" t="n">
        <v>7020</v>
      </c>
      <c r="J1715" s="19" t="n">
        <v>95</v>
      </c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 t="n">
        <v>1000</v>
      </c>
      <c r="W1715" s="19"/>
      <c r="X1715" s="19" t="n">
        <v>75</v>
      </c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 t="n">
        <v>1170</v>
      </c>
      <c r="AI1715" s="19"/>
      <c r="AJ1715" s="19"/>
      <c r="AK1715" s="19"/>
      <c r="AL1715" s="19" t="n">
        <v>40</v>
      </c>
      <c r="AM1715" s="19" t="n">
        <v>1000</v>
      </c>
      <c r="AN1715" s="19" t="n">
        <v>75</v>
      </c>
      <c r="AO1715" s="19"/>
      <c r="AP1715" s="19" t="n">
        <v>55</v>
      </c>
      <c r="AQ1715" s="19"/>
      <c r="AR1715" s="19"/>
      <c r="AS1715" s="20" t="str">
        <f aca="false">HYPERLINK("http://www.openstreetmap.org/?mlat=36.2435&amp;mlon=43.9836&amp;zoom=12#map=12/36.2435/43.9836","Maplink1")</f>
        <v>Maplink1</v>
      </c>
      <c r="AT1715" s="20" t="str">
        <f aca="false">HYPERLINK("https://www.google.iq/maps/search/+36.2435,43.9836/@36.2435,43.9836,14z?hl=en","Maplink2")</f>
        <v>Maplink2</v>
      </c>
      <c r="AU1715" s="20" t="str">
        <f aca="false">HYPERLINK("http://www.bing.com/maps/?lvl=14&amp;sty=h&amp;cp=36.2435~43.9836&amp;sp=point.36.2435_43.9836","Maplink3")</f>
        <v>Maplink3</v>
      </c>
    </row>
    <row r="1716" customFormat="false" ht="15" hidden="false" customHeight="true" outlineLevel="0" collapsed="false">
      <c r="A1716" s="15" t="n">
        <v>27147</v>
      </c>
      <c r="B1716" s="16" t="s">
        <v>21</v>
      </c>
      <c r="C1716" s="16" t="s">
        <v>21</v>
      </c>
      <c r="D1716" s="16" t="s">
        <v>3387</v>
      </c>
      <c r="E1716" s="17" t="s">
        <v>3388</v>
      </c>
      <c r="F1716" s="16" t="n">
        <v>36.2314061</v>
      </c>
      <c r="G1716" s="16" t="n">
        <v>43.9974796</v>
      </c>
      <c r="H1716" s="18" t="n">
        <v>75</v>
      </c>
      <c r="I1716" s="18" t="n">
        <v>450</v>
      </c>
      <c r="J1716" s="19" t="n">
        <v>43</v>
      </c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 t="n">
        <v>32</v>
      </c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 t="n">
        <v>75</v>
      </c>
      <c r="AI1716" s="19"/>
      <c r="AJ1716" s="19"/>
      <c r="AK1716" s="19"/>
      <c r="AL1716" s="19"/>
      <c r="AM1716" s="19" t="n">
        <v>39</v>
      </c>
      <c r="AN1716" s="19"/>
      <c r="AO1716" s="19"/>
      <c r="AP1716" s="19" t="n">
        <v>17</v>
      </c>
      <c r="AQ1716" s="19" t="n">
        <v>19</v>
      </c>
      <c r="AR1716" s="19"/>
      <c r="AS1716" s="20" t="str">
        <f aca="false">HYPERLINK("http://www.openstreetmap.org/?mlat=36.2314&amp;mlon=43.9975&amp;zoom=12#map=12/36.2314/43.9975","Maplink1")</f>
        <v>Maplink1</v>
      </c>
      <c r="AT1716" s="20" t="str">
        <f aca="false">HYPERLINK("https://www.google.iq/maps/search/+36.2314,43.9975/@36.2314,43.9975,14z?hl=en","Maplink2")</f>
        <v>Maplink2</v>
      </c>
      <c r="AU1716" s="20" t="str">
        <f aca="false">HYPERLINK("http://www.bing.com/maps/?lvl=14&amp;sty=h&amp;cp=36.2314~43.9975&amp;sp=point.36.2314_43.9975","Maplink3")</f>
        <v>Maplink3</v>
      </c>
    </row>
    <row r="1717" customFormat="false" ht="15" hidden="false" customHeight="true" outlineLevel="0" collapsed="false">
      <c r="A1717" s="15" t="n">
        <v>21874</v>
      </c>
      <c r="B1717" s="16" t="s">
        <v>21</v>
      </c>
      <c r="C1717" s="16" t="s">
        <v>21</v>
      </c>
      <c r="D1717" s="16" t="s">
        <v>3389</v>
      </c>
      <c r="E1717" s="17" t="s">
        <v>795</v>
      </c>
      <c r="F1717" s="16" t="n">
        <v>36.17273842</v>
      </c>
      <c r="G1717" s="16" t="n">
        <v>44.02214306</v>
      </c>
      <c r="H1717" s="18" t="n">
        <v>208</v>
      </c>
      <c r="I1717" s="18" t="n">
        <v>1248</v>
      </c>
      <c r="J1717" s="19" t="n">
        <v>184</v>
      </c>
      <c r="K1717" s="19"/>
      <c r="L1717" s="19" t="n">
        <v>16</v>
      </c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 t="n">
        <v>8</v>
      </c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 t="n">
        <v>208</v>
      </c>
      <c r="AI1717" s="19"/>
      <c r="AJ1717" s="19"/>
      <c r="AK1717" s="19"/>
      <c r="AL1717" s="19"/>
      <c r="AM1717" s="19"/>
      <c r="AN1717" s="19" t="n">
        <v>8</v>
      </c>
      <c r="AO1717" s="19"/>
      <c r="AP1717" s="19" t="n">
        <v>175</v>
      </c>
      <c r="AQ1717" s="19" t="n">
        <v>25</v>
      </c>
      <c r="AR1717" s="19"/>
      <c r="AS1717" s="20" t="str">
        <f aca="false">HYPERLINK("http://www.openstreetmap.org/?mlat=36.1727&amp;mlon=44.0221&amp;zoom=12#map=12/36.1727/44.0221","Maplink1")</f>
        <v>Maplink1</v>
      </c>
      <c r="AT1717" s="20" t="str">
        <f aca="false">HYPERLINK("https://www.google.iq/maps/search/+36.1727,44.0221/@36.1727,44.0221,14z?hl=en","Maplink2")</f>
        <v>Maplink2</v>
      </c>
      <c r="AU1717" s="20" t="str">
        <f aca="false">HYPERLINK("http://www.bing.com/maps/?lvl=14&amp;sty=h&amp;cp=36.1727~44.0221&amp;sp=point.36.1727_44.0221","Maplink3")</f>
        <v>Maplink3</v>
      </c>
    </row>
    <row r="1718" customFormat="false" ht="15" hidden="false" customHeight="true" outlineLevel="0" collapsed="false">
      <c r="A1718" s="15" t="n">
        <v>23908</v>
      </c>
      <c r="B1718" s="16" t="s">
        <v>21</v>
      </c>
      <c r="C1718" s="16" t="s">
        <v>21</v>
      </c>
      <c r="D1718" s="16" t="s">
        <v>3390</v>
      </c>
      <c r="E1718" s="17" t="s">
        <v>3391</v>
      </c>
      <c r="F1718" s="16" t="n">
        <v>36.19261518</v>
      </c>
      <c r="G1718" s="16" t="n">
        <v>44.01700438</v>
      </c>
      <c r="H1718" s="18" t="n">
        <v>80</v>
      </c>
      <c r="I1718" s="18" t="n">
        <v>480</v>
      </c>
      <c r="J1718" s="19" t="n">
        <v>80</v>
      </c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 t="n">
        <v>32</v>
      </c>
      <c r="AE1718" s="19"/>
      <c r="AF1718" s="19"/>
      <c r="AG1718" s="19"/>
      <c r="AH1718" s="19" t="n">
        <v>48</v>
      </c>
      <c r="AI1718" s="19"/>
      <c r="AJ1718" s="19"/>
      <c r="AK1718" s="19"/>
      <c r="AL1718" s="19" t="n">
        <v>10</v>
      </c>
      <c r="AM1718" s="19"/>
      <c r="AN1718" s="19"/>
      <c r="AO1718" s="19"/>
      <c r="AP1718" s="19" t="n">
        <v>59</v>
      </c>
      <c r="AQ1718" s="19" t="n">
        <v>11</v>
      </c>
      <c r="AR1718" s="19"/>
      <c r="AS1718" s="20" t="str">
        <f aca="false">HYPERLINK("http://www.openstreetmap.org/?mlat=36.1926&amp;mlon=44.017&amp;zoom=12#map=12/36.1926/44.017","Maplink1")</f>
        <v>Maplink1</v>
      </c>
      <c r="AT1718" s="20" t="str">
        <f aca="false">HYPERLINK("https://www.google.iq/maps/search/+36.1926,44.017/@36.1926,44.017,14z?hl=en","Maplink2")</f>
        <v>Maplink2</v>
      </c>
      <c r="AU1718" s="20" t="str">
        <f aca="false">HYPERLINK("http://www.bing.com/maps/?lvl=14&amp;sty=h&amp;cp=36.1926~44.017&amp;sp=point.36.1926_44.017","Maplink3")</f>
        <v>Maplink3</v>
      </c>
    </row>
    <row r="1719" customFormat="false" ht="15" hidden="false" customHeight="true" outlineLevel="0" collapsed="false">
      <c r="A1719" s="15" t="n">
        <v>27217</v>
      </c>
      <c r="B1719" s="16" t="s">
        <v>21</v>
      </c>
      <c r="C1719" s="16" t="s">
        <v>21</v>
      </c>
      <c r="D1719" s="16" t="s">
        <v>3392</v>
      </c>
      <c r="E1719" s="17" t="s">
        <v>3393</v>
      </c>
      <c r="F1719" s="16" t="n">
        <v>36.18811428</v>
      </c>
      <c r="G1719" s="16" t="n">
        <v>44.00796054</v>
      </c>
      <c r="H1719" s="18" t="n">
        <v>150</v>
      </c>
      <c r="I1719" s="18" t="n">
        <v>900</v>
      </c>
      <c r="J1719" s="19" t="n">
        <v>135</v>
      </c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 t="n">
        <v>15</v>
      </c>
      <c r="Y1719" s="19"/>
      <c r="Z1719" s="19"/>
      <c r="AA1719" s="19"/>
      <c r="AB1719" s="19"/>
      <c r="AC1719" s="19"/>
      <c r="AD1719" s="19" t="n">
        <v>132</v>
      </c>
      <c r="AE1719" s="19"/>
      <c r="AF1719" s="19"/>
      <c r="AG1719" s="19"/>
      <c r="AH1719" s="19" t="n">
        <v>18</v>
      </c>
      <c r="AI1719" s="19"/>
      <c r="AJ1719" s="19"/>
      <c r="AK1719" s="19"/>
      <c r="AL1719" s="19" t="n">
        <v>125</v>
      </c>
      <c r="AM1719" s="19" t="n">
        <v>15</v>
      </c>
      <c r="AN1719" s="19"/>
      <c r="AO1719" s="19"/>
      <c r="AP1719" s="19"/>
      <c r="AQ1719" s="19" t="n">
        <v>10</v>
      </c>
      <c r="AR1719" s="19"/>
      <c r="AS1719" s="20" t="str">
        <f aca="false">HYPERLINK("http://www.openstreetmap.org/?mlat=36.1881&amp;mlon=44.008&amp;zoom=12#map=12/36.1881/44.008","Maplink1")</f>
        <v>Maplink1</v>
      </c>
      <c r="AT1719" s="20" t="str">
        <f aca="false">HYPERLINK("https://www.google.iq/maps/search/+36.1881,44.008/@36.1881,44.008,14z?hl=en","Maplink2")</f>
        <v>Maplink2</v>
      </c>
      <c r="AU1719" s="20" t="str">
        <f aca="false">HYPERLINK("http://www.bing.com/maps/?lvl=14&amp;sty=h&amp;cp=36.1881~44.008&amp;sp=point.36.1881_44.008","Maplink3")</f>
        <v>Maplink3</v>
      </c>
    </row>
    <row r="1720" customFormat="false" ht="15" hidden="false" customHeight="true" outlineLevel="0" collapsed="false">
      <c r="A1720" s="15" t="n">
        <v>23335</v>
      </c>
      <c r="B1720" s="16" t="s">
        <v>21</v>
      </c>
      <c r="C1720" s="16" t="s">
        <v>21</v>
      </c>
      <c r="D1720" s="16" t="s">
        <v>3394</v>
      </c>
      <c r="E1720" s="17" t="s">
        <v>3395</v>
      </c>
      <c r="F1720" s="16" t="n">
        <v>36.18599879</v>
      </c>
      <c r="G1720" s="16" t="n">
        <v>44.00864326</v>
      </c>
      <c r="H1720" s="18" t="n">
        <v>18</v>
      </c>
      <c r="I1720" s="18" t="n">
        <v>108</v>
      </c>
      <c r="J1720" s="19" t="n">
        <v>18</v>
      </c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 t="n">
        <v>18</v>
      </c>
      <c r="AE1720" s="19"/>
      <c r="AF1720" s="19"/>
      <c r="AG1720" s="19"/>
      <c r="AH1720" s="19"/>
      <c r="AI1720" s="19"/>
      <c r="AJ1720" s="19"/>
      <c r="AK1720" s="19"/>
      <c r="AL1720" s="19" t="n">
        <v>10</v>
      </c>
      <c r="AM1720" s="19"/>
      <c r="AN1720" s="19"/>
      <c r="AO1720" s="19"/>
      <c r="AP1720" s="19"/>
      <c r="AQ1720" s="19" t="n">
        <v>8</v>
      </c>
      <c r="AR1720" s="19"/>
      <c r="AS1720" s="20" t="str">
        <f aca="false">HYPERLINK("http://www.openstreetmap.org/?mlat=36.186&amp;mlon=44.0086&amp;zoom=12#map=12/36.186/44.0086","Maplink1")</f>
        <v>Maplink1</v>
      </c>
      <c r="AT1720" s="20" t="str">
        <f aca="false">HYPERLINK("https://www.google.iq/maps/search/+36.186,44.0086/@36.186,44.0086,14z?hl=en","Maplink2")</f>
        <v>Maplink2</v>
      </c>
      <c r="AU1720" s="20" t="str">
        <f aca="false">HYPERLINK("http://www.bing.com/maps/?lvl=14&amp;sty=h&amp;cp=36.186~44.0086&amp;sp=point.36.186_44.0086","Maplink3")</f>
        <v>Maplink3</v>
      </c>
    </row>
    <row r="1721" customFormat="false" ht="15" hidden="false" customHeight="true" outlineLevel="0" collapsed="false">
      <c r="A1721" s="15" t="n">
        <v>27333</v>
      </c>
      <c r="B1721" s="16" t="s">
        <v>21</v>
      </c>
      <c r="C1721" s="16" t="s">
        <v>21</v>
      </c>
      <c r="D1721" s="16" t="s">
        <v>3396</v>
      </c>
      <c r="E1721" s="17" t="s">
        <v>3397</v>
      </c>
      <c r="F1721" s="16" t="n">
        <v>36.2145816</v>
      </c>
      <c r="G1721" s="16" t="n">
        <v>44.14283166</v>
      </c>
      <c r="H1721" s="18" t="n">
        <v>162</v>
      </c>
      <c r="I1721" s="18" t="n">
        <v>972</v>
      </c>
      <c r="J1721" s="19" t="n">
        <v>129</v>
      </c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 t="n">
        <v>33</v>
      </c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 t="n">
        <v>162</v>
      </c>
      <c r="AI1721" s="19"/>
      <c r="AJ1721" s="19"/>
      <c r="AK1721" s="19"/>
      <c r="AL1721" s="19" t="n">
        <v>52</v>
      </c>
      <c r="AM1721" s="19" t="n">
        <v>33</v>
      </c>
      <c r="AN1721" s="19"/>
      <c r="AO1721" s="19"/>
      <c r="AP1721" s="19" t="n">
        <v>62</v>
      </c>
      <c r="AQ1721" s="19" t="n">
        <v>15</v>
      </c>
      <c r="AR1721" s="19"/>
      <c r="AS1721" s="20" t="str">
        <f aca="false">HYPERLINK("http://www.openstreetmap.org/?mlat=36.2146&amp;mlon=44.1428&amp;zoom=12#map=12/36.2146/44.1428","Maplink1")</f>
        <v>Maplink1</v>
      </c>
      <c r="AT1721" s="20" t="str">
        <f aca="false">HYPERLINK("https://www.google.iq/maps/search/+36.2146,44.1428/@36.2146,44.1428,14z?hl=en","Maplink2")</f>
        <v>Maplink2</v>
      </c>
      <c r="AU1721" s="20" t="str">
        <f aca="false">HYPERLINK("http://www.bing.com/maps/?lvl=14&amp;sty=h&amp;cp=36.2146~44.1428&amp;sp=point.36.2146_44.1428","Maplink3")</f>
        <v>Maplink3</v>
      </c>
    </row>
    <row r="1722" customFormat="false" ht="15" hidden="false" customHeight="true" outlineLevel="0" collapsed="false">
      <c r="A1722" s="15" t="n">
        <v>29558</v>
      </c>
      <c r="B1722" s="16" t="s">
        <v>21</v>
      </c>
      <c r="C1722" s="16" t="s">
        <v>21</v>
      </c>
      <c r="D1722" s="16" t="s">
        <v>3398</v>
      </c>
      <c r="E1722" s="17" t="s">
        <v>3399</v>
      </c>
      <c r="F1722" s="16" t="n">
        <v>36.20413517</v>
      </c>
      <c r="G1722" s="16" t="n">
        <v>44.01825937</v>
      </c>
      <c r="H1722" s="18" t="n">
        <v>150</v>
      </c>
      <c r="I1722" s="18" t="n">
        <v>900</v>
      </c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 t="n">
        <v>150</v>
      </c>
      <c r="W1722" s="19"/>
      <c r="X1722" s="19"/>
      <c r="Y1722" s="19"/>
      <c r="Z1722" s="19"/>
      <c r="AA1722" s="19"/>
      <c r="AB1722" s="19"/>
      <c r="AC1722" s="19"/>
      <c r="AD1722" s="19"/>
      <c r="AE1722" s="19" t="n">
        <v>150</v>
      </c>
      <c r="AF1722" s="19"/>
      <c r="AG1722" s="19"/>
      <c r="AH1722" s="19"/>
      <c r="AI1722" s="19"/>
      <c r="AJ1722" s="19"/>
      <c r="AK1722" s="19"/>
      <c r="AL1722" s="19"/>
      <c r="AM1722" s="19"/>
      <c r="AN1722" s="19" t="n">
        <v>150</v>
      </c>
      <c r="AO1722" s="19"/>
      <c r="AP1722" s="19"/>
      <c r="AQ1722" s="19"/>
      <c r="AR1722" s="19"/>
      <c r="AS1722" s="20" t="str">
        <f aca="false">HYPERLINK("http://www.openstreetmap.org/?mlat=36.2041&amp;mlon=44.0183&amp;zoom=12#map=12/36.2041/44.0183","Maplink1")</f>
        <v>Maplink1</v>
      </c>
      <c r="AT1722" s="20" t="str">
        <f aca="false">HYPERLINK("https://www.google.iq/maps/search/+36.2041,44.0183/@36.2041,44.0183,14z?hl=en","Maplink2")</f>
        <v>Maplink2</v>
      </c>
      <c r="AU1722" s="20" t="str">
        <f aca="false">HYPERLINK("http://www.bing.com/maps/?lvl=14&amp;sty=h&amp;cp=36.2041~44.0183&amp;sp=point.36.2041_44.0183","Maplink3")</f>
        <v>Maplink3</v>
      </c>
    </row>
    <row r="1723" customFormat="false" ht="15" hidden="false" customHeight="true" outlineLevel="0" collapsed="false">
      <c r="A1723" s="15" t="n">
        <v>25732</v>
      </c>
      <c r="B1723" s="16" t="s">
        <v>21</v>
      </c>
      <c r="C1723" s="16" t="s">
        <v>21</v>
      </c>
      <c r="D1723" s="16" t="s">
        <v>3400</v>
      </c>
      <c r="E1723" s="17" t="s">
        <v>230</v>
      </c>
      <c r="F1723" s="16" t="n">
        <v>36.21686044</v>
      </c>
      <c r="G1723" s="16" t="n">
        <v>44.04033001</v>
      </c>
      <c r="H1723" s="18" t="n">
        <v>106</v>
      </c>
      <c r="I1723" s="18" t="n">
        <v>636</v>
      </c>
      <c r="J1723" s="19" t="n">
        <v>39</v>
      </c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 t="n">
        <v>67</v>
      </c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 t="n">
        <v>106</v>
      </c>
      <c r="AI1723" s="19"/>
      <c r="AJ1723" s="19"/>
      <c r="AK1723" s="19"/>
      <c r="AL1723" s="19"/>
      <c r="AM1723" s="19" t="n">
        <v>67</v>
      </c>
      <c r="AN1723" s="19"/>
      <c r="AO1723" s="19"/>
      <c r="AP1723" s="19" t="n">
        <v>39</v>
      </c>
      <c r="AQ1723" s="19"/>
      <c r="AR1723" s="19"/>
      <c r="AS1723" s="20" t="str">
        <f aca="false">HYPERLINK("http://www.openstreetmap.org/?mlat=36.2169&amp;mlon=44.0403&amp;zoom=12#map=12/36.2169/44.0403","Maplink1")</f>
        <v>Maplink1</v>
      </c>
      <c r="AT1723" s="20" t="str">
        <f aca="false">HYPERLINK("https://www.google.iq/maps/search/+36.2169,44.0403/@36.2169,44.0403,14z?hl=en","Maplink2")</f>
        <v>Maplink2</v>
      </c>
      <c r="AU1723" s="20" t="str">
        <f aca="false">HYPERLINK("http://www.bing.com/maps/?lvl=14&amp;sty=h&amp;cp=36.2169~44.0403&amp;sp=point.36.2169_44.0403","Maplink3")</f>
        <v>Maplink3</v>
      </c>
    </row>
    <row r="1724" customFormat="false" ht="15" hidden="false" customHeight="true" outlineLevel="0" collapsed="false">
      <c r="A1724" s="15" t="n">
        <v>25731</v>
      </c>
      <c r="B1724" s="16" t="s">
        <v>21</v>
      </c>
      <c r="C1724" s="16" t="s">
        <v>21</v>
      </c>
      <c r="D1724" s="16" t="s">
        <v>3401</v>
      </c>
      <c r="E1724" s="17" t="s">
        <v>3402</v>
      </c>
      <c r="F1724" s="16" t="n">
        <v>36.16351576</v>
      </c>
      <c r="G1724" s="16" t="n">
        <v>44.02827</v>
      </c>
      <c r="H1724" s="18" t="n">
        <v>75</v>
      </c>
      <c r="I1724" s="18" t="n">
        <v>450</v>
      </c>
      <c r="J1724" s="19" t="n">
        <v>30</v>
      </c>
      <c r="K1724" s="19"/>
      <c r="L1724" s="19" t="n">
        <v>14</v>
      </c>
      <c r="M1724" s="19"/>
      <c r="N1724" s="19"/>
      <c r="O1724" s="19"/>
      <c r="P1724" s="19"/>
      <c r="Q1724" s="19"/>
      <c r="R1724" s="19"/>
      <c r="S1724" s="19"/>
      <c r="T1724" s="19"/>
      <c r="U1724" s="19"/>
      <c r="V1724" s="19" t="n">
        <v>23</v>
      </c>
      <c r="W1724" s="19"/>
      <c r="X1724" s="19" t="n">
        <v>8</v>
      </c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 t="n">
        <v>75</v>
      </c>
      <c r="AI1724" s="19"/>
      <c r="AJ1724" s="19"/>
      <c r="AK1724" s="19"/>
      <c r="AL1724" s="19"/>
      <c r="AM1724" s="19" t="n">
        <v>37</v>
      </c>
      <c r="AN1724" s="19" t="n">
        <v>8</v>
      </c>
      <c r="AO1724" s="19"/>
      <c r="AP1724" s="19" t="n">
        <v>30</v>
      </c>
      <c r="AQ1724" s="19"/>
      <c r="AR1724" s="19"/>
      <c r="AS1724" s="20" t="str">
        <f aca="false">HYPERLINK("http://www.openstreetmap.org/?mlat=36.1635&amp;mlon=44.0283&amp;zoom=12#map=12/36.1635/44.0283","Maplink1")</f>
        <v>Maplink1</v>
      </c>
      <c r="AT1724" s="20" t="str">
        <f aca="false">HYPERLINK("https://www.google.iq/maps/search/+36.1635,44.0283/@36.1635,44.0283,14z?hl=en","Maplink2")</f>
        <v>Maplink2</v>
      </c>
      <c r="AU1724" s="20" t="str">
        <f aca="false">HYPERLINK("http://www.bing.com/maps/?lvl=14&amp;sty=h&amp;cp=36.1635~44.0283&amp;sp=point.36.1635_44.0283","Maplink3")</f>
        <v>Maplink3</v>
      </c>
    </row>
    <row r="1725" customFormat="false" ht="15" hidden="false" customHeight="true" outlineLevel="0" collapsed="false">
      <c r="A1725" s="15" t="n">
        <v>13685</v>
      </c>
      <c r="B1725" s="16" t="s">
        <v>21</v>
      </c>
      <c r="C1725" s="16" t="s">
        <v>21</v>
      </c>
      <c r="D1725" s="16" t="s">
        <v>3403</v>
      </c>
      <c r="E1725" s="17" t="s">
        <v>3404</v>
      </c>
      <c r="F1725" s="16" t="n">
        <v>36.20205732</v>
      </c>
      <c r="G1725" s="16" t="n">
        <v>44.12389499</v>
      </c>
      <c r="H1725" s="18" t="n">
        <v>568</v>
      </c>
      <c r="I1725" s="18" t="n">
        <v>3408</v>
      </c>
      <c r="J1725" s="19" t="n">
        <v>552</v>
      </c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 t="n">
        <v>16</v>
      </c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 t="n">
        <v>568</v>
      </c>
      <c r="AI1725" s="19"/>
      <c r="AJ1725" s="19"/>
      <c r="AK1725" s="19"/>
      <c r="AL1725" s="19" t="n">
        <v>552</v>
      </c>
      <c r="AM1725" s="19"/>
      <c r="AN1725" s="19" t="n">
        <v>16</v>
      </c>
      <c r="AO1725" s="19"/>
      <c r="AP1725" s="19"/>
      <c r="AQ1725" s="19"/>
      <c r="AR1725" s="19"/>
      <c r="AS1725" s="20" t="str">
        <f aca="false">HYPERLINK("http://www.openstreetmap.org/?mlat=36.2021&amp;mlon=44.1239&amp;zoom=12#map=12/36.2021/44.1239","Maplink1")</f>
        <v>Maplink1</v>
      </c>
      <c r="AT1725" s="20" t="str">
        <f aca="false">HYPERLINK("https://www.google.iq/maps/search/+36.2021,44.1239/@36.2021,44.1239,14z?hl=en","Maplink2")</f>
        <v>Maplink2</v>
      </c>
      <c r="AU1725" s="20" t="str">
        <f aca="false">HYPERLINK("http://www.bing.com/maps/?lvl=14&amp;sty=h&amp;cp=36.2021~44.1239&amp;sp=point.36.2021_44.1239","Maplink3")</f>
        <v>Maplink3</v>
      </c>
    </row>
    <row r="1726" customFormat="false" ht="15" hidden="false" customHeight="true" outlineLevel="0" collapsed="false">
      <c r="A1726" s="15" t="n">
        <v>24664</v>
      </c>
      <c r="B1726" s="16" t="s">
        <v>21</v>
      </c>
      <c r="C1726" s="16" t="s">
        <v>21</v>
      </c>
      <c r="D1726" s="16" t="s">
        <v>3405</v>
      </c>
      <c r="E1726" s="17" t="s">
        <v>3406</v>
      </c>
      <c r="F1726" s="16" t="n">
        <v>36.2043</v>
      </c>
      <c r="G1726" s="16" t="n">
        <v>44.1229</v>
      </c>
      <c r="H1726" s="18" t="n">
        <v>172</v>
      </c>
      <c r="I1726" s="18" t="n">
        <v>1032</v>
      </c>
      <c r="J1726" s="19" t="n">
        <v>43</v>
      </c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 t="n">
        <v>129</v>
      </c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 t="n">
        <v>172</v>
      </c>
      <c r="AI1726" s="19"/>
      <c r="AJ1726" s="19"/>
      <c r="AK1726" s="19"/>
      <c r="AL1726" s="19" t="n">
        <v>43</v>
      </c>
      <c r="AM1726" s="19" t="n">
        <v>129</v>
      </c>
      <c r="AN1726" s="19"/>
      <c r="AO1726" s="19"/>
      <c r="AP1726" s="19"/>
      <c r="AQ1726" s="19"/>
      <c r="AR1726" s="19"/>
      <c r="AS1726" s="20" t="str">
        <f aca="false">HYPERLINK("http://www.openstreetmap.org/?mlat=36.2043&amp;mlon=44.1229&amp;zoom=12#map=12/36.2043/44.1229","Maplink1")</f>
        <v>Maplink1</v>
      </c>
      <c r="AT1726" s="20" t="str">
        <f aca="false">HYPERLINK("https://www.google.iq/maps/search/+36.2043,44.1229/@36.2043,44.1229,14z?hl=en","Maplink2")</f>
        <v>Maplink2</v>
      </c>
      <c r="AU1726" s="20" t="str">
        <f aca="false">HYPERLINK("http://www.bing.com/maps/?lvl=14&amp;sty=h&amp;cp=36.2043~44.1229&amp;sp=point.36.2043_44.1229","Maplink3")</f>
        <v>Maplink3</v>
      </c>
    </row>
    <row r="1727" customFormat="false" ht="15" hidden="false" customHeight="true" outlineLevel="0" collapsed="false">
      <c r="A1727" s="15" t="n">
        <v>27150</v>
      </c>
      <c r="B1727" s="16" t="s">
        <v>21</v>
      </c>
      <c r="C1727" s="16" t="s">
        <v>21</v>
      </c>
      <c r="D1727" s="16" t="s">
        <v>3407</v>
      </c>
      <c r="E1727" s="17" t="s">
        <v>3408</v>
      </c>
      <c r="F1727" s="16" t="n">
        <v>36.2350308</v>
      </c>
      <c r="G1727" s="16" t="n">
        <v>44.01110373</v>
      </c>
      <c r="H1727" s="18" t="n">
        <v>1200</v>
      </c>
      <c r="I1727" s="18" t="n">
        <v>7200</v>
      </c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 t="n">
        <v>1200</v>
      </c>
      <c r="W1727" s="19"/>
      <c r="X1727" s="19"/>
      <c r="Y1727" s="19"/>
      <c r="Z1727" s="19"/>
      <c r="AA1727" s="19"/>
      <c r="AB1727" s="19" t="n">
        <v>1062</v>
      </c>
      <c r="AC1727" s="19"/>
      <c r="AD1727" s="19"/>
      <c r="AE1727" s="19"/>
      <c r="AF1727" s="19"/>
      <c r="AG1727" s="19" t="n">
        <v>138</v>
      </c>
      <c r="AH1727" s="19"/>
      <c r="AI1727" s="19"/>
      <c r="AJ1727" s="19"/>
      <c r="AK1727" s="19"/>
      <c r="AL1727" s="19"/>
      <c r="AM1727" s="19"/>
      <c r="AN1727" s="19" t="n">
        <v>1172</v>
      </c>
      <c r="AO1727" s="19"/>
      <c r="AP1727" s="19" t="n">
        <v>13</v>
      </c>
      <c r="AQ1727" s="19" t="n">
        <v>15</v>
      </c>
      <c r="AR1727" s="19"/>
      <c r="AS1727" s="20" t="str">
        <f aca="false">HYPERLINK("http://www.openstreetmap.org/?mlat=36.235&amp;mlon=44.0111&amp;zoom=12#map=12/36.235/44.0111","Maplink1")</f>
        <v>Maplink1</v>
      </c>
      <c r="AT1727" s="20" t="str">
        <f aca="false">HYPERLINK("https://www.google.iq/maps/search/+36.235,44.0111/@36.235,44.0111,14z?hl=en","Maplink2")</f>
        <v>Maplink2</v>
      </c>
      <c r="AU1727" s="20" t="str">
        <f aca="false">HYPERLINK("http://www.bing.com/maps/?lvl=14&amp;sty=h&amp;cp=36.235~44.0111&amp;sp=point.36.235_44.0111","Maplink3")</f>
        <v>Maplink3</v>
      </c>
    </row>
    <row r="1728" customFormat="false" ht="15" hidden="false" customHeight="true" outlineLevel="0" collapsed="false">
      <c r="A1728" s="15" t="n">
        <v>13687</v>
      </c>
      <c r="B1728" s="16" t="s">
        <v>21</v>
      </c>
      <c r="C1728" s="16" t="s">
        <v>21</v>
      </c>
      <c r="D1728" s="16" t="s">
        <v>3409</v>
      </c>
      <c r="E1728" s="17" t="s">
        <v>3410</v>
      </c>
      <c r="F1728" s="16" t="n">
        <v>36.17415267</v>
      </c>
      <c r="G1728" s="16" t="n">
        <v>44.12274302</v>
      </c>
      <c r="H1728" s="18" t="n">
        <v>252</v>
      </c>
      <c r="I1728" s="18" t="n">
        <v>1512</v>
      </c>
      <c r="J1728" s="19" t="n">
        <v>104</v>
      </c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 t="n">
        <v>148</v>
      </c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 t="n">
        <v>252</v>
      </c>
      <c r="AI1728" s="19"/>
      <c r="AJ1728" s="19"/>
      <c r="AK1728" s="19"/>
      <c r="AL1728" s="19" t="n">
        <v>104</v>
      </c>
      <c r="AM1728" s="19" t="n">
        <v>148</v>
      </c>
      <c r="AN1728" s="19"/>
      <c r="AO1728" s="19"/>
      <c r="AP1728" s="19"/>
      <c r="AQ1728" s="19"/>
      <c r="AR1728" s="19"/>
      <c r="AS1728" s="20" t="str">
        <f aca="false">HYPERLINK("http://www.openstreetmap.org/?mlat=36.1742&amp;mlon=44.1227&amp;zoom=12#map=12/36.1742/44.1227","Maplink1")</f>
        <v>Maplink1</v>
      </c>
      <c r="AT1728" s="20" t="str">
        <f aca="false">HYPERLINK("https://www.google.iq/maps/search/+36.1742,44.1227/@36.1742,44.1227,14z?hl=en","Maplink2")</f>
        <v>Maplink2</v>
      </c>
      <c r="AU1728" s="20" t="str">
        <f aca="false">HYPERLINK("http://www.bing.com/maps/?lvl=14&amp;sty=h&amp;cp=36.1742~44.1227&amp;sp=point.36.1742_44.1227","Maplink3")</f>
        <v>Maplink3</v>
      </c>
    </row>
    <row r="1729" customFormat="false" ht="15" hidden="false" customHeight="true" outlineLevel="0" collapsed="false">
      <c r="A1729" s="15" t="n">
        <v>27341</v>
      </c>
      <c r="B1729" s="16" t="s">
        <v>21</v>
      </c>
      <c r="C1729" s="16" t="s">
        <v>21</v>
      </c>
      <c r="D1729" s="16" t="s">
        <v>3411</v>
      </c>
      <c r="E1729" s="17" t="s">
        <v>3412</v>
      </c>
      <c r="F1729" s="16" t="n">
        <v>36.21119</v>
      </c>
      <c r="G1729" s="16" t="n">
        <v>44.12668</v>
      </c>
      <c r="H1729" s="18" t="n">
        <v>162</v>
      </c>
      <c r="I1729" s="18" t="n">
        <v>972</v>
      </c>
      <c r="J1729" s="19" t="n">
        <v>162</v>
      </c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 t="n">
        <v>162</v>
      </c>
      <c r="AI1729" s="19"/>
      <c r="AJ1729" s="19"/>
      <c r="AK1729" s="19"/>
      <c r="AL1729" s="19" t="n">
        <v>80</v>
      </c>
      <c r="AM1729" s="19"/>
      <c r="AN1729" s="19"/>
      <c r="AO1729" s="19"/>
      <c r="AP1729" s="19" t="n">
        <v>82</v>
      </c>
      <c r="AQ1729" s="19"/>
      <c r="AR1729" s="19"/>
      <c r="AS1729" s="20" t="str">
        <f aca="false">HYPERLINK("http://www.openstreetmap.org/?mlat=36.2112&amp;mlon=44.1267&amp;zoom=12#map=12/36.2112/44.1267","Maplink1")</f>
        <v>Maplink1</v>
      </c>
      <c r="AT1729" s="20" t="str">
        <f aca="false">HYPERLINK("https://www.google.iq/maps/search/+36.2112,44.1267/@36.2112,44.1267,14z?hl=en","Maplink2")</f>
        <v>Maplink2</v>
      </c>
      <c r="AU1729" s="20" t="str">
        <f aca="false">HYPERLINK("http://www.bing.com/maps/?lvl=14&amp;sty=h&amp;cp=36.2112~44.1267&amp;sp=point.36.2112_44.1267","Maplink3")</f>
        <v>Maplink3</v>
      </c>
    </row>
    <row r="1730" customFormat="false" ht="15" hidden="false" customHeight="true" outlineLevel="0" collapsed="false">
      <c r="A1730" s="15" t="n">
        <v>29556</v>
      </c>
      <c r="B1730" s="16" t="s">
        <v>21</v>
      </c>
      <c r="C1730" s="16" t="s">
        <v>21</v>
      </c>
      <c r="D1730" s="16" t="s">
        <v>3413</v>
      </c>
      <c r="E1730" s="17" t="s">
        <v>3414</v>
      </c>
      <c r="F1730" s="16" t="n">
        <v>36.2149</v>
      </c>
      <c r="G1730" s="16" t="n">
        <v>44.1512</v>
      </c>
      <c r="H1730" s="18" t="n">
        <v>18</v>
      </c>
      <c r="I1730" s="18" t="n">
        <v>108</v>
      </c>
      <c r="J1730" s="19" t="n">
        <v>12</v>
      </c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 t="n">
        <v>6</v>
      </c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 t="n">
        <v>18</v>
      </c>
      <c r="AI1730" s="19"/>
      <c r="AJ1730" s="19"/>
      <c r="AK1730" s="19"/>
      <c r="AL1730" s="19" t="n">
        <v>8</v>
      </c>
      <c r="AM1730" s="19"/>
      <c r="AN1730" s="19" t="n">
        <v>10</v>
      </c>
      <c r="AO1730" s="19"/>
      <c r="AP1730" s="19"/>
      <c r="AQ1730" s="19"/>
      <c r="AR1730" s="19"/>
      <c r="AS1730" s="20" t="str">
        <f aca="false">HYPERLINK("http://www.openstreetmap.org/?mlat=36.2149&amp;mlon=44.1512&amp;zoom=12#map=12/36.2149/44.1512","Maplink1")</f>
        <v>Maplink1</v>
      </c>
      <c r="AT1730" s="20" t="str">
        <f aca="false">HYPERLINK("https://www.google.iq/maps/search/+36.2149,44.1512/@36.2149,44.1512,14z?hl=en","Maplink2")</f>
        <v>Maplink2</v>
      </c>
      <c r="AU1730" s="20" t="str">
        <f aca="false">HYPERLINK("http://www.bing.com/maps/?lvl=14&amp;sty=h&amp;cp=36.2149~44.1512&amp;sp=point.36.2149_44.1512","Maplink3")</f>
        <v>Maplink3</v>
      </c>
    </row>
    <row r="1731" customFormat="false" ht="15" hidden="false" customHeight="true" outlineLevel="0" collapsed="false">
      <c r="A1731" s="15" t="n">
        <v>25472</v>
      </c>
      <c r="B1731" s="16" t="s">
        <v>21</v>
      </c>
      <c r="C1731" s="16" t="s">
        <v>21</v>
      </c>
      <c r="D1731" s="16" t="s">
        <v>3415</v>
      </c>
      <c r="E1731" s="17" t="s">
        <v>3416</v>
      </c>
      <c r="F1731" s="16" t="n">
        <v>36.20116367</v>
      </c>
      <c r="G1731" s="16" t="n">
        <v>44.12588334</v>
      </c>
      <c r="H1731" s="18" t="n">
        <v>72</v>
      </c>
      <c r="I1731" s="18" t="n">
        <v>432</v>
      </c>
      <c r="J1731" s="19" t="n">
        <v>42</v>
      </c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 t="n">
        <v>25</v>
      </c>
      <c r="W1731" s="19"/>
      <c r="X1731" s="19" t="n">
        <v>5</v>
      </c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 t="n">
        <v>72</v>
      </c>
      <c r="AI1731" s="19"/>
      <c r="AJ1731" s="19"/>
      <c r="AK1731" s="19"/>
      <c r="AL1731" s="19" t="n">
        <v>8</v>
      </c>
      <c r="AM1731" s="19" t="n">
        <v>25</v>
      </c>
      <c r="AN1731" s="19" t="n">
        <v>5</v>
      </c>
      <c r="AO1731" s="19"/>
      <c r="AP1731" s="19" t="n">
        <v>34</v>
      </c>
      <c r="AQ1731" s="19"/>
      <c r="AR1731" s="19"/>
      <c r="AS1731" s="20" t="str">
        <f aca="false">HYPERLINK("http://www.openstreetmap.org/?mlat=36.2012&amp;mlon=44.1259&amp;zoom=12#map=12/36.2012/44.1259","Maplink1")</f>
        <v>Maplink1</v>
      </c>
      <c r="AT1731" s="20" t="str">
        <f aca="false">HYPERLINK("https://www.google.iq/maps/search/+36.2012,44.1259/@36.2012,44.1259,14z?hl=en","Maplink2")</f>
        <v>Maplink2</v>
      </c>
      <c r="AU1731" s="20" t="str">
        <f aca="false">HYPERLINK("http://www.bing.com/maps/?lvl=14&amp;sty=h&amp;cp=36.2012~44.1259&amp;sp=point.36.2012_44.1259","Maplink3")</f>
        <v>Maplink3</v>
      </c>
    </row>
    <row r="1732" customFormat="false" ht="15" hidden="false" customHeight="true" outlineLevel="0" collapsed="false">
      <c r="A1732" s="15" t="n">
        <v>27329</v>
      </c>
      <c r="B1732" s="16" t="s">
        <v>21</v>
      </c>
      <c r="C1732" s="16" t="s">
        <v>21</v>
      </c>
      <c r="D1732" s="16" t="s">
        <v>3417</v>
      </c>
      <c r="E1732" s="17" t="s">
        <v>3418</v>
      </c>
      <c r="F1732" s="16" t="n">
        <v>36.18466721</v>
      </c>
      <c r="G1732" s="16" t="n">
        <v>44.12519417</v>
      </c>
      <c r="H1732" s="18" t="n">
        <v>64</v>
      </c>
      <c r="I1732" s="18" t="n">
        <v>384</v>
      </c>
      <c r="J1732" s="19" t="n">
        <v>20</v>
      </c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 t="n">
        <v>44</v>
      </c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 t="n">
        <v>64</v>
      </c>
      <c r="AI1732" s="19"/>
      <c r="AJ1732" s="19"/>
      <c r="AK1732" s="19"/>
      <c r="AL1732" s="19" t="n">
        <v>9</v>
      </c>
      <c r="AM1732" s="19" t="n">
        <v>44</v>
      </c>
      <c r="AN1732" s="19"/>
      <c r="AO1732" s="19"/>
      <c r="AP1732" s="19" t="n">
        <v>11</v>
      </c>
      <c r="AQ1732" s="19"/>
      <c r="AR1732" s="19"/>
      <c r="AS1732" s="20" t="str">
        <f aca="false">HYPERLINK("http://www.openstreetmap.org/?mlat=36.1847&amp;mlon=44.1252&amp;zoom=12#map=12/36.1847/44.1252","Maplink1")</f>
        <v>Maplink1</v>
      </c>
      <c r="AT1732" s="20" t="str">
        <f aca="false">HYPERLINK("https://www.google.iq/maps/search/+36.1847,44.1252/@36.1847,44.1252,14z?hl=en","Maplink2")</f>
        <v>Maplink2</v>
      </c>
      <c r="AU1732" s="20" t="str">
        <f aca="false">HYPERLINK("http://www.bing.com/maps/?lvl=14&amp;sty=h&amp;cp=36.1847~44.1252&amp;sp=point.36.1847_44.1252","Maplink3")</f>
        <v>Maplink3</v>
      </c>
    </row>
    <row r="1733" customFormat="false" ht="15" hidden="false" customHeight="true" outlineLevel="0" collapsed="false">
      <c r="A1733" s="15" t="n">
        <v>27148</v>
      </c>
      <c r="B1733" s="16" t="s">
        <v>21</v>
      </c>
      <c r="C1733" s="16" t="s">
        <v>21</v>
      </c>
      <c r="D1733" s="16" t="s">
        <v>3419</v>
      </c>
      <c r="E1733" s="17" t="s">
        <v>3420</v>
      </c>
      <c r="F1733" s="16" t="n">
        <v>36.2306559</v>
      </c>
      <c r="G1733" s="16" t="n">
        <v>44.00225671</v>
      </c>
      <c r="H1733" s="18" t="n">
        <v>93</v>
      </c>
      <c r="I1733" s="18" t="n">
        <v>558</v>
      </c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 t="n">
        <v>93</v>
      </c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 t="n">
        <v>93</v>
      </c>
      <c r="AI1733" s="19"/>
      <c r="AJ1733" s="19"/>
      <c r="AK1733" s="19"/>
      <c r="AL1733" s="19"/>
      <c r="AM1733" s="19" t="n">
        <v>60</v>
      </c>
      <c r="AN1733" s="19" t="n">
        <v>33</v>
      </c>
      <c r="AO1733" s="19"/>
      <c r="AP1733" s="19"/>
      <c r="AQ1733" s="19"/>
      <c r="AR1733" s="19"/>
      <c r="AS1733" s="20" t="str">
        <f aca="false">HYPERLINK("http://www.openstreetmap.org/?mlat=36.2307&amp;mlon=44.0023&amp;zoom=12#map=12/36.2307/44.0023","Maplink1")</f>
        <v>Maplink1</v>
      </c>
      <c r="AT1733" s="20" t="str">
        <f aca="false">HYPERLINK("https://www.google.iq/maps/search/+36.2307,44.0023/@36.2307,44.0023,14z?hl=en","Maplink2")</f>
        <v>Maplink2</v>
      </c>
      <c r="AU1733" s="20" t="str">
        <f aca="false">HYPERLINK("http://www.bing.com/maps/?lvl=14&amp;sty=h&amp;cp=36.2307~44.0023&amp;sp=point.36.2307_44.0023","Maplink3")</f>
        <v>Maplink3</v>
      </c>
    </row>
    <row r="1734" customFormat="false" ht="15" hidden="false" customHeight="true" outlineLevel="0" collapsed="false">
      <c r="A1734" s="15" t="n">
        <v>13230</v>
      </c>
      <c r="B1734" s="16" t="s">
        <v>21</v>
      </c>
      <c r="C1734" s="16" t="s">
        <v>21</v>
      </c>
      <c r="D1734" s="16" t="s">
        <v>3421</v>
      </c>
      <c r="E1734" s="17" t="s">
        <v>3422</v>
      </c>
      <c r="F1734" s="16" t="n">
        <v>36.29138279</v>
      </c>
      <c r="G1734" s="16" t="n">
        <v>43.99360568</v>
      </c>
      <c r="H1734" s="18" t="n">
        <v>856</v>
      </c>
      <c r="I1734" s="18" t="n">
        <v>5136</v>
      </c>
      <c r="J1734" s="19" t="n">
        <v>320</v>
      </c>
      <c r="K1734" s="19"/>
      <c r="L1734" s="19"/>
      <c r="M1734" s="19"/>
      <c r="N1734" s="19"/>
      <c r="O1734" s="19" t="n">
        <v>196</v>
      </c>
      <c r="P1734" s="19"/>
      <c r="Q1734" s="19"/>
      <c r="R1734" s="19"/>
      <c r="S1734" s="19"/>
      <c r="T1734" s="19"/>
      <c r="U1734" s="19"/>
      <c r="V1734" s="19" t="n">
        <v>105</v>
      </c>
      <c r="W1734" s="19"/>
      <c r="X1734" s="19" t="n">
        <v>235</v>
      </c>
      <c r="Y1734" s="19"/>
      <c r="Z1734" s="19"/>
      <c r="AA1734" s="19"/>
      <c r="AB1734" s="19" t="n">
        <v>856</v>
      </c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 t="n">
        <v>212</v>
      </c>
      <c r="AM1734" s="19" t="n">
        <v>301</v>
      </c>
      <c r="AN1734" s="19" t="n">
        <v>235</v>
      </c>
      <c r="AO1734" s="19"/>
      <c r="AP1734" s="19" t="n">
        <v>108</v>
      </c>
      <c r="AQ1734" s="19"/>
      <c r="AR1734" s="19"/>
      <c r="AS1734" s="20" t="str">
        <f aca="false">HYPERLINK("http://www.openstreetmap.org/?mlat=36.2914&amp;mlon=43.9936&amp;zoom=12#map=12/36.2914/43.9936","Maplink1")</f>
        <v>Maplink1</v>
      </c>
      <c r="AT1734" s="20" t="str">
        <f aca="false">HYPERLINK("https://www.google.iq/maps/search/+36.2914,43.9936/@36.2914,43.9936,14z?hl=en","Maplink2")</f>
        <v>Maplink2</v>
      </c>
      <c r="AU1734" s="20" t="str">
        <f aca="false">HYPERLINK("http://www.bing.com/maps/?lvl=14&amp;sty=h&amp;cp=36.2914~43.9936&amp;sp=point.36.2914_43.9936","Maplink3")</f>
        <v>Maplink3</v>
      </c>
    </row>
    <row r="1735" customFormat="false" ht="15" hidden="false" customHeight="true" outlineLevel="0" collapsed="false">
      <c r="A1735" s="15" t="n">
        <v>27138</v>
      </c>
      <c r="B1735" s="16" t="s">
        <v>21</v>
      </c>
      <c r="C1735" s="16" t="s">
        <v>21</v>
      </c>
      <c r="D1735" s="16" t="s">
        <v>3423</v>
      </c>
      <c r="E1735" s="17" t="s">
        <v>3424</v>
      </c>
      <c r="F1735" s="16" t="n">
        <v>36.30210989</v>
      </c>
      <c r="G1735" s="16" t="n">
        <v>44.02510681</v>
      </c>
      <c r="H1735" s="18" t="n">
        <v>150</v>
      </c>
      <c r="I1735" s="18" t="n">
        <v>900</v>
      </c>
      <c r="J1735" s="19" t="n">
        <v>104</v>
      </c>
      <c r="K1735" s="19"/>
      <c r="L1735" s="19" t="n">
        <v>20</v>
      </c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 t="n">
        <v>26</v>
      </c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 t="n">
        <v>150</v>
      </c>
      <c r="AI1735" s="19"/>
      <c r="AJ1735" s="19"/>
      <c r="AK1735" s="19"/>
      <c r="AL1735" s="19"/>
      <c r="AM1735" s="19"/>
      <c r="AN1735" s="19" t="n">
        <v>26</v>
      </c>
      <c r="AO1735" s="19"/>
      <c r="AP1735" s="19" t="n">
        <v>104</v>
      </c>
      <c r="AQ1735" s="19" t="n">
        <v>20</v>
      </c>
      <c r="AR1735" s="19"/>
      <c r="AS1735" s="20" t="str">
        <f aca="false">HYPERLINK("http://www.openstreetmap.org/?mlat=36.3021&amp;mlon=44.0251&amp;zoom=12#map=12/36.3021/44.0251","Maplink1")</f>
        <v>Maplink1</v>
      </c>
      <c r="AT1735" s="20" t="str">
        <f aca="false">HYPERLINK("https://www.google.iq/maps/search/+36.3021,44.0251/@36.3021,44.0251,14z?hl=en","Maplink2")</f>
        <v>Maplink2</v>
      </c>
      <c r="AU1735" s="20" t="str">
        <f aca="false">HYPERLINK("http://www.bing.com/maps/?lvl=14&amp;sty=h&amp;cp=36.3021~44.0251&amp;sp=point.36.3021_44.0251","Maplink3")</f>
        <v>Maplink3</v>
      </c>
    </row>
    <row r="1736" customFormat="false" ht="15" hidden="false" customHeight="true" outlineLevel="0" collapsed="false">
      <c r="A1736" s="15" t="n">
        <v>12370</v>
      </c>
      <c r="B1736" s="16" t="s">
        <v>21</v>
      </c>
      <c r="C1736" s="16" t="s">
        <v>21</v>
      </c>
      <c r="D1736" s="16" t="s">
        <v>3425</v>
      </c>
      <c r="E1736" s="17" t="s">
        <v>3426</v>
      </c>
      <c r="F1736" s="16" t="n">
        <v>36.31988448</v>
      </c>
      <c r="G1736" s="16" t="n">
        <v>44.03566929</v>
      </c>
      <c r="H1736" s="18" t="n">
        <v>955</v>
      </c>
      <c r="I1736" s="18" t="n">
        <v>5730</v>
      </c>
      <c r="J1736" s="19" t="n">
        <v>99</v>
      </c>
      <c r="K1736" s="19"/>
      <c r="L1736" s="19" t="n">
        <v>10</v>
      </c>
      <c r="M1736" s="19"/>
      <c r="N1736" s="19"/>
      <c r="O1736" s="19"/>
      <c r="P1736" s="19"/>
      <c r="Q1736" s="19"/>
      <c r="R1736" s="19"/>
      <c r="S1736" s="19"/>
      <c r="T1736" s="19"/>
      <c r="U1736" s="19"/>
      <c r="V1736" s="19" t="n">
        <v>789</v>
      </c>
      <c r="W1736" s="19"/>
      <c r="X1736" s="19" t="n">
        <v>57</v>
      </c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 t="n">
        <v>955</v>
      </c>
      <c r="AI1736" s="19"/>
      <c r="AJ1736" s="19"/>
      <c r="AK1736" s="19"/>
      <c r="AL1736" s="19" t="n">
        <v>45</v>
      </c>
      <c r="AM1736" s="19" t="n">
        <v>789</v>
      </c>
      <c r="AN1736" s="19" t="n">
        <v>57</v>
      </c>
      <c r="AO1736" s="19"/>
      <c r="AP1736" s="19" t="n">
        <v>50</v>
      </c>
      <c r="AQ1736" s="19" t="n">
        <v>14</v>
      </c>
      <c r="AR1736" s="19"/>
      <c r="AS1736" s="20" t="str">
        <f aca="false">HYPERLINK("http://www.openstreetmap.org/?mlat=36.3199&amp;mlon=44.0357&amp;zoom=12#map=12/36.3199/44.0357","Maplink1")</f>
        <v>Maplink1</v>
      </c>
      <c r="AT1736" s="20" t="str">
        <f aca="false">HYPERLINK("https://www.google.iq/maps/search/+36.3199,44.0357/@36.3199,44.0357,14z?hl=en","Maplink2")</f>
        <v>Maplink2</v>
      </c>
      <c r="AU1736" s="20" t="str">
        <f aca="false">HYPERLINK("http://www.bing.com/maps/?lvl=14&amp;sty=h&amp;cp=36.3199~44.0357&amp;sp=point.36.3199_44.0357","Maplink3")</f>
        <v>Maplink3</v>
      </c>
    </row>
    <row r="1737" customFormat="false" ht="15" hidden="false" customHeight="true" outlineLevel="0" collapsed="false">
      <c r="A1737" s="15" t="n">
        <v>27137</v>
      </c>
      <c r="B1737" s="16" t="s">
        <v>21</v>
      </c>
      <c r="C1737" s="16" t="s">
        <v>21</v>
      </c>
      <c r="D1737" s="16" t="s">
        <v>3427</v>
      </c>
      <c r="E1737" s="17" t="s">
        <v>3428</v>
      </c>
      <c r="F1737" s="16" t="n">
        <v>36.30549083</v>
      </c>
      <c r="G1737" s="16" t="n">
        <v>44.02589672</v>
      </c>
      <c r="H1737" s="18" t="n">
        <v>365</v>
      </c>
      <c r="I1737" s="18" t="n">
        <v>2190</v>
      </c>
      <c r="J1737" s="19" t="n">
        <v>293</v>
      </c>
      <c r="K1737" s="19"/>
      <c r="L1737" s="19" t="n">
        <v>35</v>
      </c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 t="n">
        <v>37</v>
      </c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 t="n">
        <v>365</v>
      </c>
      <c r="AI1737" s="19"/>
      <c r="AJ1737" s="19"/>
      <c r="AK1737" s="19"/>
      <c r="AL1737" s="19"/>
      <c r="AM1737" s="19"/>
      <c r="AN1737" s="19" t="n">
        <v>37</v>
      </c>
      <c r="AO1737" s="19"/>
      <c r="AP1737" s="19" t="n">
        <v>281</v>
      </c>
      <c r="AQ1737" s="19" t="n">
        <v>47</v>
      </c>
      <c r="AR1737" s="19"/>
      <c r="AS1737" s="20" t="str">
        <f aca="false">HYPERLINK("http://www.openstreetmap.org/?mlat=36.3055&amp;mlon=44.0259&amp;zoom=12#map=12/36.3055/44.0259","Maplink1")</f>
        <v>Maplink1</v>
      </c>
      <c r="AT1737" s="20" t="str">
        <f aca="false">HYPERLINK("https://www.google.iq/maps/search/+36.3055,44.0259/@36.3055,44.0259,14z?hl=en","Maplink2")</f>
        <v>Maplink2</v>
      </c>
      <c r="AU1737" s="20" t="str">
        <f aca="false">HYPERLINK("http://www.bing.com/maps/?lvl=14&amp;sty=h&amp;cp=36.3055~44.0259&amp;sp=point.36.3055_44.0259","Maplink3")</f>
        <v>Maplink3</v>
      </c>
    </row>
    <row r="1738" customFormat="false" ht="15" hidden="false" customHeight="true" outlineLevel="0" collapsed="false">
      <c r="A1738" s="15" t="n">
        <v>25471</v>
      </c>
      <c r="B1738" s="16" t="s">
        <v>21</v>
      </c>
      <c r="C1738" s="16" t="s">
        <v>21</v>
      </c>
      <c r="D1738" s="16" t="s">
        <v>3429</v>
      </c>
      <c r="E1738" s="17" t="s">
        <v>3430</v>
      </c>
      <c r="F1738" s="16" t="n">
        <v>36.20896127</v>
      </c>
      <c r="G1738" s="16" t="n">
        <v>44.11383644</v>
      </c>
      <c r="H1738" s="18" t="n">
        <v>90</v>
      </c>
      <c r="I1738" s="18" t="n">
        <v>540</v>
      </c>
      <c r="J1738" s="19" t="n">
        <v>60</v>
      </c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 t="n">
        <v>25</v>
      </c>
      <c r="W1738" s="19"/>
      <c r="X1738" s="19" t="n">
        <v>5</v>
      </c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 t="n">
        <v>90</v>
      </c>
      <c r="AI1738" s="19"/>
      <c r="AJ1738" s="19"/>
      <c r="AK1738" s="19"/>
      <c r="AL1738" s="19" t="n">
        <v>60</v>
      </c>
      <c r="AM1738" s="19" t="n">
        <v>25</v>
      </c>
      <c r="AN1738" s="19" t="n">
        <v>5</v>
      </c>
      <c r="AO1738" s="19"/>
      <c r="AP1738" s="19"/>
      <c r="AQ1738" s="19"/>
      <c r="AR1738" s="19"/>
      <c r="AS1738" s="20" t="str">
        <f aca="false">HYPERLINK("http://www.openstreetmap.org/?mlat=36.209&amp;mlon=44.1138&amp;zoom=12#map=12/36.209/44.1138","Maplink1")</f>
        <v>Maplink1</v>
      </c>
      <c r="AT1738" s="20" t="str">
        <f aca="false">HYPERLINK("https://www.google.iq/maps/search/+36.209,44.1138/@36.209,44.1138,14z?hl=en","Maplink2")</f>
        <v>Maplink2</v>
      </c>
      <c r="AU1738" s="20" t="str">
        <f aca="false">HYPERLINK("http://www.bing.com/maps/?lvl=14&amp;sty=h&amp;cp=36.209~44.1138&amp;sp=point.36.209_44.1138","Maplink3")</f>
        <v>Maplink3</v>
      </c>
    </row>
    <row r="1739" customFormat="false" ht="15" hidden="false" customHeight="true" outlineLevel="0" collapsed="false">
      <c r="A1739" s="15" t="n">
        <v>27153</v>
      </c>
      <c r="B1739" s="16" t="s">
        <v>21</v>
      </c>
      <c r="C1739" s="16" t="s">
        <v>21</v>
      </c>
      <c r="D1739" s="16" t="s">
        <v>3431</v>
      </c>
      <c r="E1739" s="17" t="s">
        <v>3432</v>
      </c>
      <c r="F1739" s="16" t="n">
        <v>36.2627743</v>
      </c>
      <c r="G1739" s="16" t="n">
        <v>43.99421678</v>
      </c>
      <c r="H1739" s="18" t="n">
        <v>50</v>
      </c>
      <c r="I1739" s="18" t="n">
        <v>300</v>
      </c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 t="n">
        <v>50</v>
      </c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 t="n">
        <v>50</v>
      </c>
      <c r="AI1739" s="19"/>
      <c r="AJ1739" s="19"/>
      <c r="AK1739" s="19"/>
      <c r="AL1739" s="19"/>
      <c r="AM1739" s="19" t="n">
        <v>50</v>
      </c>
      <c r="AN1739" s="19"/>
      <c r="AO1739" s="19"/>
      <c r="AP1739" s="19"/>
      <c r="AQ1739" s="19"/>
      <c r="AR1739" s="19"/>
      <c r="AS1739" s="20" t="str">
        <f aca="false">HYPERLINK("http://www.openstreetmap.org/?mlat=36.2628&amp;mlon=43.9942&amp;zoom=12#map=12/36.2628/43.9942","Maplink1")</f>
        <v>Maplink1</v>
      </c>
      <c r="AT1739" s="20" t="str">
        <f aca="false">HYPERLINK("https://www.google.iq/maps/search/+36.2628,43.9942/@36.2628,43.9942,14z?hl=en","Maplink2")</f>
        <v>Maplink2</v>
      </c>
      <c r="AU1739" s="20" t="str">
        <f aca="false">HYPERLINK("http://www.bing.com/maps/?lvl=14&amp;sty=h&amp;cp=36.2628~43.9942&amp;sp=point.36.2628_43.9942","Maplink3")</f>
        <v>Maplink3</v>
      </c>
    </row>
    <row r="1740" customFormat="false" ht="15" hidden="false" customHeight="true" outlineLevel="0" collapsed="false">
      <c r="A1740" s="15" t="n">
        <v>25726</v>
      </c>
      <c r="B1740" s="16" t="s">
        <v>21</v>
      </c>
      <c r="C1740" s="16" t="s">
        <v>21</v>
      </c>
      <c r="D1740" s="16" t="s">
        <v>3433</v>
      </c>
      <c r="E1740" s="17" t="s">
        <v>3434</v>
      </c>
      <c r="F1740" s="16" t="n">
        <v>36.15054128</v>
      </c>
      <c r="G1740" s="16" t="n">
        <v>44.10317888</v>
      </c>
      <c r="H1740" s="18" t="n">
        <v>56</v>
      </c>
      <c r="I1740" s="18" t="n">
        <v>336</v>
      </c>
      <c r="J1740" s="19" t="n">
        <v>34</v>
      </c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 t="n">
        <v>22</v>
      </c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 t="n">
        <v>56</v>
      </c>
      <c r="AI1740" s="19"/>
      <c r="AJ1740" s="19"/>
      <c r="AK1740" s="19"/>
      <c r="AL1740" s="19" t="n">
        <v>34</v>
      </c>
      <c r="AM1740" s="19" t="n">
        <v>22</v>
      </c>
      <c r="AN1740" s="19"/>
      <c r="AO1740" s="19"/>
      <c r="AP1740" s="19"/>
      <c r="AQ1740" s="19"/>
      <c r="AR1740" s="19"/>
      <c r="AS1740" s="20" t="str">
        <f aca="false">HYPERLINK("http://www.openstreetmap.org/?mlat=36.1505&amp;mlon=44.1032&amp;zoom=12#map=12/36.1505/44.1032","Maplink1")</f>
        <v>Maplink1</v>
      </c>
      <c r="AT1740" s="20" t="str">
        <f aca="false">HYPERLINK("https://www.google.iq/maps/search/+36.1505,44.1032/@36.1505,44.1032,14z?hl=en","Maplink2")</f>
        <v>Maplink2</v>
      </c>
      <c r="AU1740" s="20" t="str">
        <f aca="false">HYPERLINK("http://www.bing.com/maps/?lvl=14&amp;sty=h&amp;cp=36.1505~44.1032&amp;sp=point.36.1505_44.1032","Maplink3")</f>
        <v>Maplink3</v>
      </c>
    </row>
    <row r="1741" customFormat="false" ht="15" hidden="false" customHeight="true" outlineLevel="0" collapsed="false">
      <c r="A1741" s="15" t="n">
        <v>27145</v>
      </c>
      <c r="B1741" s="16" t="s">
        <v>21</v>
      </c>
      <c r="C1741" s="16" t="s">
        <v>21</v>
      </c>
      <c r="D1741" s="16" t="s">
        <v>3435</v>
      </c>
      <c r="E1741" s="17" t="s">
        <v>3436</v>
      </c>
      <c r="F1741" s="16" t="n">
        <v>36.12587787</v>
      </c>
      <c r="G1741" s="16" t="n">
        <v>44.04891383</v>
      </c>
      <c r="H1741" s="18" t="n">
        <v>150</v>
      </c>
      <c r="I1741" s="18" t="n">
        <v>900</v>
      </c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 t="n">
        <v>138</v>
      </c>
      <c r="W1741" s="19"/>
      <c r="X1741" s="19" t="n">
        <v>12</v>
      </c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 t="n">
        <v>150</v>
      </c>
      <c r="AI1741" s="19"/>
      <c r="AJ1741" s="19"/>
      <c r="AK1741" s="19"/>
      <c r="AL1741" s="19"/>
      <c r="AM1741" s="19" t="n">
        <v>138</v>
      </c>
      <c r="AN1741" s="19" t="n">
        <v>12</v>
      </c>
      <c r="AO1741" s="19"/>
      <c r="AP1741" s="19"/>
      <c r="AQ1741" s="19"/>
      <c r="AR1741" s="19"/>
      <c r="AS1741" s="20" t="str">
        <f aca="false">HYPERLINK("http://www.openstreetmap.org/?mlat=36.1259&amp;mlon=44.0489&amp;zoom=12#map=12/36.1259/44.0489","Maplink1")</f>
        <v>Maplink1</v>
      </c>
      <c r="AT1741" s="20" t="str">
        <f aca="false">HYPERLINK("https://www.google.iq/maps/search/+36.1259,44.0489/@36.1259,44.0489,14z?hl=en","Maplink2")</f>
        <v>Maplink2</v>
      </c>
      <c r="AU1741" s="20" t="str">
        <f aca="false">HYPERLINK("http://www.bing.com/maps/?lvl=14&amp;sty=h&amp;cp=36.1259~44.0489&amp;sp=point.36.1259_44.0489","Maplink3")</f>
        <v>Maplink3</v>
      </c>
    </row>
    <row r="1742" customFormat="false" ht="15" hidden="false" customHeight="true" outlineLevel="0" collapsed="false">
      <c r="A1742" s="15" t="n">
        <v>27140</v>
      </c>
      <c r="B1742" s="16" t="s">
        <v>21</v>
      </c>
      <c r="C1742" s="16" t="s">
        <v>21</v>
      </c>
      <c r="D1742" s="16" t="s">
        <v>3437</v>
      </c>
      <c r="E1742" s="17" t="s">
        <v>3438</v>
      </c>
      <c r="F1742" s="16" t="n">
        <v>36.11868614</v>
      </c>
      <c r="G1742" s="16" t="n">
        <v>44.06733541</v>
      </c>
      <c r="H1742" s="18" t="n">
        <v>200</v>
      </c>
      <c r="I1742" s="18" t="n">
        <v>1200</v>
      </c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 t="n">
        <v>126</v>
      </c>
      <c r="W1742" s="19"/>
      <c r="X1742" s="19" t="n">
        <v>74</v>
      </c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 t="n">
        <v>200</v>
      </c>
      <c r="AI1742" s="19"/>
      <c r="AJ1742" s="19"/>
      <c r="AK1742" s="19"/>
      <c r="AL1742" s="19"/>
      <c r="AM1742" s="19" t="n">
        <v>126</v>
      </c>
      <c r="AN1742" s="19" t="n">
        <v>74</v>
      </c>
      <c r="AO1742" s="19"/>
      <c r="AP1742" s="19"/>
      <c r="AQ1742" s="19"/>
      <c r="AR1742" s="19"/>
      <c r="AS1742" s="20" t="str">
        <f aca="false">HYPERLINK("http://www.openstreetmap.org/?mlat=36.1187&amp;mlon=44.0673&amp;zoom=12#map=12/36.1187/44.0673","Maplink1")</f>
        <v>Maplink1</v>
      </c>
      <c r="AT1742" s="20" t="str">
        <f aca="false">HYPERLINK("https://www.google.iq/maps/search/+36.1187,44.0673/@36.1187,44.0673,14z?hl=en","Maplink2")</f>
        <v>Maplink2</v>
      </c>
      <c r="AU1742" s="20" t="str">
        <f aca="false">HYPERLINK("http://www.bing.com/maps/?lvl=14&amp;sty=h&amp;cp=36.1187~44.0673&amp;sp=point.36.1187_44.0673","Maplink3")</f>
        <v>Maplink3</v>
      </c>
    </row>
    <row r="1743" customFormat="false" ht="15" hidden="false" customHeight="true" outlineLevel="0" collapsed="false">
      <c r="A1743" s="15" t="n">
        <v>21669</v>
      </c>
      <c r="B1743" s="16" t="s">
        <v>21</v>
      </c>
      <c r="C1743" s="16" t="s">
        <v>21</v>
      </c>
      <c r="D1743" s="16" t="s">
        <v>3439</v>
      </c>
      <c r="E1743" s="17" t="s">
        <v>3440</v>
      </c>
      <c r="F1743" s="16" t="n">
        <v>36.11582332</v>
      </c>
      <c r="G1743" s="16" t="n">
        <v>44.07487433</v>
      </c>
      <c r="H1743" s="18" t="n">
        <v>290</v>
      </c>
      <c r="I1743" s="18" t="n">
        <v>1740</v>
      </c>
      <c r="J1743" s="19" t="n">
        <v>134</v>
      </c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 t="n">
        <v>156</v>
      </c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 t="n">
        <v>290</v>
      </c>
      <c r="AI1743" s="19"/>
      <c r="AJ1743" s="19"/>
      <c r="AK1743" s="19"/>
      <c r="AL1743" s="19" t="n">
        <v>29</v>
      </c>
      <c r="AM1743" s="19"/>
      <c r="AN1743" s="19" t="n">
        <v>156</v>
      </c>
      <c r="AO1743" s="19"/>
      <c r="AP1743" s="19" t="n">
        <v>105</v>
      </c>
      <c r="AQ1743" s="19"/>
      <c r="AR1743" s="19"/>
      <c r="AS1743" s="20" t="str">
        <f aca="false">HYPERLINK("http://www.openstreetmap.org/?mlat=36.1158&amp;mlon=44.0749&amp;zoom=12#map=12/36.1158/44.0749","Maplink1")</f>
        <v>Maplink1</v>
      </c>
      <c r="AT1743" s="20" t="str">
        <f aca="false">HYPERLINK("https://www.google.iq/maps/search/+36.1158,44.0749/@36.1158,44.0749,14z?hl=en","Maplink2")</f>
        <v>Maplink2</v>
      </c>
      <c r="AU1743" s="20" t="str">
        <f aca="false">HYPERLINK("http://www.bing.com/maps/?lvl=14&amp;sty=h&amp;cp=36.1158~44.0749&amp;sp=point.36.1158_44.0749","Maplink3")</f>
        <v>Maplink3</v>
      </c>
    </row>
    <row r="1744" customFormat="false" ht="15" hidden="false" customHeight="true" outlineLevel="0" collapsed="false">
      <c r="A1744" s="15" t="n">
        <v>13203</v>
      </c>
      <c r="B1744" s="16" t="s">
        <v>21</v>
      </c>
      <c r="C1744" s="16" t="s">
        <v>21</v>
      </c>
      <c r="D1744" s="16" t="s">
        <v>3441</v>
      </c>
      <c r="E1744" s="17" t="s">
        <v>3442</v>
      </c>
      <c r="F1744" s="16" t="n">
        <v>36.02194461</v>
      </c>
      <c r="G1744" s="16" t="n">
        <v>43.91326685</v>
      </c>
      <c r="H1744" s="18" t="n">
        <v>264</v>
      </c>
      <c r="I1744" s="18" t="n">
        <v>1584</v>
      </c>
      <c r="J1744" s="19" t="n">
        <v>237</v>
      </c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 t="n">
        <v>12</v>
      </c>
      <c r="W1744" s="19"/>
      <c r="X1744" s="19" t="n">
        <v>15</v>
      </c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 t="n">
        <v>264</v>
      </c>
      <c r="AI1744" s="19"/>
      <c r="AJ1744" s="19"/>
      <c r="AK1744" s="19"/>
      <c r="AL1744" s="19" t="n">
        <v>150</v>
      </c>
      <c r="AM1744" s="19" t="n">
        <v>12</v>
      </c>
      <c r="AN1744" s="19" t="n">
        <v>15</v>
      </c>
      <c r="AO1744" s="19"/>
      <c r="AP1744" s="19" t="n">
        <v>70</v>
      </c>
      <c r="AQ1744" s="19" t="n">
        <v>17</v>
      </c>
      <c r="AR1744" s="19"/>
      <c r="AS1744" s="20" t="str">
        <f aca="false">HYPERLINK("http://www.openstreetmap.org/?mlat=36.0219&amp;mlon=43.9133&amp;zoom=12#map=12/36.0219/43.9133","Maplink1")</f>
        <v>Maplink1</v>
      </c>
      <c r="AT1744" s="20" t="str">
        <f aca="false">HYPERLINK("https://www.google.iq/maps/search/+36.0219,43.9133/@36.0219,43.9133,14z?hl=en","Maplink2")</f>
        <v>Maplink2</v>
      </c>
      <c r="AU1744" s="20" t="str">
        <f aca="false">HYPERLINK("http://www.bing.com/maps/?lvl=14&amp;sty=h&amp;cp=36.0219~43.9133&amp;sp=point.36.0219_43.9133","Maplink3")</f>
        <v>Maplink3</v>
      </c>
    </row>
    <row r="1745" customFormat="false" ht="15" hidden="false" customHeight="true" outlineLevel="0" collapsed="false">
      <c r="A1745" s="15" t="n">
        <v>25900</v>
      </c>
      <c r="B1745" s="16" t="s">
        <v>21</v>
      </c>
      <c r="C1745" s="16" t="s">
        <v>21</v>
      </c>
      <c r="D1745" s="16" t="s">
        <v>3443</v>
      </c>
      <c r="E1745" s="17" t="s">
        <v>3444</v>
      </c>
      <c r="F1745" s="16" t="n">
        <v>36.26210445</v>
      </c>
      <c r="G1745" s="16" t="n">
        <v>44.08844934</v>
      </c>
      <c r="H1745" s="18" t="n">
        <v>260</v>
      </c>
      <c r="I1745" s="18" t="n">
        <v>1560</v>
      </c>
      <c r="J1745" s="19" t="n">
        <v>30</v>
      </c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 t="n">
        <v>230</v>
      </c>
      <c r="W1745" s="19"/>
      <c r="X1745" s="19"/>
      <c r="Y1745" s="19"/>
      <c r="Z1745" s="19"/>
      <c r="AA1745" s="19"/>
      <c r="AB1745" s="19"/>
      <c r="AC1745" s="19"/>
      <c r="AD1745" s="19"/>
      <c r="AE1745" s="19" t="n">
        <v>260</v>
      </c>
      <c r="AF1745" s="19"/>
      <c r="AG1745" s="19"/>
      <c r="AH1745" s="19"/>
      <c r="AI1745" s="19"/>
      <c r="AJ1745" s="19"/>
      <c r="AK1745" s="19"/>
      <c r="AL1745" s="19"/>
      <c r="AM1745" s="19"/>
      <c r="AN1745" s="19" t="n">
        <v>260</v>
      </c>
      <c r="AO1745" s="19"/>
      <c r="AP1745" s="19"/>
      <c r="AQ1745" s="19"/>
      <c r="AR1745" s="19"/>
      <c r="AS1745" s="20" t="str">
        <f aca="false">HYPERLINK("http://www.openstreetmap.org/?mlat=36.2621&amp;mlon=44.0884&amp;zoom=12#map=12/36.2621/44.0884","Maplink1")</f>
        <v>Maplink1</v>
      </c>
      <c r="AT1745" s="20" t="str">
        <f aca="false">HYPERLINK("https://www.google.iq/maps/search/+36.2621,44.0884/@36.2621,44.0884,14z?hl=en","Maplink2")</f>
        <v>Maplink2</v>
      </c>
      <c r="AU1745" s="20" t="str">
        <f aca="false">HYPERLINK("http://www.bing.com/maps/?lvl=14&amp;sty=h&amp;cp=36.2621~44.0884&amp;sp=point.36.2621_44.0884","Maplink3")</f>
        <v>Maplink3</v>
      </c>
    </row>
    <row r="1746" customFormat="false" ht="15" hidden="false" customHeight="true" outlineLevel="0" collapsed="false">
      <c r="A1746" s="15" t="n">
        <v>25728</v>
      </c>
      <c r="B1746" s="16" t="s">
        <v>21</v>
      </c>
      <c r="C1746" s="16" t="s">
        <v>21</v>
      </c>
      <c r="D1746" s="16" t="s">
        <v>3445</v>
      </c>
      <c r="E1746" s="17" t="s">
        <v>3446</v>
      </c>
      <c r="F1746" s="16" t="n">
        <v>36.0041243</v>
      </c>
      <c r="G1746" s="16" t="n">
        <v>44.03728962</v>
      </c>
      <c r="H1746" s="18" t="n">
        <v>800</v>
      </c>
      <c r="I1746" s="18" t="n">
        <v>4800</v>
      </c>
      <c r="J1746" s="19" t="n">
        <v>603</v>
      </c>
      <c r="K1746" s="19"/>
      <c r="L1746" s="19" t="n">
        <v>9</v>
      </c>
      <c r="M1746" s="19"/>
      <c r="N1746" s="19"/>
      <c r="O1746" s="19"/>
      <c r="P1746" s="19" t="n">
        <v>30</v>
      </c>
      <c r="Q1746" s="19"/>
      <c r="R1746" s="19"/>
      <c r="S1746" s="19"/>
      <c r="T1746" s="19"/>
      <c r="U1746" s="19"/>
      <c r="V1746" s="19" t="n">
        <v>158</v>
      </c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 t="n">
        <v>800</v>
      </c>
      <c r="AI1746" s="19"/>
      <c r="AJ1746" s="19"/>
      <c r="AK1746" s="19"/>
      <c r="AL1746" s="19" t="n">
        <v>472</v>
      </c>
      <c r="AM1746" s="19" t="n">
        <v>158</v>
      </c>
      <c r="AN1746" s="19" t="n">
        <v>30</v>
      </c>
      <c r="AO1746" s="19" t="n">
        <v>9</v>
      </c>
      <c r="AP1746" s="19" t="n">
        <v>131</v>
      </c>
      <c r="AQ1746" s="19"/>
      <c r="AR1746" s="19"/>
      <c r="AS1746" s="20" t="str">
        <f aca="false">HYPERLINK("http://www.openstreetmap.org/?mlat=36.0041&amp;mlon=44.0373&amp;zoom=12#map=12/36.0041/44.0373","Maplink1")</f>
        <v>Maplink1</v>
      </c>
      <c r="AT1746" s="20" t="str">
        <f aca="false">HYPERLINK("https://www.google.iq/maps/search/+36.0041,44.0373/@36.0041,44.0373,14z?hl=en","Maplink2")</f>
        <v>Maplink2</v>
      </c>
      <c r="AU1746" s="20" t="str">
        <f aca="false">HYPERLINK("http://www.bing.com/maps/?lvl=14&amp;sty=h&amp;cp=36.0041~44.0373&amp;sp=point.36.0041_44.0373","Maplink3")</f>
        <v>Maplink3</v>
      </c>
    </row>
    <row r="1747" customFormat="false" ht="15" hidden="false" customHeight="true" outlineLevel="0" collapsed="false">
      <c r="A1747" s="15" t="n">
        <v>24419</v>
      </c>
      <c r="B1747" s="16" t="s">
        <v>21</v>
      </c>
      <c r="C1747" s="16" t="s">
        <v>21</v>
      </c>
      <c r="D1747" s="16" t="s">
        <v>3447</v>
      </c>
      <c r="E1747" s="17" t="s">
        <v>3448</v>
      </c>
      <c r="F1747" s="16" t="n">
        <v>36.29588</v>
      </c>
      <c r="G1747" s="16" t="n">
        <v>44.03968</v>
      </c>
      <c r="H1747" s="18" t="n">
        <v>928</v>
      </c>
      <c r="I1747" s="18" t="n">
        <v>5568</v>
      </c>
      <c r="J1747" s="19" t="n">
        <v>196</v>
      </c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 t="n">
        <v>650</v>
      </c>
      <c r="W1747" s="19"/>
      <c r="X1747" s="19" t="n">
        <v>82</v>
      </c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 t="n">
        <v>928</v>
      </c>
      <c r="AI1747" s="19"/>
      <c r="AJ1747" s="19"/>
      <c r="AK1747" s="19"/>
      <c r="AL1747" s="19" t="n">
        <v>70</v>
      </c>
      <c r="AM1747" s="19" t="n">
        <v>650</v>
      </c>
      <c r="AN1747" s="19" t="n">
        <v>82</v>
      </c>
      <c r="AO1747" s="19"/>
      <c r="AP1747" s="19" t="n">
        <v>113</v>
      </c>
      <c r="AQ1747" s="19" t="n">
        <v>13</v>
      </c>
      <c r="AR1747" s="19"/>
      <c r="AS1747" s="20" t="str">
        <f aca="false">HYPERLINK("http://www.openstreetmap.org/?mlat=36.2959&amp;mlon=44.0397&amp;zoom=12#map=12/36.2959/44.0397","Maplink1")</f>
        <v>Maplink1</v>
      </c>
      <c r="AT1747" s="20" t="str">
        <f aca="false">HYPERLINK("https://www.google.iq/maps/search/+36.2959,44.0397/@36.2959,44.0397,14z?hl=en","Maplink2")</f>
        <v>Maplink2</v>
      </c>
      <c r="AU1747" s="20" t="str">
        <f aca="false">HYPERLINK("http://www.bing.com/maps/?lvl=14&amp;sty=h&amp;cp=36.2959~44.0397&amp;sp=point.36.2959_44.0397","Maplink3")</f>
        <v>Maplink3</v>
      </c>
    </row>
    <row r="1748" customFormat="false" ht="15" hidden="false" customHeight="true" outlineLevel="0" collapsed="false">
      <c r="A1748" s="15" t="n">
        <v>24909</v>
      </c>
      <c r="B1748" s="16" t="s">
        <v>21</v>
      </c>
      <c r="C1748" s="16" t="s">
        <v>21</v>
      </c>
      <c r="D1748" s="16" t="s">
        <v>3449</v>
      </c>
      <c r="E1748" s="17" t="s">
        <v>3450</v>
      </c>
      <c r="F1748" s="16" t="n">
        <v>36.27849889</v>
      </c>
      <c r="G1748" s="16" t="n">
        <v>43.94248975</v>
      </c>
      <c r="H1748" s="18" t="n">
        <v>196</v>
      </c>
      <c r="I1748" s="18" t="n">
        <v>1176</v>
      </c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 t="n">
        <v>196</v>
      </c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 t="n">
        <v>196</v>
      </c>
      <c r="AI1748" s="19"/>
      <c r="AJ1748" s="19"/>
      <c r="AK1748" s="19"/>
      <c r="AL1748" s="19"/>
      <c r="AM1748" s="19" t="n">
        <v>192</v>
      </c>
      <c r="AN1748" s="19"/>
      <c r="AO1748" s="19"/>
      <c r="AP1748" s="19"/>
      <c r="AQ1748" s="19" t="n">
        <v>4</v>
      </c>
      <c r="AR1748" s="19"/>
      <c r="AS1748" s="20" t="str">
        <f aca="false">HYPERLINK("http://www.openstreetmap.org/?mlat=36.2785&amp;mlon=43.9425&amp;zoom=12#map=12/36.2785/43.9425","Maplink1")</f>
        <v>Maplink1</v>
      </c>
      <c r="AT1748" s="20" t="str">
        <f aca="false">HYPERLINK("https://www.google.iq/maps/search/+36.2785,43.9425/@36.2785,43.9425,14z?hl=en","Maplink2")</f>
        <v>Maplink2</v>
      </c>
      <c r="AU1748" s="20" t="str">
        <f aca="false">HYPERLINK("http://www.bing.com/maps/?lvl=14&amp;sty=h&amp;cp=36.2785~43.9425&amp;sp=point.36.2785_43.9425","Maplink3")</f>
        <v>Maplink3</v>
      </c>
    </row>
    <row r="1749" customFormat="false" ht="15" hidden="false" customHeight="true" outlineLevel="0" collapsed="false">
      <c r="A1749" s="15" t="n">
        <v>13677</v>
      </c>
      <c r="B1749" s="16" t="s">
        <v>21</v>
      </c>
      <c r="C1749" s="16" t="s">
        <v>21</v>
      </c>
      <c r="D1749" s="16" t="s">
        <v>3451</v>
      </c>
      <c r="E1749" s="17" t="s">
        <v>3452</v>
      </c>
      <c r="F1749" s="16" t="n">
        <v>36.23147802</v>
      </c>
      <c r="G1749" s="16" t="n">
        <v>43.98783327</v>
      </c>
      <c r="H1749" s="18" t="n">
        <v>320</v>
      </c>
      <c r="I1749" s="18" t="n">
        <v>1920</v>
      </c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 t="n">
        <v>320</v>
      </c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 t="n">
        <v>320</v>
      </c>
      <c r="AI1749" s="19"/>
      <c r="AJ1749" s="19"/>
      <c r="AK1749" s="19"/>
      <c r="AL1749" s="19"/>
      <c r="AM1749" s="19" t="n">
        <v>187</v>
      </c>
      <c r="AN1749" s="19" t="n">
        <v>133</v>
      </c>
      <c r="AO1749" s="19"/>
      <c r="AP1749" s="19"/>
      <c r="AQ1749" s="19"/>
      <c r="AR1749" s="19"/>
      <c r="AS1749" s="20" t="str">
        <f aca="false">HYPERLINK("http://www.openstreetmap.org/?mlat=36.2315&amp;mlon=43.9878&amp;zoom=12#map=12/36.2315/43.9878","Maplink1")</f>
        <v>Maplink1</v>
      </c>
      <c r="AT1749" s="20" t="str">
        <f aca="false">HYPERLINK("https://www.google.iq/maps/search/+36.2315,43.9878/@36.2315,43.9878,14z?hl=en","Maplink2")</f>
        <v>Maplink2</v>
      </c>
      <c r="AU1749" s="20" t="str">
        <f aca="false">HYPERLINK("http://www.bing.com/maps/?lvl=14&amp;sty=h&amp;cp=36.2315~43.9878&amp;sp=point.36.2315_43.9878","Maplink3")</f>
        <v>Maplink3</v>
      </c>
    </row>
    <row r="1750" customFormat="false" ht="15" hidden="false" customHeight="true" outlineLevel="0" collapsed="false">
      <c r="A1750" s="15" t="n">
        <v>25973</v>
      </c>
      <c r="B1750" s="16" t="s">
        <v>21</v>
      </c>
      <c r="C1750" s="16" t="s">
        <v>21</v>
      </c>
      <c r="D1750" s="16" t="s">
        <v>3453</v>
      </c>
      <c r="E1750" s="17" t="s">
        <v>3454</v>
      </c>
      <c r="F1750" s="16" t="n">
        <v>36.11937256</v>
      </c>
      <c r="G1750" s="16" t="n">
        <v>44.06204792</v>
      </c>
      <c r="H1750" s="18" t="n">
        <v>205</v>
      </c>
      <c r="I1750" s="18" t="n">
        <v>1230</v>
      </c>
      <c r="J1750" s="19" t="n">
        <v>149</v>
      </c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 t="n">
        <v>56</v>
      </c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 t="n">
        <v>205</v>
      </c>
      <c r="AI1750" s="19"/>
      <c r="AJ1750" s="19"/>
      <c r="AK1750" s="19"/>
      <c r="AL1750" s="19"/>
      <c r="AM1750" s="19" t="n">
        <v>56</v>
      </c>
      <c r="AN1750" s="19"/>
      <c r="AO1750" s="19"/>
      <c r="AP1750" s="19" t="n">
        <v>149</v>
      </c>
      <c r="AQ1750" s="19"/>
      <c r="AR1750" s="19"/>
      <c r="AS1750" s="20" t="str">
        <f aca="false">HYPERLINK("http://www.openstreetmap.org/?mlat=36.1194&amp;mlon=44.062&amp;zoom=12#map=12/36.1194/44.062","Maplink1")</f>
        <v>Maplink1</v>
      </c>
      <c r="AT1750" s="20" t="str">
        <f aca="false">HYPERLINK("https://www.google.iq/maps/search/+36.1194,44.062/@36.1194,44.062,14z?hl=en","Maplink2")</f>
        <v>Maplink2</v>
      </c>
      <c r="AU1750" s="20" t="str">
        <f aca="false">HYPERLINK("http://www.bing.com/maps/?lvl=14&amp;sty=h&amp;cp=36.1194~44.062&amp;sp=point.36.1194_44.062","Maplink3")</f>
        <v>Maplink3</v>
      </c>
    </row>
    <row r="1751" customFormat="false" ht="15" hidden="false" customHeight="true" outlineLevel="0" collapsed="false">
      <c r="A1751" s="15" t="n">
        <v>24608</v>
      </c>
      <c r="B1751" s="16" t="s">
        <v>21</v>
      </c>
      <c r="C1751" s="16" t="s">
        <v>21</v>
      </c>
      <c r="D1751" s="16" t="s">
        <v>3455</v>
      </c>
      <c r="E1751" s="17" t="s">
        <v>3456</v>
      </c>
      <c r="F1751" s="16" t="n">
        <v>36.25869333</v>
      </c>
      <c r="G1751" s="16" t="n">
        <v>43.99399142</v>
      </c>
      <c r="H1751" s="18" t="n">
        <v>160</v>
      </c>
      <c r="I1751" s="18" t="n">
        <v>960</v>
      </c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 t="n">
        <v>156</v>
      </c>
      <c r="W1751" s="19"/>
      <c r="X1751" s="19" t="n">
        <v>4</v>
      </c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 t="n">
        <v>160</v>
      </c>
      <c r="AI1751" s="19"/>
      <c r="AJ1751" s="19"/>
      <c r="AK1751" s="19"/>
      <c r="AL1751" s="19"/>
      <c r="AM1751" s="19"/>
      <c r="AN1751" s="19" t="n">
        <v>160</v>
      </c>
      <c r="AO1751" s="19"/>
      <c r="AP1751" s="19"/>
      <c r="AQ1751" s="19"/>
      <c r="AR1751" s="19"/>
      <c r="AS1751" s="20" t="str">
        <f aca="false">HYPERLINK("http://www.openstreetmap.org/?mlat=36.2587&amp;mlon=43.994&amp;zoom=12#map=12/36.2587/43.994","Maplink1")</f>
        <v>Maplink1</v>
      </c>
      <c r="AT1751" s="20" t="str">
        <f aca="false">HYPERLINK("https://www.google.iq/maps/search/+36.2587,43.994/@36.2587,43.994,14z?hl=en","Maplink2")</f>
        <v>Maplink2</v>
      </c>
      <c r="AU1751" s="20" t="str">
        <f aca="false">HYPERLINK("http://www.bing.com/maps/?lvl=14&amp;sty=h&amp;cp=36.2587~43.994&amp;sp=point.36.2587_43.994","Maplink3")</f>
        <v>Maplink3</v>
      </c>
    </row>
    <row r="1752" customFormat="false" ht="15" hidden="false" customHeight="true" outlineLevel="0" collapsed="false">
      <c r="A1752" s="15" t="n">
        <v>24417</v>
      </c>
      <c r="B1752" s="16" t="s">
        <v>21</v>
      </c>
      <c r="C1752" s="16" t="s">
        <v>21</v>
      </c>
      <c r="D1752" s="16" t="s">
        <v>3457</v>
      </c>
      <c r="E1752" s="17" t="s">
        <v>3458</v>
      </c>
      <c r="F1752" s="16" t="n">
        <v>36.29811519</v>
      </c>
      <c r="G1752" s="16" t="n">
        <v>44.02057072</v>
      </c>
      <c r="H1752" s="18" t="n">
        <v>280</v>
      </c>
      <c r="I1752" s="18" t="n">
        <v>1680</v>
      </c>
      <c r="J1752" s="19" t="n">
        <v>171</v>
      </c>
      <c r="K1752" s="19"/>
      <c r="L1752" s="19" t="n">
        <v>20</v>
      </c>
      <c r="M1752" s="19"/>
      <c r="N1752" s="19"/>
      <c r="O1752" s="19"/>
      <c r="P1752" s="19"/>
      <c r="Q1752" s="19"/>
      <c r="R1752" s="19"/>
      <c r="S1752" s="19"/>
      <c r="T1752" s="19"/>
      <c r="U1752" s="19"/>
      <c r="V1752" s="19" t="n">
        <v>39</v>
      </c>
      <c r="W1752" s="19"/>
      <c r="X1752" s="19" t="n">
        <v>50</v>
      </c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 t="n">
        <v>280</v>
      </c>
      <c r="AI1752" s="19"/>
      <c r="AJ1752" s="19"/>
      <c r="AK1752" s="19"/>
      <c r="AL1752" s="19" t="n">
        <v>135</v>
      </c>
      <c r="AM1752" s="19" t="n">
        <v>39</v>
      </c>
      <c r="AN1752" s="19" t="n">
        <v>50</v>
      </c>
      <c r="AO1752" s="19"/>
      <c r="AP1752" s="19"/>
      <c r="AQ1752" s="19" t="n">
        <v>56</v>
      </c>
      <c r="AR1752" s="19"/>
      <c r="AS1752" s="20" t="str">
        <f aca="false">HYPERLINK("http://www.openstreetmap.org/?mlat=36.2981&amp;mlon=44.0206&amp;zoom=12#map=12/36.2981/44.0206","Maplink1")</f>
        <v>Maplink1</v>
      </c>
      <c r="AT1752" s="20" t="str">
        <f aca="false">HYPERLINK("https://www.google.iq/maps/search/+36.2981,44.0206/@36.2981,44.0206,14z?hl=en","Maplink2")</f>
        <v>Maplink2</v>
      </c>
      <c r="AU1752" s="20" t="str">
        <f aca="false">HYPERLINK("http://www.bing.com/maps/?lvl=14&amp;sty=h&amp;cp=36.2981~44.0206&amp;sp=point.36.2981_44.0206","Maplink3")</f>
        <v>Maplink3</v>
      </c>
    </row>
    <row r="1753" customFormat="false" ht="15" hidden="false" customHeight="true" outlineLevel="0" collapsed="false">
      <c r="A1753" s="15" t="n">
        <v>24418</v>
      </c>
      <c r="B1753" s="16" t="s">
        <v>21</v>
      </c>
      <c r="C1753" s="16" t="s">
        <v>21</v>
      </c>
      <c r="D1753" s="16" t="s">
        <v>3459</v>
      </c>
      <c r="E1753" s="17" t="s">
        <v>3460</v>
      </c>
      <c r="F1753" s="16" t="n">
        <v>36.29402667</v>
      </c>
      <c r="G1753" s="16" t="n">
        <v>44.02032584</v>
      </c>
      <c r="H1753" s="18" t="n">
        <v>290</v>
      </c>
      <c r="I1753" s="18" t="n">
        <v>1740</v>
      </c>
      <c r="J1753" s="19" t="n">
        <v>123</v>
      </c>
      <c r="K1753" s="19"/>
      <c r="L1753" s="19" t="n">
        <v>35</v>
      </c>
      <c r="M1753" s="19"/>
      <c r="N1753" s="19"/>
      <c r="O1753" s="19"/>
      <c r="P1753" s="19"/>
      <c r="Q1753" s="19"/>
      <c r="R1753" s="19"/>
      <c r="S1753" s="19"/>
      <c r="T1753" s="19"/>
      <c r="U1753" s="19"/>
      <c r="V1753" s="19" t="n">
        <v>82</v>
      </c>
      <c r="W1753" s="19"/>
      <c r="X1753" s="19" t="n">
        <v>50</v>
      </c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 t="n">
        <v>290</v>
      </c>
      <c r="AI1753" s="19"/>
      <c r="AJ1753" s="19"/>
      <c r="AK1753" s="19"/>
      <c r="AL1753" s="19" t="n">
        <v>17</v>
      </c>
      <c r="AM1753" s="19" t="n">
        <v>82</v>
      </c>
      <c r="AN1753" s="19" t="n">
        <v>50</v>
      </c>
      <c r="AO1753" s="19"/>
      <c r="AP1753" s="19" t="n">
        <v>50</v>
      </c>
      <c r="AQ1753" s="19" t="n">
        <v>91</v>
      </c>
      <c r="AR1753" s="19"/>
      <c r="AS1753" s="20" t="str">
        <f aca="false">HYPERLINK("http://www.openstreetmap.org/?mlat=36.294&amp;mlon=44.0203&amp;zoom=12#map=12/36.294/44.0203","Maplink1")</f>
        <v>Maplink1</v>
      </c>
      <c r="AT1753" s="20" t="str">
        <f aca="false">HYPERLINK("https://www.google.iq/maps/search/+36.294,44.0203/@36.294,44.0203,14z?hl=en","Maplink2")</f>
        <v>Maplink2</v>
      </c>
      <c r="AU1753" s="20" t="str">
        <f aca="false">HYPERLINK("http://www.bing.com/maps/?lvl=14&amp;sty=h&amp;cp=36.294~44.0203&amp;sp=point.36.294_44.0203","Maplink3")</f>
        <v>Maplink3</v>
      </c>
    </row>
    <row r="1754" customFormat="false" ht="15" hidden="false" customHeight="true" outlineLevel="0" collapsed="false">
      <c r="A1754" s="15" t="n">
        <v>24606</v>
      </c>
      <c r="B1754" s="16" t="s">
        <v>21</v>
      </c>
      <c r="C1754" s="16" t="s">
        <v>21</v>
      </c>
      <c r="D1754" s="16" t="s">
        <v>3461</v>
      </c>
      <c r="E1754" s="17" t="s">
        <v>3462</v>
      </c>
      <c r="F1754" s="16" t="n">
        <v>36.25688026</v>
      </c>
      <c r="G1754" s="16" t="n">
        <v>43.99390021</v>
      </c>
      <c r="H1754" s="18" t="n">
        <v>299</v>
      </c>
      <c r="I1754" s="18" t="n">
        <v>1794</v>
      </c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 t="n">
        <v>299</v>
      </c>
      <c r="W1754" s="19"/>
      <c r="X1754" s="19"/>
      <c r="Y1754" s="19"/>
      <c r="Z1754" s="19"/>
      <c r="AA1754" s="19"/>
      <c r="AB1754" s="19" t="n">
        <v>299</v>
      </c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 t="n">
        <v>299</v>
      </c>
      <c r="AO1754" s="19"/>
      <c r="AP1754" s="19"/>
      <c r="AQ1754" s="19"/>
      <c r="AR1754" s="19"/>
      <c r="AS1754" s="20" t="str">
        <f aca="false">HYPERLINK("http://www.openstreetmap.org/?mlat=36.2569&amp;mlon=43.9939&amp;zoom=12#map=12/36.2569/43.9939","Maplink1")</f>
        <v>Maplink1</v>
      </c>
      <c r="AT1754" s="20" t="str">
        <f aca="false">HYPERLINK("https://www.google.iq/maps/search/+36.2569,43.9939/@36.2569,43.9939,14z?hl=en","Maplink2")</f>
        <v>Maplink2</v>
      </c>
      <c r="AU1754" s="20" t="str">
        <f aca="false">HYPERLINK("http://www.bing.com/maps/?lvl=14&amp;sty=h&amp;cp=36.2569~43.9939&amp;sp=point.36.2569_43.9939","Maplink3")</f>
        <v>Maplink3</v>
      </c>
    </row>
    <row r="1755" customFormat="false" ht="15" hidden="false" customHeight="true" outlineLevel="0" collapsed="false">
      <c r="A1755" s="15" t="n">
        <v>20790</v>
      </c>
      <c r="B1755" s="16" t="s">
        <v>21</v>
      </c>
      <c r="C1755" s="16" t="s">
        <v>21</v>
      </c>
      <c r="D1755" s="16" t="s">
        <v>3463</v>
      </c>
      <c r="E1755" s="17" t="s">
        <v>3464</v>
      </c>
      <c r="F1755" s="16" t="n">
        <v>36.19316289</v>
      </c>
      <c r="G1755" s="16" t="n">
        <v>44.0493135</v>
      </c>
      <c r="H1755" s="18" t="n">
        <v>380</v>
      </c>
      <c r="I1755" s="18" t="n">
        <v>2280</v>
      </c>
      <c r="J1755" s="19" t="n">
        <v>292</v>
      </c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 t="n">
        <v>50</v>
      </c>
      <c r="W1755" s="19"/>
      <c r="X1755" s="19" t="n">
        <v>38</v>
      </c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 t="n">
        <v>380</v>
      </c>
      <c r="AI1755" s="19"/>
      <c r="AJ1755" s="19"/>
      <c r="AK1755" s="19"/>
      <c r="AL1755" s="19" t="n">
        <v>230</v>
      </c>
      <c r="AM1755" s="19" t="n">
        <v>91</v>
      </c>
      <c r="AN1755" s="19"/>
      <c r="AO1755" s="19"/>
      <c r="AP1755" s="19" t="n">
        <v>57</v>
      </c>
      <c r="AQ1755" s="19" t="n">
        <v>2</v>
      </c>
      <c r="AR1755" s="19"/>
      <c r="AS1755" s="20" t="str">
        <f aca="false">HYPERLINK("http://www.openstreetmap.org/?mlat=36.1932&amp;mlon=44.0493&amp;zoom=12#map=12/36.1932/44.0493","Maplink1")</f>
        <v>Maplink1</v>
      </c>
      <c r="AT1755" s="20" t="str">
        <f aca="false">HYPERLINK("https://www.google.iq/maps/search/+36.1932,44.0493/@36.1932,44.0493,14z?hl=en","Maplink2")</f>
        <v>Maplink2</v>
      </c>
      <c r="AU1755" s="20" t="str">
        <f aca="false">HYPERLINK("http://www.bing.com/maps/?lvl=14&amp;sty=h&amp;cp=36.1932~44.0493&amp;sp=point.36.1932_44.0493","Maplink3")</f>
        <v>Maplink3</v>
      </c>
    </row>
    <row r="1756" customFormat="false" ht="15" hidden="false" customHeight="true" outlineLevel="0" collapsed="false">
      <c r="A1756" s="15" t="n">
        <v>25473</v>
      </c>
      <c r="B1756" s="16" t="s">
        <v>21</v>
      </c>
      <c r="C1756" s="16" t="s">
        <v>21</v>
      </c>
      <c r="D1756" s="16" t="s">
        <v>3465</v>
      </c>
      <c r="E1756" s="17" t="s">
        <v>3466</v>
      </c>
      <c r="F1756" s="16" t="n">
        <v>36.18406301</v>
      </c>
      <c r="G1756" s="16" t="n">
        <v>44.12362479</v>
      </c>
      <c r="H1756" s="18" t="n">
        <v>63</v>
      </c>
      <c r="I1756" s="18" t="n">
        <v>378</v>
      </c>
      <c r="J1756" s="19" t="n">
        <v>39</v>
      </c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 t="n">
        <v>24</v>
      </c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 t="n">
        <v>63</v>
      </c>
      <c r="AI1756" s="19"/>
      <c r="AJ1756" s="19"/>
      <c r="AK1756" s="19"/>
      <c r="AL1756" s="19" t="n">
        <v>12</v>
      </c>
      <c r="AM1756" s="19" t="n">
        <v>24</v>
      </c>
      <c r="AN1756" s="19"/>
      <c r="AO1756" s="19"/>
      <c r="AP1756" s="19" t="n">
        <v>27</v>
      </c>
      <c r="AQ1756" s="19"/>
      <c r="AR1756" s="19"/>
      <c r="AS1756" s="20" t="str">
        <f aca="false">HYPERLINK("http://www.openstreetmap.org/?mlat=36.1841&amp;mlon=44.1236&amp;zoom=12#map=12/36.1841/44.1236","Maplink1")</f>
        <v>Maplink1</v>
      </c>
      <c r="AT1756" s="20" t="str">
        <f aca="false">HYPERLINK("https://www.google.iq/maps/search/+36.1841,44.1236/@36.1841,44.1236,14z?hl=en","Maplink2")</f>
        <v>Maplink2</v>
      </c>
      <c r="AU1756" s="20" t="str">
        <f aca="false">HYPERLINK("http://www.bing.com/maps/?lvl=14&amp;sty=h&amp;cp=36.1841~44.1236&amp;sp=point.36.1841_44.1236","Maplink3")</f>
        <v>Maplink3</v>
      </c>
    </row>
    <row r="1757" customFormat="false" ht="15" hidden="false" customHeight="true" outlineLevel="0" collapsed="false">
      <c r="A1757" s="15" t="n">
        <v>27419</v>
      </c>
      <c r="B1757" s="16" t="s">
        <v>21</v>
      </c>
      <c r="C1757" s="16" t="s">
        <v>21</v>
      </c>
      <c r="D1757" s="16" t="s">
        <v>3467</v>
      </c>
      <c r="E1757" s="17" t="s">
        <v>3468</v>
      </c>
      <c r="F1757" s="16" t="n">
        <v>36.20416396</v>
      </c>
      <c r="G1757" s="16" t="n">
        <v>44.07105769</v>
      </c>
      <c r="H1757" s="18" t="n">
        <v>530</v>
      </c>
      <c r="I1757" s="18" t="n">
        <v>3180</v>
      </c>
      <c r="J1757" s="19" t="n">
        <v>320</v>
      </c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 t="n">
        <v>187</v>
      </c>
      <c r="W1757" s="19"/>
      <c r="X1757" s="19" t="n">
        <v>23</v>
      </c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 t="n">
        <v>530</v>
      </c>
      <c r="AI1757" s="19"/>
      <c r="AJ1757" s="19"/>
      <c r="AK1757" s="19"/>
      <c r="AL1757" s="19" t="n">
        <v>120</v>
      </c>
      <c r="AM1757" s="19" t="n">
        <v>187</v>
      </c>
      <c r="AN1757" s="19" t="n">
        <v>23</v>
      </c>
      <c r="AO1757" s="19"/>
      <c r="AP1757" s="19" t="n">
        <v>200</v>
      </c>
      <c r="AQ1757" s="19"/>
      <c r="AR1757" s="19"/>
      <c r="AS1757" s="20" t="str">
        <f aca="false">HYPERLINK("http://www.openstreetmap.org/?mlat=36.2042&amp;mlon=44.0711&amp;zoom=12#map=12/36.2042/44.0711","Maplink1")</f>
        <v>Maplink1</v>
      </c>
      <c r="AT1757" s="20" t="str">
        <f aca="false">HYPERLINK("https://www.google.iq/maps/search/+36.2042,44.0711/@36.2042,44.0711,14z?hl=en","Maplink2")</f>
        <v>Maplink2</v>
      </c>
      <c r="AU1757" s="20" t="str">
        <f aca="false">HYPERLINK("http://www.bing.com/maps/?lvl=14&amp;sty=h&amp;cp=36.2042~44.0711&amp;sp=point.36.2042_44.0711","Maplink3")</f>
        <v>Maplink3</v>
      </c>
    </row>
    <row r="1758" customFormat="false" ht="15" hidden="false" customHeight="true" outlineLevel="0" collapsed="false">
      <c r="A1758" s="15" t="n">
        <v>13668</v>
      </c>
      <c r="B1758" s="16" t="s">
        <v>21</v>
      </c>
      <c r="C1758" s="16" t="s">
        <v>21</v>
      </c>
      <c r="D1758" s="16" t="s">
        <v>3469</v>
      </c>
      <c r="E1758" s="17" t="s">
        <v>3228</v>
      </c>
      <c r="F1758" s="16" t="n">
        <v>36.17285891</v>
      </c>
      <c r="G1758" s="16" t="n">
        <v>43.98004435</v>
      </c>
      <c r="H1758" s="18" t="n">
        <v>1000</v>
      </c>
      <c r="I1758" s="18" t="n">
        <v>6000</v>
      </c>
      <c r="J1758" s="19" t="n">
        <v>600</v>
      </c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 t="n">
        <v>400</v>
      </c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 t="n">
        <v>1000</v>
      </c>
      <c r="AI1758" s="19"/>
      <c r="AJ1758" s="19"/>
      <c r="AK1758" s="19"/>
      <c r="AL1758" s="19" t="n">
        <v>400</v>
      </c>
      <c r="AM1758" s="19" t="n">
        <v>322</v>
      </c>
      <c r="AN1758" s="19"/>
      <c r="AO1758" s="19"/>
      <c r="AP1758" s="19" t="n">
        <v>220</v>
      </c>
      <c r="AQ1758" s="19" t="n">
        <v>58</v>
      </c>
      <c r="AR1758" s="19"/>
      <c r="AS1758" s="20" t="str">
        <f aca="false">HYPERLINK("http://www.openstreetmap.org/?mlat=36.1729&amp;mlon=43.98&amp;zoom=12#map=12/36.1729/43.98","Maplink1")</f>
        <v>Maplink1</v>
      </c>
      <c r="AT1758" s="20" t="str">
        <f aca="false">HYPERLINK("https://www.google.iq/maps/search/+36.1729,43.98/@36.1729,43.98,14z?hl=en","Maplink2")</f>
        <v>Maplink2</v>
      </c>
      <c r="AU1758" s="20" t="str">
        <f aca="false">HYPERLINK("http://www.bing.com/maps/?lvl=14&amp;sty=h&amp;cp=36.1729~43.98&amp;sp=point.36.1729_43.98","Maplink3")</f>
        <v>Maplink3</v>
      </c>
    </row>
    <row r="1759" customFormat="false" ht="15" hidden="false" customHeight="true" outlineLevel="0" collapsed="false">
      <c r="A1759" s="15" t="n">
        <v>25470</v>
      </c>
      <c r="B1759" s="16" t="s">
        <v>21</v>
      </c>
      <c r="C1759" s="16" t="s">
        <v>21</v>
      </c>
      <c r="D1759" s="16" t="s">
        <v>3470</v>
      </c>
      <c r="E1759" s="17" t="s">
        <v>3471</v>
      </c>
      <c r="F1759" s="16" t="n">
        <v>36.17022263</v>
      </c>
      <c r="G1759" s="16" t="n">
        <v>44.12802752</v>
      </c>
      <c r="H1759" s="18" t="n">
        <v>202</v>
      </c>
      <c r="I1759" s="18" t="n">
        <v>1212</v>
      </c>
      <c r="J1759" s="19" t="n">
        <v>72</v>
      </c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 t="n">
        <v>70</v>
      </c>
      <c r="W1759" s="19"/>
      <c r="X1759" s="19" t="n">
        <v>60</v>
      </c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 t="n">
        <v>202</v>
      </c>
      <c r="AI1759" s="19"/>
      <c r="AJ1759" s="19"/>
      <c r="AK1759" s="19"/>
      <c r="AL1759" s="19" t="n">
        <v>72</v>
      </c>
      <c r="AM1759" s="19" t="n">
        <v>70</v>
      </c>
      <c r="AN1759" s="19" t="n">
        <v>60</v>
      </c>
      <c r="AO1759" s="19"/>
      <c r="AP1759" s="19"/>
      <c r="AQ1759" s="19"/>
      <c r="AR1759" s="19"/>
      <c r="AS1759" s="20" t="str">
        <f aca="false">HYPERLINK("http://www.openstreetmap.org/?mlat=36.1702&amp;mlon=44.128&amp;zoom=12#map=12/36.1702/44.128","Maplink1")</f>
        <v>Maplink1</v>
      </c>
      <c r="AT1759" s="20" t="str">
        <f aca="false">HYPERLINK("https://www.google.iq/maps/search/+36.1702,44.128/@36.1702,44.128,14z?hl=en","Maplink2")</f>
        <v>Maplink2</v>
      </c>
      <c r="AU1759" s="20" t="str">
        <f aca="false">HYPERLINK("http://www.bing.com/maps/?lvl=14&amp;sty=h&amp;cp=36.1702~44.128&amp;sp=point.36.1702_44.128","Maplink3")</f>
        <v>Maplink3</v>
      </c>
    </row>
    <row r="1760" customFormat="false" ht="15" hidden="false" customHeight="true" outlineLevel="0" collapsed="false">
      <c r="A1760" s="15" t="n">
        <v>13686</v>
      </c>
      <c r="B1760" s="16" t="s">
        <v>21</v>
      </c>
      <c r="C1760" s="16" t="s">
        <v>21</v>
      </c>
      <c r="D1760" s="16" t="s">
        <v>3472</v>
      </c>
      <c r="E1760" s="17" t="s">
        <v>3473</v>
      </c>
      <c r="F1760" s="16" t="n">
        <v>36.22433185</v>
      </c>
      <c r="G1760" s="16" t="n">
        <v>43.99126375</v>
      </c>
      <c r="H1760" s="18" t="n">
        <v>95</v>
      </c>
      <c r="I1760" s="18" t="n">
        <v>570</v>
      </c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 t="n">
        <v>95</v>
      </c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 t="n">
        <v>95</v>
      </c>
      <c r="AI1760" s="19"/>
      <c r="AJ1760" s="19"/>
      <c r="AK1760" s="19"/>
      <c r="AL1760" s="19"/>
      <c r="AM1760" s="19" t="n">
        <v>80</v>
      </c>
      <c r="AN1760" s="19" t="n">
        <v>15</v>
      </c>
      <c r="AO1760" s="19"/>
      <c r="AP1760" s="19"/>
      <c r="AQ1760" s="19"/>
      <c r="AR1760" s="19"/>
      <c r="AS1760" s="20" t="str">
        <f aca="false">HYPERLINK("http://www.openstreetmap.org/?mlat=36.2243&amp;mlon=43.9913&amp;zoom=12#map=12/36.2243/43.9913","Maplink1")</f>
        <v>Maplink1</v>
      </c>
      <c r="AT1760" s="20" t="str">
        <f aca="false">HYPERLINK("https://www.google.iq/maps/search/+36.2243,43.9913/@36.2243,43.9913,14z?hl=en","Maplink2")</f>
        <v>Maplink2</v>
      </c>
      <c r="AU1760" s="20" t="str">
        <f aca="false">HYPERLINK("http://www.bing.com/maps/?lvl=14&amp;sty=h&amp;cp=36.2243~43.9913&amp;sp=point.36.2243_43.9913","Maplink3")</f>
        <v>Maplink3</v>
      </c>
    </row>
    <row r="1761" customFormat="false" ht="15" hidden="false" customHeight="true" outlineLevel="0" collapsed="false">
      <c r="A1761" s="15" t="n">
        <v>27131</v>
      </c>
      <c r="B1761" s="16" t="s">
        <v>21</v>
      </c>
      <c r="C1761" s="16" t="s">
        <v>21</v>
      </c>
      <c r="D1761" s="16" t="s">
        <v>3474</v>
      </c>
      <c r="E1761" s="17" t="s">
        <v>3475</v>
      </c>
      <c r="F1761" s="16" t="n">
        <v>36.22222667</v>
      </c>
      <c r="G1761" s="16" t="n">
        <v>43.99247262</v>
      </c>
      <c r="H1761" s="18" t="n">
        <v>49</v>
      </c>
      <c r="I1761" s="18" t="n">
        <v>294</v>
      </c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 t="n">
        <v>49</v>
      </c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 t="n">
        <v>49</v>
      </c>
      <c r="AJ1761" s="19"/>
      <c r="AK1761" s="19"/>
      <c r="AL1761" s="19"/>
      <c r="AM1761" s="19"/>
      <c r="AN1761" s="19" t="n">
        <v>49</v>
      </c>
      <c r="AO1761" s="19"/>
      <c r="AP1761" s="19"/>
      <c r="AQ1761" s="19"/>
      <c r="AR1761" s="19"/>
      <c r="AS1761" s="20" t="str">
        <f aca="false">HYPERLINK("http://www.openstreetmap.org/?mlat=36.2222&amp;mlon=43.9925&amp;zoom=12#map=12/36.2222/43.9925","Maplink1")</f>
        <v>Maplink1</v>
      </c>
      <c r="AT1761" s="20" t="str">
        <f aca="false">HYPERLINK("https://www.google.iq/maps/search/+36.2222,43.9925/@36.2222,43.9925,14z?hl=en","Maplink2")</f>
        <v>Maplink2</v>
      </c>
      <c r="AU1761" s="20" t="str">
        <f aca="false">HYPERLINK("http://www.bing.com/maps/?lvl=14&amp;sty=h&amp;cp=36.2222~43.9925&amp;sp=point.36.2222_43.9925","Maplink3")</f>
        <v>Maplink3</v>
      </c>
    </row>
    <row r="1762" customFormat="false" ht="15" hidden="false" customHeight="true" outlineLevel="0" collapsed="false">
      <c r="A1762" s="15" t="n">
        <v>25727</v>
      </c>
      <c r="B1762" s="16" t="s">
        <v>21</v>
      </c>
      <c r="C1762" s="16" t="s">
        <v>21</v>
      </c>
      <c r="D1762" s="16" t="s">
        <v>3476</v>
      </c>
      <c r="E1762" s="17" t="s">
        <v>3477</v>
      </c>
      <c r="F1762" s="16" t="n">
        <v>36.20831681</v>
      </c>
      <c r="G1762" s="16" t="n">
        <v>43.86162109</v>
      </c>
      <c r="H1762" s="18" t="n">
        <v>200</v>
      </c>
      <c r="I1762" s="18" t="n">
        <v>1200</v>
      </c>
      <c r="J1762" s="19" t="n">
        <v>11</v>
      </c>
      <c r="K1762" s="19"/>
      <c r="L1762" s="19"/>
      <c r="M1762" s="19"/>
      <c r="N1762" s="19"/>
      <c r="O1762" s="19"/>
      <c r="P1762" s="19" t="n">
        <v>85</v>
      </c>
      <c r="Q1762" s="19"/>
      <c r="R1762" s="19"/>
      <c r="S1762" s="19"/>
      <c r="T1762" s="19"/>
      <c r="U1762" s="19"/>
      <c r="V1762" s="19" t="n">
        <v>104</v>
      </c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 t="n">
        <v>200</v>
      </c>
      <c r="AI1762" s="19"/>
      <c r="AJ1762" s="19"/>
      <c r="AK1762" s="19"/>
      <c r="AL1762" s="19"/>
      <c r="AM1762" s="19" t="n">
        <v>104</v>
      </c>
      <c r="AN1762" s="19"/>
      <c r="AO1762" s="19"/>
      <c r="AP1762" s="19" t="n">
        <v>11</v>
      </c>
      <c r="AQ1762" s="19" t="n">
        <v>85</v>
      </c>
      <c r="AR1762" s="19"/>
      <c r="AS1762" s="20" t="str">
        <f aca="false">HYPERLINK("http://www.openstreetmap.org/?mlat=36.2083&amp;mlon=43.8616&amp;zoom=12#map=12/36.2083/43.8616","Maplink1")</f>
        <v>Maplink1</v>
      </c>
      <c r="AT1762" s="20" t="str">
        <f aca="false">HYPERLINK("https://www.google.iq/maps/search/+36.2083,43.8616/@36.2083,43.8616,14z?hl=en","Maplink2")</f>
        <v>Maplink2</v>
      </c>
      <c r="AU1762" s="20" t="str">
        <f aca="false">HYPERLINK("http://www.bing.com/maps/?lvl=14&amp;sty=h&amp;cp=36.2083~43.8616&amp;sp=point.36.2083_43.8616","Maplink3")</f>
        <v>Maplink3</v>
      </c>
    </row>
    <row r="1763" customFormat="false" ht="15" hidden="false" customHeight="true" outlineLevel="0" collapsed="false">
      <c r="A1763" s="15" t="n">
        <v>29557</v>
      </c>
      <c r="B1763" s="16" t="s">
        <v>21</v>
      </c>
      <c r="C1763" s="16" t="s">
        <v>21</v>
      </c>
      <c r="D1763" s="16" t="s">
        <v>3478</v>
      </c>
      <c r="E1763" s="17" t="s">
        <v>3479</v>
      </c>
      <c r="F1763" s="16" t="n">
        <v>36.18396694</v>
      </c>
      <c r="G1763" s="16" t="n">
        <v>44.16091097</v>
      </c>
      <c r="H1763" s="18" t="n">
        <v>56</v>
      </c>
      <c r="I1763" s="18" t="n">
        <v>336</v>
      </c>
      <c r="J1763" s="19" t="n">
        <v>40</v>
      </c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 t="n">
        <v>16</v>
      </c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 t="n">
        <v>56</v>
      </c>
      <c r="AI1763" s="19"/>
      <c r="AJ1763" s="19"/>
      <c r="AK1763" s="19"/>
      <c r="AL1763" s="19" t="n">
        <v>38</v>
      </c>
      <c r="AM1763" s="19"/>
      <c r="AN1763" s="19" t="n">
        <v>18</v>
      </c>
      <c r="AO1763" s="19"/>
      <c r="AP1763" s="19"/>
      <c r="AQ1763" s="19"/>
      <c r="AR1763" s="19"/>
      <c r="AS1763" s="20" t="str">
        <f aca="false">HYPERLINK("http://www.openstreetmap.org/?mlat=36.184&amp;mlon=44.1609&amp;zoom=12#map=12/36.184/44.1609","Maplink1")</f>
        <v>Maplink1</v>
      </c>
      <c r="AT1763" s="20" t="str">
        <f aca="false">HYPERLINK("https://www.google.iq/maps/search/+36.184,44.1609/@36.184,44.1609,14z?hl=en","Maplink2")</f>
        <v>Maplink2</v>
      </c>
      <c r="AU1763" s="20" t="str">
        <f aca="false">HYPERLINK("http://www.bing.com/maps/?lvl=14&amp;sty=h&amp;cp=36.184~44.1609&amp;sp=point.36.184_44.1609","Maplink3")</f>
        <v>Maplink3</v>
      </c>
    </row>
    <row r="1764" customFormat="false" ht="15" hidden="false" customHeight="true" outlineLevel="0" collapsed="false">
      <c r="A1764" s="15" t="n">
        <v>27152</v>
      </c>
      <c r="B1764" s="16" t="s">
        <v>21</v>
      </c>
      <c r="C1764" s="16" t="s">
        <v>21</v>
      </c>
      <c r="D1764" s="16" t="s">
        <v>3480</v>
      </c>
      <c r="E1764" s="17" t="s">
        <v>3481</v>
      </c>
      <c r="F1764" s="16" t="n">
        <v>36.22730808</v>
      </c>
      <c r="G1764" s="16" t="n">
        <v>43.99660688</v>
      </c>
      <c r="H1764" s="18" t="n">
        <v>445</v>
      </c>
      <c r="I1764" s="18" t="n">
        <v>2670</v>
      </c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 t="n">
        <v>445</v>
      </c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 t="n">
        <v>445</v>
      </c>
      <c r="AI1764" s="19"/>
      <c r="AJ1764" s="19"/>
      <c r="AK1764" s="19"/>
      <c r="AL1764" s="19"/>
      <c r="AM1764" s="19" t="n">
        <v>445</v>
      </c>
      <c r="AN1764" s="19"/>
      <c r="AO1764" s="19"/>
      <c r="AP1764" s="19"/>
      <c r="AQ1764" s="19"/>
      <c r="AR1764" s="19"/>
      <c r="AS1764" s="20" t="str">
        <f aca="false">HYPERLINK("http://www.openstreetmap.org/?mlat=36.2273&amp;mlon=43.9966&amp;zoom=12#map=12/36.2273/43.9966","Maplink1")</f>
        <v>Maplink1</v>
      </c>
      <c r="AT1764" s="20" t="str">
        <f aca="false">HYPERLINK("https://www.google.iq/maps/search/+36.2273,43.9966/@36.2273,43.9966,14z?hl=en","Maplink2")</f>
        <v>Maplink2</v>
      </c>
      <c r="AU1764" s="20" t="str">
        <f aca="false">HYPERLINK("http://www.bing.com/maps/?lvl=14&amp;sty=h&amp;cp=36.2273~43.9966&amp;sp=point.36.2273_43.9966","Maplink3")</f>
        <v>Maplink3</v>
      </c>
    </row>
    <row r="1765" customFormat="false" ht="15" hidden="false" customHeight="true" outlineLevel="0" collapsed="false">
      <c r="A1765" s="15" t="n">
        <v>27421</v>
      </c>
      <c r="B1765" s="16" t="s">
        <v>21</v>
      </c>
      <c r="C1765" s="16" t="s">
        <v>21</v>
      </c>
      <c r="D1765" s="16" t="s">
        <v>3482</v>
      </c>
      <c r="E1765" s="17" t="s">
        <v>3483</v>
      </c>
      <c r="F1765" s="16" t="n">
        <v>36.1715876</v>
      </c>
      <c r="G1765" s="16" t="n">
        <v>44.05424197</v>
      </c>
      <c r="H1765" s="18" t="n">
        <v>115</v>
      </c>
      <c r="I1765" s="18" t="n">
        <v>690</v>
      </c>
      <c r="J1765" s="19" t="n">
        <v>43</v>
      </c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 t="n">
        <v>72</v>
      </c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 t="n">
        <v>115</v>
      </c>
      <c r="AI1765" s="19"/>
      <c r="AJ1765" s="19"/>
      <c r="AK1765" s="19"/>
      <c r="AL1765" s="19" t="n">
        <v>18</v>
      </c>
      <c r="AM1765" s="19" t="n">
        <v>72</v>
      </c>
      <c r="AN1765" s="19"/>
      <c r="AO1765" s="19"/>
      <c r="AP1765" s="19" t="n">
        <v>25</v>
      </c>
      <c r="AQ1765" s="19"/>
      <c r="AR1765" s="19"/>
      <c r="AS1765" s="20" t="str">
        <f aca="false">HYPERLINK("http://www.openstreetmap.org/?mlat=36.1716&amp;mlon=44.0542&amp;zoom=12#map=12/36.1716/44.0542","Maplink1")</f>
        <v>Maplink1</v>
      </c>
      <c r="AT1765" s="20" t="str">
        <f aca="false">HYPERLINK("https://www.google.iq/maps/search/+36.1716,44.0542/@36.1716,44.0542,14z?hl=en","Maplink2")</f>
        <v>Maplink2</v>
      </c>
      <c r="AU1765" s="20" t="str">
        <f aca="false">HYPERLINK("http://www.bing.com/maps/?lvl=14&amp;sty=h&amp;cp=36.1716~44.0542&amp;sp=point.36.1716_44.0542","Maplink3")</f>
        <v>Maplink3</v>
      </c>
    </row>
    <row r="1766" customFormat="false" ht="15" hidden="false" customHeight="true" outlineLevel="0" collapsed="false">
      <c r="A1766" s="15" t="n">
        <v>25840</v>
      </c>
      <c r="B1766" s="16" t="s">
        <v>21</v>
      </c>
      <c r="C1766" s="16" t="s">
        <v>21</v>
      </c>
      <c r="D1766" s="16" t="s">
        <v>3484</v>
      </c>
      <c r="E1766" s="17" t="s">
        <v>3485</v>
      </c>
      <c r="F1766" s="16" t="n">
        <v>36.2086798</v>
      </c>
      <c r="G1766" s="16" t="n">
        <v>44.15035675</v>
      </c>
      <c r="H1766" s="18" t="n">
        <v>85</v>
      </c>
      <c r="I1766" s="18" t="n">
        <v>510</v>
      </c>
      <c r="J1766" s="19" t="n">
        <v>85</v>
      </c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 t="n">
        <v>85</v>
      </c>
      <c r="AI1766" s="19"/>
      <c r="AJ1766" s="19"/>
      <c r="AK1766" s="19"/>
      <c r="AL1766" s="19"/>
      <c r="AM1766" s="19"/>
      <c r="AN1766" s="19"/>
      <c r="AO1766" s="19"/>
      <c r="AP1766" s="19" t="n">
        <v>85</v>
      </c>
      <c r="AQ1766" s="19"/>
      <c r="AR1766" s="19"/>
      <c r="AS1766" s="20" t="str">
        <f aca="false">HYPERLINK("http://www.openstreetmap.org/?mlat=36.2087&amp;mlon=44.1504&amp;zoom=12#map=12/36.2087/44.1504","Maplink1")</f>
        <v>Maplink1</v>
      </c>
      <c r="AT1766" s="20" t="str">
        <f aca="false">HYPERLINK("https://www.google.iq/maps/search/+36.2087,44.1504/@36.2087,44.1504,14z?hl=en","Maplink2")</f>
        <v>Maplink2</v>
      </c>
      <c r="AU1766" s="20" t="str">
        <f aca="false">HYPERLINK("http://www.bing.com/maps/?lvl=14&amp;sty=h&amp;cp=36.2087~44.1504&amp;sp=point.36.2087_44.1504","Maplink3")</f>
        <v>Maplink3</v>
      </c>
    </row>
    <row r="1767" customFormat="false" ht="15" hidden="false" customHeight="true" outlineLevel="0" collapsed="false">
      <c r="A1767" s="15" t="n">
        <v>25630</v>
      </c>
      <c r="B1767" s="16" t="s">
        <v>21</v>
      </c>
      <c r="C1767" s="16" t="s">
        <v>21</v>
      </c>
      <c r="D1767" s="16" t="s">
        <v>3486</v>
      </c>
      <c r="E1767" s="17" t="s">
        <v>3487</v>
      </c>
      <c r="F1767" s="16" t="n">
        <v>35.97915759</v>
      </c>
      <c r="G1767" s="16" t="n">
        <v>44.03892792</v>
      </c>
      <c r="H1767" s="18" t="n">
        <v>352</v>
      </c>
      <c r="I1767" s="18" t="n">
        <v>2112</v>
      </c>
      <c r="J1767" s="19" t="n">
        <v>352</v>
      </c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 t="n">
        <v>352</v>
      </c>
      <c r="AI1767" s="19"/>
      <c r="AJ1767" s="19"/>
      <c r="AK1767" s="19"/>
      <c r="AL1767" s="19"/>
      <c r="AM1767" s="19"/>
      <c r="AN1767" s="19"/>
      <c r="AO1767" s="19"/>
      <c r="AP1767" s="19" t="n">
        <v>352</v>
      </c>
      <c r="AQ1767" s="19"/>
      <c r="AR1767" s="19"/>
      <c r="AS1767" s="20" t="str">
        <f aca="false">HYPERLINK("http://www.openstreetmap.org/?mlat=35.9792&amp;mlon=44.0389&amp;zoom=12#map=12/35.9792/44.0389","Maplink1")</f>
        <v>Maplink1</v>
      </c>
      <c r="AT1767" s="20" t="str">
        <f aca="false">HYPERLINK("https://www.google.iq/maps/search/+35.9792,44.0389/@35.9792,44.0389,14z?hl=en","Maplink2")</f>
        <v>Maplink2</v>
      </c>
      <c r="AU1767" s="20" t="str">
        <f aca="false">HYPERLINK("http://www.bing.com/maps/?lvl=14&amp;sty=h&amp;cp=35.9792~44.0389&amp;sp=point.35.9792_44.0389","Maplink3")</f>
        <v>Maplink3</v>
      </c>
    </row>
    <row r="1768" customFormat="false" ht="15" hidden="false" customHeight="true" outlineLevel="0" collapsed="false">
      <c r="A1768" s="15" t="n">
        <v>13472</v>
      </c>
      <c r="B1768" s="16" t="s">
        <v>21</v>
      </c>
      <c r="C1768" s="16" t="s">
        <v>21</v>
      </c>
      <c r="D1768" s="16" t="s">
        <v>3488</v>
      </c>
      <c r="E1768" s="17" t="s">
        <v>3489</v>
      </c>
      <c r="F1768" s="16" t="n">
        <v>36.34543469</v>
      </c>
      <c r="G1768" s="16" t="n">
        <v>43.79236685</v>
      </c>
      <c r="H1768" s="18" t="n">
        <v>290</v>
      </c>
      <c r="I1768" s="18" t="n">
        <v>1740</v>
      </c>
      <c r="J1768" s="19"/>
      <c r="K1768" s="19"/>
      <c r="L1768" s="19" t="n">
        <v>7</v>
      </c>
      <c r="M1768" s="19"/>
      <c r="N1768" s="19"/>
      <c r="O1768" s="19"/>
      <c r="P1768" s="19"/>
      <c r="Q1768" s="19"/>
      <c r="R1768" s="19"/>
      <c r="S1768" s="19"/>
      <c r="T1768" s="19"/>
      <c r="U1768" s="19"/>
      <c r="V1768" s="19" t="n">
        <v>140</v>
      </c>
      <c r="W1768" s="19"/>
      <c r="X1768" s="19" t="n">
        <v>143</v>
      </c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 t="n">
        <v>290</v>
      </c>
      <c r="AI1768" s="19"/>
      <c r="AJ1768" s="19"/>
      <c r="AK1768" s="19"/>
      <c r="AL1768" s="19"/>
      <c r="AM1768" s="19" t="n">
        <v>254</v>
      </c>
      <c r="AN1768" s="19" t="n">
        <v>36</v>
      </c>
      <c r="AO1768" s="19"/>
      <c r="AP1768" s="19"/>
      <c r="AQ1768" s="19"/>
      <c r="AR1768" s="19"/>
      <c r="AS1768" s="20" t="str">
        <f aca="false">HYPERLINK("http://www.openstreetmap.org/?mlat=36.3454&amp;mlon=43.7924&amp;zoom=12#map=12/36.3454/43.7924","Maplink1")</f>
        <v>Maplink1</v>
      </c>
      <c r="AT1768" s="20" t="str">
        <f aca="false">HYPERLINK("https://www.google.iq/maps/search/+36.3454,43.7924/@36.3454,43.7924,14z?hl=en","Maplink2")</f>
        <v>Maplink2</v>
      </c>
      <c r="AU1768" s="20" t="str">
        <f aca="false">HYPERLINK("http://www.bing.com/maps/?lvl=14&amp;sty=h&amp;cp=36.3454~43.7924&amp;sp=point.36.3454_43.7924","Maplink3")</f>
        <v>Maplink3</v>
      </c>
    </row>
    <row r="1769" customFormat="false" ht="15" hidden="false" customHeight="true" outlineLevel="0" collapsed="false">
      <c r="A1769" s="15" t="n">
        <v>25729</v>
      </c>
      <c r="B1769" s="16" t="s">
        <v>21</v>
      </c>
      <c r="C1769" s="16" t="s">
        <v>21</v>
      </c>
      <c r="D1769" s="16" t="s">
        <v>3490</v>
      </c>
      <c r="E1769" s="17" t="s">
        <v>3491</v>
      </c>
      <c r="F1769" s="16" t="n">
        <v>36.40864702</v>
      </c>
      <c r="G1769" s="16" t="n">
        <v>43.99364403</v>
      </c>
      <c r="H1769" s="18" t="n">
        <v>38</v>
      </c>
      <c r="I1769" s="18" t="n">
        <v>228</v>
      </c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 t="n">
        <v>38</v>
      </c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 t="n">
        <v>38</v>
      </c>
      <c r="AI1769" s="19"/>
      <c r="AJ1769" s="19"/>
      <c r="AK1769" s="19"/>
      <c r="AL1769" s="19"/>
      <c r="AM1769" s="19"/>
      <c r="AN1769" s="19" t="n">
        <v>38</v>
      </c>
      <c r="AO1769" s="19"/>
      <c r="AP1769" s="19"/>
      <c r="AQ1769" s="19"/>
      <c r="AR1769" s="19"/>
      <c r="AS1769" s="20" t="str">
        <f aca="false">HYPERLINK("http://www.openstreetmap.org/?mlat=36.4086&amp;mlon=43.9936&amp;zoom=12#map=12/36.4086/43.9936","Maplink1")</f>
        <v>Maplink1</v>
      </c>
      <c r="AT1769" s="20" t="str">
        <f aca="false">HYPERLINK("https://www.google.iq/maps/search/+36.4086,43.9936/@36.4086,43.9936,14z?hl=en","Maplink2")</f>
        <v>Maplink2</v>
      </c>
      <c r="AU1769" s="20" t="str">
        <f aca="false">HYPERLINK("http://www.bing.com/maps/?lvl=14&amp;sty=h&amp;cp=36.4086~43.9936&amp;sp=point.36.4086_43.9936","Maplink3")</f>
        <v>Maplink3</v>
      </c>
    </row>
    <row r="1770" customFormat="false" ht="15" hidden="false" customHeight="true" outlineLevel="0" collapsed="false">
      <c r="A1770" s="15" t="n">
        <v>27227</v>
      </c>
      <c r="B1770" s="16" t="s">
        <v>21</v>
      </c>
      <c r="C1770" s="16" t="s">
        <v>21</v>
      </c>
      <c r="D1770" s="16" t="s">
        <v>3492</v>
      </c>
      <c r="E1770" s="17" t="s">
        <v>3493</v>
      </c>
      <c r="F1770" s="16" t="n">
        <v>36.18410378</v>
      </c>
      <c r="G1770" s="16" t="n">
        <v>44.0352309</v>
      </c>
      <c r="H1770" s="18" t="n">
        <v>30</v>
      </c>
      <c r="I1770" s="18" t="n">
        <v>180</v>
      </c>
      <c r="J1770" s="19" t="n">
        <v>6</v>
      </c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 t="n">
        <v>24</v>
      </c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 t="n">
        <v>30</v>
      </c>
      <c r="AI1770" s="19"/>
      <c r="AJ1770" s="19"/>
      <c r="AK1770" s="19"/>
      <c r="AL1770" s="19"/>
      <c r="AM1770" s="19" t="n">
        <v>24</v>
      </c>
      <c r="AN1770" s="19"/>
      <c r="AO1770" s="19"/>
      <c r="AP1770" s="19" t="n">
        <v>6</v>
      </c>
      <c r="AQ1770" s="19"/>
      <c r="AR1770" s="19"/>
      <c r="AS1770" s="20" t="str">
        <f aca="false">HYPERLINK("http://www.openstreetmap.org/?mlat=36.1841&amp;mlon=44.0352&amp;zoom=12#map=12/36.1841/44.0352","Maplink1")</f>
        <v>Maplink1</v>
      </c>
      <c r="AT1770" s="20" t="str">
        <f aca="false">HYPERLINK("https://www.google.iq/maps/search/+36.1841,44.0352/@36.1841,44.0352,14z?hl=en","Maplink2")</f>
        <v>Maplink2</v>
      </c>
      <c r="AU1770" s="20" t="str">
        <f aca="false">HYPERLINK("http://www.bing.com/maps/?lvl=14&amp;sty=h&amp;cp=36.1841~44.0352&amp;sp=point.36.1841_44.0352","Maplink3")</f>
        <v>Maplink3</v>
      </c>
    </row>
    <row r="1771" customFormat="false" ht="15" hidden="false" customHeight="true" outlineLevel="0" collapsed="false">
      <c r="A1771" s="15" t="n">
        <v>12821</v>
      </c>
      <c r="B1771" s="16" t="s">
        <v>21</v>
      </c>
      <c r="C1771" s="16" t="s">
        <v>21</v>
      </c>
      <c r="D1771" s="16" t="s">
        <v>3492</v>
      </c>
      <c r="E1771" s="17" t="s">
        <v>3493</v>
      </c>
      <c r="F1771" s="16" t="n">
        <v>36.26990211</v>
      </c>
      <c r="G1771" s="16" t="n">
        <v>43.67183542</v>
      </c>
      <c r="H1771" s="18" t="n">
        <v>5018</v>
      </c>
      <c r="I1771" s="18" t="n">
        <v>30108</v>
      </c>
      <c r="J1771" s="19" t="n">
        <v>1419</v>
      </c>
      <c r="K1771" s="19"/>
      <c r="L1771" s="19" t="n">
        <v>63</v>
      </c>
      <c r="M1771" s="19"/>
      <c r="N1771" s="19"/>
      <c r="O1771" s="19"/>
      <c r="P1771" s="19" t="n">
        <v>197</v>
      </c>
      <c r="Q1771" s="19"/>
      <c r="R1771" s="19"/>
      <c r="S1771" s="19"/>
      <c r="T1771" s="19"/>
      <c r="U1771" s="19"/>
      <c r="V1771" s="19" t="n">
        <v>3339</v>
      </c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 t="n">
        <v>5018</v>
      </c>
      <c r="AI1771" s="19"/>
      <c r="AJ1771" s="19"/>
      <c r="AK1771" s="19"/>
      <c r="AL1771" s="19" t="n">
        <v>553</v>
      </c>
      <c r="AM1771" s="19" t="n">
        <v>3228</v>
      </c>
      <c r="AN1771" s="19" t="n">
        <v>310</v>
      </c>
      <c r="AO1771" s="19"/>
      <c r="AP1771" s="19" t="n">
        <v>863</v>
      </c>
      <c r="AQ1771" s="19"/>
      <c r="AR1771" s="19" t="n">
        <v>64</v>
      </c>
      <c r="AS1771" s="20" t="str">
        <f aca="false">HYPERLINK("http://www.openstreetmap.org/?mlat=36.2699&amp;mlon=43.6718&amp;zoom=12#map=12/36.2699/43.6718","Maplink1")</f>
        <v>Maplink1</v>
      </c>
      <c r="AT1771" s="20" t="str">
        <f aca="false">HYPERLINK("https://www.google.iq/maps/search/+36.2699,43.6718/@36.2699,43.6718,14z?hl=en","Maplink2")</f>
        <v>Maplink2</v>
      </c>
      <c r="AU1771" s="20" t="str">
        <f aca="false">HYPERLINK("http://www.bing.com/maps/?lvl=14&amp;sty=h&amp;cp=36.2699~43.6718&amp;sp=point.36.2699_43.6718","Maplink3")</f>
        <v>Maplink3</v>
      </c>
    </row>
    <row r="1772" customFormat="false" ht="15" hidden="false" customHeight="true" outlineLevel="0" collapsed="false">
      <c r="A1772" s="15" t="n">
        <v>21549</v>
      </c>
      <c r="B1772" s="16" t="s">
        <v>21</v>
      </c>
      <c r="C1772" s="16" t="s">
        <v>21</v>
      </c>
      <c r="D1772" s="16" t="s">
        <v>3494</v>
      </c>
      <c r="E1772" s="17" t="s">
        <v>3495</v>
      </c>
      <c r="F1772" s="16" t="n">
        <v>36.20561402</v>
      </c>
      <c r="G1772" s="16" t="n">
        <v>44.14138974</v>
      </c>
      <c r="H1772" s="18" t="n">
        <v>105</v>
      </c>
      <c r="I1772" s="18" t="n">
        <v>630</v>
      </c>
      <c r="J1772" s="19" t="n">
        <v>52</v>
      </c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 t="n">
        <v>53</v>
      </c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 t="n">
        <v>105</v>
      </c>
      <c r="AI1772" s="19"/>
      <c r="AJ1772" s="19"/>
      <c r="AK1772" s="19"/>
      <c r="AL1772" s="19" t="n">
        <v>52</v>
      </c>
      <c r="AM1772" s="19" t="n">
        <v>53</v>
      </c>
      <c r="AN1772" s="19"/>
      <c r="AO1772" s="19"/>
      <c r="AP1772" s="19"/>
      <c r="AQ1772" s="19"/>
      <c r="AR1772" s="19"/>
      <c r="AS1772" s="20" t="str">
        <f aca="false">HYPERLINK("http://www.openstreetmap.org/?mlat=36.2056&amp;mlon=44.1414&amp;zoom=12#map=12/36.2056/44.1414","Maplink1")</f>
        <v>Maplink1</v>
      </c>
      <c r="AT1772" s="20" t="str">
        <f aca="false">HYPERLINK("https://www.google.iq/maps/search/+36.2056,44.1414/@36.2056,44.1414,14z?hl=en","Maplink2")</f>
        <v>Maplink2</v>
      </c>
      <c r="AU1772" s="20" t="str">
        <f aca="false">HYPERLINK("http://www.bing.com/maps/?lvl=14&amp;sty=h&amp;cp=36.2056~44.1414&amp;sp=point.36.2056_44.1414","Maplink3")</f>
        <v>Maplink3</v>
      </c>
    </row>
    <row r="1773" customFormat="false" ht="15" hidden="false" customHeight="true" outlineLevel="0" collapsed="false">
      <c r="A1773" s="15" t="n">
        <v>21671</v>
      </c>
      <c r="B1773" s="16" t="s">
        <v>21</v>
      </c>
      <c r="C1773" s="16" t="s">
        <v>21</v>
      </c>
      <c r="D1773" s="16" t="s">
        <v>3496</v>
      </c>
      <c r="E1773" s="17" t="s">
        <v>3497</v>
      </c>
      <c r="F1773" s="16" t="n">
        <v>36.12452959</v>
      </c>
      <c r="G1773" s="16" t="n">
        <v>44.05430225</v>
      </c>
      <c r="H1773" s="18" t="n">
        <v>164</v>
      </c>
      <c r="I1773" s="18" t="n">
        <v>984</v>
      </c>
      <c r="J1773" s="19" t="n">
        <v>104</v>
      </c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 t="n">
        <v>60</v>
      </c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 t="n">
        <v>164</v>
      </c>
      <c r="AI1773" s="19"/>
      <c r="AJ1773" s="19"/>
      <c r="AK1773" s="19"/>
      <c r="AL1773" s="19" t="n">
        <v>80</v>
      </c>
      <c r="AM1773" s="19"/>
      <c r="AN1773" s="19" t="n">
        <v>60</v>
      </c>
      <c r="AO1773" s="19"/>
      <c r="AP1773" s="19" t="n">
        <v>24</v>
      </c>
      <c r="AQ1773" s="19"/>
      <c r="AR1773" s="19"/>
      <c r="AS1773" s="20" t="str">
        <f aca="false">HYPERLINK("http://www.openstreetmap.org/?mlat=36.1245&amp;mlon=44.0543&amp;zoom=12#map=12/36.1245/44.0543","Maplink1")</f>
        <v>Maplink1</v>
      </c>
      <c r="AT1773" s="20" t="str">
        <f aca="false">HYPERLINK("https://www.google.iq/maps/search/+36.1245,44.0543/@36.1245,44.0543,14z?hl=en","Maplink2")</f>
        <v>Maplink2</v>
      </c>
      <c r="AU1773" s="20" t="str">
        <f aca="false">HYPERLINK("http://www.bing.com/maps/?lvl=14&amp;sty=h&amp;cp=36.1245~44.0543&amp;sp=point.36.1245_44.0543","Maplink3")</f>
        <v>Maplink3</v>
      </c>
    </row>
    <row r="1774" customFormat="false" ht="15" hidden="false" customHeight="true" outlineLevel="0" collapsed="false">
      <c r="A1774" s="15" t="n">
        <v>23931</v>
      </c>
      <c r="B1774" s="16" t="s">
        <v>21</v>
      </c>
      <c r="C1774" s="16" t="s">
        <v>21</v>
      </c>
      <c r="D1774" s="16" t="s">
        <v>3498</v>
      </c>
      <c r="E1774" s="17" t="s">
        <v>3499</v>
      </c>
      <c r="F1774" s="16" t="n">
        <v>36.18613698</v>
      </c>
      <c r="G1774" s="16" t="n">
        <v>44.12347953</v>
      </c>
      <c r="H1774" s="18" t="n">
        <v>245</v>
      </c>
      <c r="I1774" s="18" t="n">
        <v>1470</v>
      </c>
      <c r="J1774" s="19" t="n">
        <v>90</v>
      </c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 t="n">
        <v>101</v>
      </c>
      <c r="W1774" s="19"/>
      <c r="X1774" s="19" t="n">
        <v>54</v>
      </c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 t="n">
        <v>245</v>
      </c>
      <c r="AI1774" s="19"/>
      <c r="AJ1774" s="19"/>
      <c r="AK1774" s="19"/>
      <c r="AL1774" s="19" t="n">
        <v>90</v>
      </c>
      <c r="AM1774" s="19" t="n">
        <v>101</v>
      </c>
      <c r="AN1774" s="19" t="n">
        <v>54</v>
      </c>
      <c r="AO1774" s="19"/>
      <c r="AP1774" s="19"/>
      <c r="AQ1774" s="19"/>
      <c r="AR1774" s="19"/>
      <c r="AS1774" s="20" t="str">
        <f aca="false">HYPERLINK("http://www.openstreetmap.org/?mlat=36.1861&amp;mlon=44.1235&amp;zoom=12#map=12/36.1861/44.1235","Maplink1")</f>
        <v>Maplink1</v>
      </c>
      <c r="AT1774" s="20" t="str">
        <f aca="false">HYPERLINK("https://www.google.iq/maps/search/+36.1861,44.1235/@36.1861,44.1235,14z?hl=en","Maplink2")</f>
        <v>Maplink2</v>
      </c>
      <c r="AU1774" s="20" t="str">
        <f aca="false">HYPERLINK("http://www.bing.com/maps/?lvl=14&amp;sty=h&amp;cp=36.1861~44.1235&amp;sp=point.36.1861_44.1235","Maplink3")</f>
        <v>Maplink3</v>
      </c>
    </row>
    <row r="1775" customFormat="false" ht="15" hidden="false" customHeight="true" outlineLevel="0" collapsed="false">
      <c r="A1775" s="15" t="n">
        <v>27136</v>
      </c>
      <c r="B1775" s="16" t="s">
        <v>21</v>
      </c>
      <c r="C1775" s="16" t="s">
        <v>21</v>
      </c>
      <c r="D1775" s="16" t="s">
        <v>3500</v>
      </c>
      <c r="E1775" s="17" t="s">
        <v>3501</v>
      </c>
      <c r="F1775" s="16" t="n">
        <v>36.2597054</v>
      </c>
      <c r="G1775" s="16" t="n">
        <v>44.011749</v>
      </c>
      <c r="H1775" s="18" t="n">
        <v>50</v>
      </c>
      <c r="I1775" s="18" t="n">
        <v>300</v>
      </c>
      <c r="J1775" s="19" t="n">
        <v>12</v>
      </c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 t="n">
        <v>38</v>
      </c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 t="n">
        <v>50</v>
      </c>
      <c r="AI1775" s="19"/>
      <c r="AJ1775" s="19"/>
      <c r="AK1775" s="19"/>
      <c r="AL1775" s="19"/>
      <c r="AM1775" s="19" t="n">
        <v>38</v>
      </c>
      <c r="AN1775" s="19"/>
      <c r="AO1775" s="19"/>
      <c r="AP1775" s="19"/>
      <c r="AQ1775" s="19" t="n">
        <v>12</v>
      </c>
      <c r="AR1775" s="19"/>
      <c r="AS1775" s="20" t="str">
        <f aca="false">HYPERLINK("http://www.openstreetmap.org/?mlat=36.2597&amp;mlon=44.0117&amp;zoom=12#map=12/36.2597/44.0117","Maplink1")</f>
        <v>Maplink1</v>
      </c>
      <c r="AT1775" s="20" t="str">
        <f aca="false">HYPERLINK("https://www.google.iq/maps/search/+36.2597,44.0117/@36.2597,44.0117,14z?hl=en","Maplink2")</f>
        <v>Maplink2</v>
      </c>
      <c r="AU1775" s="20" t="str">
        <f aca="false">HYPERLINK("http://www.bing.com/maps/?lvl=14&amp;sty=h&amp;cp=36.2597~44.0117&amp;sp=point.36.2597_44.0117","Maplink3")</f>
        <v>Maplink3</v>
      </c>
    </row>
    <row r="1776" customFormat="false" ht="15" hidden="false" customHeight="true" outlineLevel="0" collapsed="false">
      <c r="A1776" s="15" t="n">
        <v>12825</v>
      </c>
      <c r="B1776" s="16" t="s">
        <v>21</v>
      </c>
      <c r="C1776" s="16" t="s">
        <v>21</v>
      </c>
      <c r="D1776" s="16" t="s">
        <v>3502</v>
      </c>
      <c r="E1776" s="17" t="s">
        <v>3503</v>
      </c>
      <c r="F1776" s="16" t="n">
        <v>36.30014912</v>
      </c>
      <c r="G1776" s="16" t="n">
        <v>44.13565556</v>
      </c>
      <c r="H1776" s="18" t="n">
        <v>330</v>
      </c>
      <c r="I1776" s="18" t="n">
        <v>1980</v>
      </c>
      <c r="J1776" s="19" t="n">
        <v>106</v>
      </c>
      <c r="K1776" s="19"/>
      <c r="L1776" s="19"/>
      <c r="M1776" s="19"/>
      <c r="N1776" s="19"/>
      <c r="O1776" s="19"/>
      <c r="P1776" s="19" t="n">
        <v>45</v>
      </c>
      <c r="Q1776" s="19"/>
      <c r="R1776" s="19"/>
      <c r="S1776" s="19"/>
      <c r="T1776" s="19"/>
      <c r="U1776" s="19"/>
      <c r="V1776" s="19" t="n">
        <v>88</v>
      </c>
      <c r="W1776" s="19"/>
      <c r="X1776" s="19" t="n">
        <v>91</v>
      </c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 t="n">
        <v>330</v>
      </c>
      <c r="AI1776" s="19"/>
      <c r="AJ1776" s="19"/>
      <c r="AK1776" s="19"/>
      <c r="AL1776" s="19" t="n">
        <v>68</v>
      </c>
      <c r="AM1776" s="19" t="n">
        <v>88</v>
      </c>
      <c r="AN1776" s="19" t="n">
        <v>91</v>
      </c>
      <c r="AO1776" s="19" t="n">
        <v>45</v>
      </c>
      <c r="AP1776" s="19" t="n">
        <v>38</v>
      </c>
      <c r="AQ1776" s="19"/>
      <c r="AR1776" s="19"/>
      <c r="AS1776" s="20" t="str">
        <f aca="false">HYPERLINK("http://www.openstreetmap.org/?mlat=36.3001&amp;mlon=44.1357&amp;zoom=12#map=12/36.3001/44.1357","Maplink1")</f>
        <v>Maplink1</v>
      </c>
      <c r="AT1776" s="20" t="str">
        <f aca="false">HYPERLINK("https://www.google.iq/maps/search/+36.3001,44.1357/@36.3001,44.1357,14z?hl=en","Maplink2")</f>
        <v>Maplink2</v>
      </c>
      <c r="AU1776" s="20" t="str">
        <f aca="false">HYPERLINK("http://www.bing.com/maps/?lvl=14&amp;sty=h&amp;cp=36.3001~44.1357&amp;sp=point.36.3001_44.1357","Maplink3")</f>
        <v>Maplink3</v>
      </c>
    </row>
    <row r="1777" customFormat="false" ht="15" hidden="false" customHeight="true" outlineLevel="0" collapsed="false">
      <c r="A1777" s="15" t="n">
        <v>21247</v>
      </c>
      <c r="B1777" s="16" t="s">
        <v>21</v>
      </c>
      <c r="C1777" s="16" t="s">
        <v>21</v>
      </c>
      <c r="D1777" s="16" t="s">
        <v>3504</v>
      </c>
      <c r="E1777" s="17" t="s">
        <v>3366</v>
      </c>
      <c r="F1777" s="16" t="n">
        <v>36.14930874</v>
      </c>
      <c r="G1777" s="16" t="n">
        <v>44.03471372</v>
      </c>
      <c r="H1777" s="18" t="n">
        <v>510</v>
      </c>
      <c r="I1777" s="18" t="n">
        <v>3060</v>
      </c>
      <c r="J1777" s="19" t="n">
        <v>275</v>
      </c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 t="n">
        <v>137</v>
      </c>
      <c r="W1777" s="19"/>
      <c r="X1777" s="19" t="n">
        <v>98</v>
      </c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 t="n">
        <v>510</v>
      </c>
      <c r="AI1777" s="19"/>
      <c r="AJ1777" s="19"/>
      <c r="AK1777" s="19"/>
      <c r="AL1777" s="19" t="n">
        <v>155</v>
      </c>
      <c r="AM1777" s="19" t="n">
        <v>235</v>
      </c>
      <c r="AN1777" s="19"/>
      <c r="AO1777" s="19"/>
      <c r="AP1777" s="19" t="n">
        <v>120</v>
      </c>
      <c r="AQ1777" s="19"/>
      <c r="AR1777" s="19"/>
      <c r="AS1777" s="20" t="str">
        <f aca="false">HYPERLINK("http://www.openstreetmap.org/?mlat=36.1493&amp;mlon=44.0347&amp;zoom=12#map=12/36.1493/44.0347","Maplink1")</f>
        <v>Maplink1</v>
      </c>
      <c r="AT1777" s="20" t="str">
        <f aca="false">HYPERLINK("https://www.google.iq/maps/search/+36.1493,44.0347/@36.1493,44.0347,14z?hl=en","Maplink2")</f>
        <v>Maplink2</v>
      </c>
      <c r="AU1777" s="20" t="str">
        <f aca="false">HYPERLINK("http://www.bing.com/maps/?lvl=14&amp;sty=h&amp;cp=36.1493~44.0347&amp;sp=point.36.1493_44.0347","Maplink3")</f>
        <v>Maplink3</v>
      </c>
    </row>
    <row r="1778" customFormat="false" ht="15" hidden="false" customHeight="true" outlineLevel="0" collapsed="false">
      <c r="A1778" s="15" t="n">
        <v>12826</v>
      </c>
      <c r="B1778" s="16" t="s">
        <v>21</v>
      </c>
      <c r="C1778" s="16" t="s">
        <v>21</v>
      </c>
      <c r="D1778" s="16" t="s">
        <v>3505</v>
      </c>
      <c r="E1778" s="17" t="s">
        <v>3506</v>
      </c>
      <c r="F1778" s="16" t="n">
        <v>36.11909237</v>
      </c>
      <c r="G1778" s="16" t="n">
        <v>43.96882232</v>
      </c>
      <c r="H1778" s="18" t="n">
        <v>1387</v>
      </c>
      <c r="I1778" s="18" t="n">
        <v>8322</v>
      </c>
      <c r="J1778" s="19" t="n">
        <v>488</v>
      </c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 t="n">
        <v>792</v>
      </c>
      <c r="W1778" s="19"/>
      <c r="X1778" s="19" t="n">
        <v>107</v>
      </c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 t="n">
        <v>1387</v>
      </c>
      <c r="AI1778" s="19"/>
      <c r="AJ1778" s="19"/>
      <c r="AK1778" s="19"/>
      <c r="AL1778" s="19" t="n">
        <v>205</v>
      </c>
      <c r="AM1778" s="19" t="n">
        <v>792</v>
      </c>
      <c r="AN1778" s="19" t="n">
        <v>107</v>
      </c>
      <c r="AO1778" s="19"/>
      <c r="AP1778" s="19" t="n">
        <v>208</v>
      </c>
      <c r="AQ1778" s="19" t="n">
        <v>75</v>
      </c>
      <c r="AR1778" s="19"/>
      <c r="AS1778" s="20" t="str">
        <f aca="false">HYPERLINK("http://www.openstreetmap.org/?mlat=36.1191&amp;mlon=43.9688&amp;zoom=12#map=12/36.1191/43.9688","Maplink1")</f>
        <v>Maplink1</v>
      </c>
      <c r="AT1778" s="20" t="str">
        <f aca="false">HYPERLINK("https://www.google.iq/maps/search/+36.1191,43.9688/@36.1191,43.9688,14z?hl=en","Maplink2")</f>
        <v>Maplink2</v>
      </c>
      <c r="AU1778" s="20" t="str">
        <f aca="false">HYPERLINK("http://www.bing.com/maps/?lvl=14&amp;sty=h&amp;cp=36.1191~43.9688&amp;sp=point.36.1191_43.9688","Maplink3")</f>
        <v>Maplink3</v>
      </c>
    </row>
    <row r="1779" customFormat="false" ht="15" hidden="false" customHeight="true" outlineLevel="0" collapsed="false">
      <c r="A1779" s="15" t="n">
        <v>11832</v>
      </c>
      <c r="B1779" s="16" t="s">
        <v>21</v>
      </c>
      <c r="C1779" s="16" t="s">
        <v>21</v>
      </c>
      <c r="D1779" s="16" t="s">
        <v>3507</v>
      </c>
      <c r="E1779" s="17" t="s">
        <v>3508</v>
      </c>
      <c r="F1779" s="16" t="n">
        <v>36.18763037</v>
      </c>
      <c r="G1779" s="16" t="n">
        <v>44.00148873</v>
      </c>
      <c r="H1779" s="18" t="n">
        <v>300</v>
      </c>
      <c r="I1779" s="18" t="n">
        <v>1800</v>
      </c>
      <c r="J1779" s="19" t="n">
        <v>125</v>
      </c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 t="n">
        <v>68</v>
      </c>
      <c r="W1779" s="19"/>
      <c r="X1779" s="19" t="n">
        <v>107</v>
      </c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 t="n">
        <v>300</v>
      </c>
      <c r="AI1779" s="19"/>
      <c r="AJ1779" s="19"/>
      <c r="AK1779" s="19"/>
      <c r="AL1779" s="19" t="n">
        <v>60</v>
      </c>
      <c r="AM1779" s="19" t="n">
        <v>175</v>
      </c>
      <c r="AN1779" s="19"/>
      <c r="AO1779" s="19"/>
      <c r="AP1779" s="19" t="n">
        <v>62</v>
      </c>
      <c r="AQ1779" s="19" t="n">
        <v>3</v>
      </c>
      <c r="AR1779" s="19"/>
      <c r="AS1779" s="20" t="str">
        <f aca="false">HYPERLINK("http://www.openstreetmap.org/?mlat=36.1876&amp;mlon=44.0015&amp;zoom=12#map=12/36.1876/44.0015","Maplink1")</f>
        <v>Maplink1</v>
      </c>
      <c r="AT1779" s="20" t="str">
        <f aca="false">HYPERLINK("https://www.google.iq/maps/search/+36.1876,44.0015/@36.1876,44.0015,14z?hl=en","Maplink2")</f>
        <v>Maplink2</v>
      </c>
      <c r="AU1779" s="20" t="str">
        <f aca="false">HYPERLINK("http://www.bing.com/maps/?lvl=14&amp;sty=h&amp;cp=36.1876~44.0015&amp;sp=point.36.1876_44.0015","Maplink3")</f>
        <v>Maplink3</v>
      </c>
    </row>
    <row r="1780" customFormat="false" ht="15" hidden="false" customHeight="true" outlineLevel="0" collapsed="false">
      <c r="A1780" s="15" t="n">
        <v>27420</v>
      </c>
      <c r="B1780" s="16" t="s">
        <v>21</v>
      </c>
      <c r="C1780" s="16" t="s">
        <v>21</v>
      </c>
      <c r="D1780" s="16" t="s">
        <v>3509</v>
      </c>
      <c r="E1780" s="17" t="s">
        <v>3510</v>
      </c>
      <c r="F1780" s="16" t="n">
        <v>36.17093349</v>
      </c>
      <c r="G1780" s="16" t="n">
        <v>44.05899742</v>
      </c>
      <c r="H1780" s="18" t="n">
        <v>390</v>
      </c>
      <c r="I1780" s="18" t="n">
        <v>2340</v>
      </c>
      <c r="J1780" s="19" t="n">
        <v>226</v>
      </c>
      <c r="K1780" s="19"/>
      <c r="L1780" s="19" t="n">
        <v>40</v>
      </c>
      <c r="M1780" s="19"/>
      <c r="N1780" s="19"/>
      <c r="O1780" s="19"/>
      <c r="P1780" s="19"/>
      <c r="Q1780" s="19"/>
      <c r="R1780" s="19"/>
      <c r="S1780" s="19"/>
      <c r="T1780" s="19"/>
      <c r="U1780" s="19"/>
      <c r="V1780" s="19" t="n">
        <v>90</v>
      </c>
      <c r="W1780" s="19"/>
      <c r="X1780" s="19" t="n">
        <v>34</v>
      </c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 t="n">
        <v>390</v>
      </c>
      <c r="AI1780" s="19"/>
      <c r="AJ1780" s="19"/>
      <c r="AK1780" s="19"/>
      <c r="AL1780" s="19" t="n">
        <v>71</v>
      </c>
      <c r="AM1780" s="19" t="n">
        <v>90</v>
      </c>
      <c r="AN1780" s="19" t="n">
        <v>34</v>
      </c>
      <c r="AO1780" s="19"/>
      <c r="AP1780" s="19" t="n">
        <v>155</v>
      </c>
      <c r="AQ1780" s="19" t="n">
        <v>40</v>
      </c>
      <c r="AR1780" s="19"/>
      <c r="AS1780" s="20" t="str">
        <f aca="false">HYPERLINK("http://www.openstreetmap.org/?mlat=36.1709&amp;mlon=44.059&amp;zoom=12#map=12/36.1709/44.059","Maplink1")</f>
        <v>Maplink1</v>
      </c>
      <c r="AT1780" s="20" t="str">
        <f aca="false">HYPERLINK("https://www.google.iq/maps/search/+36.1709,44.059/@36.1709,44.059,14z?hl=en","Maplink2")</f>
        <v>Maplink2</v>
      </c>
      <c r="AU1780" s="20" t="str">
        <f aca="false">HYPERLINK("http://www.bing.com/maps/?lvl=14&amp;sty=h&amp;cp=36.1709~44.059&amp;sp=point.36.1709_44.059","Maplink3")</f>
        <v>Maplink3</v>
      </c>
    </row>
    <row r="1781" customFormat="false" ht="15" hidden="false" customHeight="true" outlineLevel="0" collapsed="false">
      <c r="A1781" s="15" t="n">
        <v>20986</v>
      </c>
      <c r="B1781" s="16" t="s">
        <v>21</v>
      </c>
      <c r="C1781" s="16" t="s">
        <v>21</v>
      </c>
      <c r="D1781" s="16" t="s">
        <v>3511</v>
      </c>
      <c r="E1781" s="17" t="s">
        <v>3512</v>
      </c>
      <c r="F1781" s="16" t="n">
        <v>36.23531925</v>
      </c>
      <c r="G1781" s="16" t="n">
        <v>43.9874456</v>
      </c>
      <c r="H1781" s="18" t="n">
        <v>463</v>
      </c>
      <c r="I1781" s="18" t="n">
        <v>2778</v>
      </c>
      <c r="J1781" s="19" t="n">
        <v>63</v>
      </c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 t="n">
        <v>400</v>
      </c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 t="n">
        <v>463</v>
      </c>
      <c r="AI1781" s="19"/>
      <c r="AJ1781" s="19"/>
      <c r="AK1781" s="19"/>
      <c r="AL1781" s="19" t="n">
        <v>19</v>
      </c>
      <c r="AM1781" s="19" t="n">
        <v>400</v>
      </c>
      <c r="AN1781" s="19"/>
      <c r="AO1781" s="19"/>
      <c r="AP1781" s="19" t="n">
        <v>44</v>
      </c>
      <c r="AQ1781" s="19"/>
      <c r="AR1781" s="19"/>
      <c r="AS1781" s="20" t="str">
        <f aca="false">HYPERLINK("http://www.openstreetmap.org/?mlat=36.2353&amp;mlon=43.9874&amp;zoom=12#map=12/36.2353/43.9874","Maplink1")</f>
        <v>Maplink1</v>
      </c>
      <c r="AT1781" s="20" t="str">
        <f aca="false">HYPERLINK("https://www.google.iq/maps/search/+36.2353,43.9874/@36.2353,43.9874,14z?hl=en","Maplink2")</f>
        <v>Maplink2</v>
      </c>
      <c r="AU1781" s="20" t="str">
        <f aca="false">HYPERLINK("http://www.bing.com/maps/?lvl=14&amp;sty=h&amp;cp=36.2353~43.9874&amp;sp=point.36.2353_43.9874","Maplink3")</f>
        <v>Maplink3</v>
      </c>
    </row>
    <row r="1782" customFormat="false" ht="15" hidden="false" customHeight="true" outlineLevel="0" collapsed="false">
      <c r="A1782" s="15" t="n">
        <v>23766</v>
      </c>
      <c r="B1782" s="16" t="s">
        <v>21</v>
      </c>
      <c r="C1782" s="16" t="s">
        <v>21</v>
      </c>
      <c r="D1782" s="16" t="s">
        <v>3513</v>
      </c>
      <c r="E1782" s="17" t="s">
        <v>3514</v>
      </c>
      <c r="F1782" s="16" t="n">
        <v>36.19608106</v>
      </c>
      <c r="G1782" s="16" t="n">
        <v>44.00431211</v>
      </c>
      <c r="H1782" s="18" t="n">
        <v>350</v>
      </c>
      <c r="I1782" s="18" t="n">
        <v>2100</v>
      </c>
      <c r="J1782" s="19" t="n">
        <v>311</v>
      </c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 t="n">
        <v>39</v>
      </c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 t="n">
        <v>350</v>
      </c>
      <c r="AI1782" s="19"/>
      <c r="AJ1782" s="19"/>
      <c r="AK1782" s="19"/>
      <c r="AL1782" s="19" t="n">
        <v>230</v>
      </c>
      <c r="AM1782" s="19" t="n">
        <v>39</v>
      </c>
      <c r="AN1782" s="19"/>
      <c r="AO1782" s="19"/>
      <c r="AP1782" s="19" t="n">
        <v>58</v>
      </c>
      <c r="AQ1782" s="19" t="n">
        <v>23</v>
      </c>
      <c r="AR1782" s="19"/>
      <c r="AS1782" s="20" t="str">
        <f aca="false">HYPERLINK("http://www.openstreetmap.org/?mlat=36.1961&amp;mlon=44.0043&amp;zoom=12#map=12/36.1961/44.0043","Maplink1")</f>
        <v>Maplink1</v>
      </c>
      <c r="AT1782" s="20" t="str">
        <f aca="false">HYPERLINK("https://www.google.iq/maps/search/+36.1961,44.0043/@36.1961,44.0043,14z?hl=en","Maplink2")</f>
        <v>Maplink2</v>
      </c>
      <c r="AU1782" s="20" t="str">
        <f aca="false">HYPERLINK("http://www.bing.com/maps/?lvl=14&amp;sty=h&amp;cp=36.1961~44.0043&amp;sp=point.36.1961_44.0043","Maplink3")</f>
        <v>Maplink3</v>
      </c>
    </row>
    <row r="1783" customFormat="false" ht="15" hidden="false" customHeight="true" outlineLevel="0" collapsed="false">
      <c r="A1783" s="15" t="n">
        <v>22825</v>
      </c>
      <c r="B1783" s="16" t="s">
        <v>21</v>
      </c>
      <c r="C1783" s="16" t="s">
        <v>21</v>
      </c>
      <c r="D1783" s="16" t="s">
        <v>3515</v>
      </c>
      <c r="E1783" s="17" t="s">
        <v>3516</v>
      </c>
      <c r="F1783" s="16" t="n">
        <v>36.16082491</v>
      </c>
      <c r="G1783" s="16" t="n">
        <v>44.12202464</v>
      </c>
      <c r="H1783" s="18" t="n">
        <v>80</v>
      </c>
      <c r="I1783" s="18" t="n">
        <v>480</v>
      </c>
      <c r="J1783" s="19" t="n">
        <v>30</v>
      </c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 t="n">
        <v>42</v>
      </c>
      <c r="W1783" s="19"/>
      <c r="X1783" s="19" t="n">
        <v>8</v>
      </c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 t="n">
        <v>80</v>
      </c>
      <c r="AI1783" s="19"/>
      <c r="AJ1783" s="19"/>
      <c r="AK1783" s="19"/>
      <c r="AL1783" s="19" t="n">
        <v>20</v>
      </c>
      <c r="AM1783" s="19" t="n">
        <v>42</v>
      </c>
      <c r="AN1783" s="19" t="n">
        <v>8</v>
      </c>
      <c r="AO1783" s="19"/>
      <c r="AP1783" s="19" t="n">
        <v>10</v>
      </c>
      <c r="AQ1783" s="19"/>
      <c r="AR1783" s="19"/>
      <c r="AS1783" s="20" t="str">
        <f aca="false">HYPERLINK("http://www.openstreetmap.org/?mlat=36.1608&amp;mlon=44.122&amp;zoom=12#map=12/36.1608/44.122","Maplink1")</f>
        <v>Maplink1</v>
      </c>
      <c r="AT1783" s="20" t="str">
        <f aca="false">HYPERLINK("https://www.google.iq/maps/search/+36.1608,44.122/@36.1608,44.122,14z?hl=en","Maplink2")</f>
        <v>Maplink2</v>
      </c>
      <c r="AU1783" s="20" t="str">
        <f aca="false">HYPERLINK("http://www.bing.com/maps/?lvl=14&amp;sty=h&amp;cp=36.1608~44.122&amp;sp=point.36.1608_44.122","Maplink3")</f>
        <v>Maplink3</v>
      </c>
    </row>
    <row r="1784" customFormat="false" ht="15" hidden="false" customHeight="true" outlineLevel="0" collapsed="false">
      <c r="A1784" s="15" t="n">
        <v>24507</v>
      </c>
      <c r="B1784" s="16" t="s">
        <v>21</v>
      </c>
      <c r="C1784" s="16" t="s">
        <v>21</v>
      </c>
      <c r="D1784" s="16" t="s">
        <v>3517</v>
      </c>
      <c r="E1784" s="17" t="s">
        <v>3518</v>
      </c>
      <c r="F1784" s="16" t="n">
        <v>36.18636499</v>
      </c>
      <c r="G1784" s="16" t="n">
        <v>44.01128354</v>
      </c>
      <c r="H1784" s="18" t="n">
        <v>184</v>
      </c>
      <c r="I1784" s="18" t="n">
        <v>1104</v>
      </c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 t="n">
        <v>184</v>
      </c>
      <c r="W1784" s="19"/>
      <c r="X1784" s="19"/>
      <c r="Y1784" s="19"/>
      <c r="Z1784" s="19"/>
      <c r="AA1784" s="19"/>
      <c r="AB1784" s="19"/>
      <c r="AC1784" s="19"/>
      <c r="AD1784" s="19"/>
      <c r="AE1784" s="19" t="n">
        <v>184</v>
      </c>
      <c r="AF1784" s="19"/>
      <c r="AG1784" s="19"/>
      <c r="AH1784" s="19"/>
      <c r="AI1784" s="19"/>
      <c r="AJ1784" s="19"/>
      <c r="AK1784" s="19"/>
      <c r="AL1784" s="19"/>
      <c r="AM1784" s="19"/>
      <c r="AN1784" s="19" t="n">
        <v>184</v>
      </c>
      <c r="AO1784" s="19"/>
      <c r="AP1784" s="19"/>
      <c r="AQ1784" s="19"/>
      <c r="AR1784" s="19"/>
      <c r="AS1784" s="20" t="str">
        <f aca="false">HYPERLINK("http://www.openstreetmap.org/?mlat=36.1864&amp;mlon=44.0113&amp;zoom=12#map=12/36.1864/44.0113","Maplink1")</f>
        <v>Maplink1</v>
      </c>
      <c r="AT1784" s="20" t="str">
        <f aca="false">HYPERLINK("https://www.google.iq/maps/search/+36.1864,44.0113/@36.1864,44.0113,14z?hl=en","Maplink2")</f>
        <v>Maplink2</v>
      </c>
      <c r="AU1784" s="20" t="str">
        <f aca="false">HYPERLINK("http://www.bing.com/maps/?lvl=14&amp;sty=h&amp;cp=36.1864~44.0113&amp;sp=point.36.1864_44.0113","Maplink3")</f>
        <v>Maplink3</v>
      </c>
    </row>
    <row r="1785" customFormat="false" ht="15" hidden="false" customHeight="true" outlineLevel="0" collapsed="false">
      <c r="A1785" s="15" t="n">
        <v>24607</v>
      </c>
      <c r="B1785" s="16" t="s">
        <v>21</v>
      </c>
      <c r="C1785" s="16" t="s">
        <v>21</v>
      </c>
      <c r="D1785" s="16" t="s">
        <v>3519</v>
      </c>
      <c r="E1785" s="17" t="s">
        <v>3520</v>
      </c>
      <c r="F1785" s="16" t="n">
        <v>36.25940634</v>
      </c>
      <c r="G1785" s="16" t="n">
        <v>44.00077418</v>
      </c>
      <c r="H1785" s="18" t="n">
        <v>74</v>
      </c>
      <c r="I1785" s="18" t="n">
        <v>444</v>
      </c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 t="n">
        <v>74</v>
      </c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 t="n">
        <v>74</v>
      </c>
      <c r="AI1785" s="19"/>
      <c r="AJ1785" s="19"/>
      <c r="AK1785" s="19"/>
      <c r="AL1785" s="19"/>
      <c r="AM1785" s="19"/>
      <c r="AN1785" s="19" t="n">
        <v>74</v>
      </c>
      <c r="AO1785" s="19"/>
      <c r="AP1785" s="19"/>
      <c r="AQ1785" s="19"/>
      <c r="AR1785" s="19"/>
      <c r="AS1785" s="20" t="str">
        <f aca="false">HYPERLINK("http://www.openstreetmap.org/?mlat=36.2594&amp;mlon=44.0008&amp;zoom=12#map=12/36.2594/44.0008","Maplink1")</f>
        <v>Maplink1</v>
      </c>
      <c r="AT1785" s="20" t="str">
        <f aca="false">HYPERLINK("https://www.google.iq/maps/search/+36.2594,44.0008/@36.2594,44.0008,14z?hl=en","Maplink2")</f>
        <v>Maplink2</v>
      </c>
      <c r="AU1785" s="20" t="str">
        <f aca="false">HYPERLINK("http://www.bing.com/maps/?lvl=14&amp;sty=h&amp;cp=36.2594~44.0008&amp;sp=point.36.2594_44.0008","Maplink3")</f>
        <v>Maplink3</v>
      </c>
    </row>
    <row r="1786" customFormat="false" ht="15" hidden="false" customHeight="true" outlineLevel="0" collapsed="false">
      <c r="A1786" s="15" t="n">
        <v>24665</v>
      </c>
      <c r="B1786" s="16" t="s">
        <v>21</v>
      </c>
      <c r="C1786" s="16" t="s">
        <v>21</v>
      </c>
      <c r="D1786" s="16" t="s">
        <v>3521</v>
      </c>
      <c r="E1786" s="17" t="s">
        <v>3522</v>
      </c>
      <c r="F1786" s="16" t="n">
        <v>36.22811466</v>
      </c>
      <c r="G1786" s="16" t="n">
        <v>44.14493304</v>
      </c>
      <c r="H1786" s="18" t="n">
        <v>1130</v>
      </c>
      <c r="I1786" s="18" t="n">
        <v>6780</v>
      </c>
      <c r="J1786" s="19" t="n">
        <v>315</v>
      </c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 t="n">
        <v>815</v>
      </c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 t="n">
        <v>1130</v>
      </c>
      <c r="AI1786" s="19"/>
      <c r="AJ1786" s="19"/>
      <c r="AK1786" s="19"/>
      <c r="AL1786" s="19" t="n">
        <v>200</v>
      </c>
      <c r="AM1786" s="19" t="n">
        <v>815</v>
      </c>
      <c r="AN1786" s="19"/>
      <c r="AO1786" s="19"/>
      <c r="AP1786" s="19" t="n">
        <v>115</v>
      </c>
      <c r="AQ1786" s="19"/>
      <c r="AR1786" s="19"/>
      <c r="AS1786" s="20" t="str">
        <f aca="false">HYPERLINK("http://www.openstreetmap.org/?mlat=36.2281&amp;mlon=44.1449&amp;zoom=12#map=12/36.2281/44.1449","Maplink1")</f>
        <v>Maplink1</v>
      </c>
      <c r="AT1786" s="20" t="str">
        <f aca="false">HYPERLINK("https://www.google.iq/maps/search/+36.2281,44.1449/@36.2281,44.1449,14z?hl=en","Maplink2")</f>
        <v>Maplink2</v>
      </c>
      <c r="AU1786" s="20" t="str">
        <f aca="false">HYPERLINK("http://www.bing.com/maps/?lvl=14&amp;sty=h&amp;cp=36.2281~44.1449&amp;sp=point.36.2281_44.1449","Maplink3")</f>
        <v>Maplink3</v>
      </c>
    </row>
    <row r="1787" customFormat="false" ht="15" hidden="false" customHeight="true" outlineLevel="0" collapsed="false">
      <c r="A1787" s="15" t="n">
        <v>27135</v>
      </c>
      <c r="B1787" s="16" t="s">
        <v>21</v>
      </c>
      <c r="C1787" s="16" t="s">
        <v>21</v>
      </c>
      <c r="D1787" s="16" t="s">
        <v>3523</v>
      </c>
      <c r="E1787" s="17" t="s">
        <v>3524</v>
      </c>
      <c r="F1787" s="16" t="n">
        <v>36.26115352</v>
      </c>
      <c r="G1787" s="16" t="n">
        <v>43.99933327</v>
      </c>
      <c r="H1787" s="18" t="n">
        <v>35</v>
      </c>
      <c r="I1787" s="18" t="n">
        <v>210</v>
      </c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 t="n">
        <v>35</v>
      </c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 t="n">
        <v>35</v>
      </c>
      <c r="AI1787" s="19"/>
      <c r="AJ1787" s="19"/>
      <c r="AK1787" s="19"/>
      <c r="AL1787" s="19"/>
      <c r="AM1787" s="19" t="n">
        <v>35</v>
      </c>
      <c r="AN1787" s="19"/>
      <c r="AO1787" s="19"/>
      <c r="AP1787" s="19"/>
      <c r="AQ1787" s="19"/>
      <c r="AR1787" s="19"/>
      <c r="AS1787" s="20" t="str">
        <f aca="false">HYPERLINK("http://www.openstreetmap.org/?mlat=36.2612&amp;mlon=43.9993&amp;zoom=12#map=12/36.2612/43.9993","Maplink1")</f>
        <v>Maplink1</v>
      </c>
      <c r="AT1787" s="20" t="str">
        <f aca="false">HYPERLINK("https://www.google.iq/maps/search/+36.2612,43.9993/@36.2612,43.9993,14z?hl=en","Maplink2")</f>
        <v>Maplink2</v>
      </c>
      <c r="AU1787" s="20" t="str">
        <f aca="false">HYPERLINK("http://www.bing.com/maps/?lvl=14&amp;sty=h&amp;cp=36.2612~43.9993&amp;sp=point.36.2612_43.9993","Maplink3")</f>
        <v>Maplink3</v>
      </c>
    </row>
    <row r="1788" customFormat="false" ht="15" hidden="false" customHeight="true" outlineLevel="0" collapsed="false">
      <c r="A1788" s="15" t="n">
        <v>11778</v>
      </c>
      <c r="B1788" s="16" t="s">
        <v>21</v>
      </c>
      <c r="C1788" s="16" t="s">
        <v>21</v>
      </c>
      <c r="D1788" s="16" t="s">
        <v>3525</v>
      </c>
      <c r="E1788" s="17" t="s">
        <v>3526</v>
      </c>
      <c r="F1788" s="16" t="n">
        <v>36.23266418</v>
      </c>
      <c r="G1788" s="16" t="n">
        <v>44.13879667</v>
      </c>
      <c r="H1788" s="18" t="n">
        <v>50</v>
      </c>
      <c r="I1788" s="18" t="n">
        <v>300</v>
      </c>
      <c r="J1788" s="19" t="n">
        <v>30</v>
      </c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 t="n">
        <v>20</v>
      </c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 t="n">
        <v>50</v>
      </c>
      <c r="AI1788" s="19"/>
      <c r="AJ1788" s="19"/>
      <c r="AK1788" s="19"/>
      <c r="AL1788" s="19" t="n">
        <v>8</v>
      </c>
      <c r="AM1788" s="19" t="n">
        <v>14</v>
      </c>
      <c r="AN1788" s="19"/>
      <c r="AO1788" s="19"/>
      <c r="AP1788" s="19" t="n">
        <v>7</v>
      </c>
      <c r="AQ1788" s="19" t="n">
        <v>21</v>
      </c>
      <c r="AR1788" s="19"/>
      <c r="AS1788" s="20" t="str">
        <f aca="false">HYPERLINK("http://www.openstreetmap.org/?mlat=36.2327&amp;mlon=44.1388&amp;zoom=12#map=12/36.2327/44.1388","Maplink1")</f>
        <v>Maplink1</v>
      </c>
      <c r="AT1788" s="20" t="str">
        <f aca="false">HYPERLINK("https://www.google.iq/maps/search/+36.2327,44.1388/@36.2327,44.1388,14z?hl=en","Maplink2")</f>
        <v>Maplink2</v>
      </c>
      <c r="AU1788" s="20" t="str">
        <f aca="false">HYPERLINK("http://www.bing.com/maps/?lvl=14&amp;sty=h&amp;cp=36.2327~44.1388&amp;sp=point.36.2327_44.1388","Maplink3")</f>
        <v>Maplink3</v>
      </c>
    </row>
    <row r="1789" customFormat="false" ht="15" hidden="false" customHeight="true" outlineLevel="0" collapsed="false">
      <c r="A1789" s="15" t="n">
        <v>25974</v>
      </c>
      <c r="B1789" s="16" t="s">
        <v>21</v>
      </c>
      <c r="C1789" s="16" t="s">
        <v>21</v>
      </c>
      <c r="D1789" s="16" t="s">
        <v>3527</v>
      </c>
      <c r="E1789" s="17" t="s">
        <v>3528</v>
      </c>
      <c r="F1789" s="16" t="n">
        <v>36.02089966</v>
      </c>
      <c r="G1789" s="16" t="n">
        <v>43.92131373</v>
      </c>
      <c r="H1789" s="18" t="n">
        <v>125</v>
      </c>
      <c r="I1789" s="18" t="n">
        <v>750</v>
      </c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 t="n">
        <v>125</v>
      </c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 t="n">
        <v>125</v>
      </c>
      <c r="AI1789" s="19"/>
      <c r="AJ1789" s="19"/>
      <c r="AK1789" s="19"/>
      <c r="AL1789" s="19"/>
      <c r="AM1789" s="19" t="n">
        <v>125</v>
      </c>
      <c r="AN1789" s="19"/>
      <c r="AO1789" s="19"/>
      <c r="AP1789" s="19"/>
      <c r="AQ1789" s="19"/>
      <c r="AR1789" s="19"/>
      <c r="AS1789" s="20" t="str">
        <f aca="false">HYPERLINK("http://www.openstreetmap.org/?mlat=36.0209&amp;mlon=43.9213&amp;zoom=12#map=12/36.0209/43.9213","Maplink1")</f>
        <v>Maplink1</v>
      </c>
      <c r="AT1789" s="20" t="str">
        <f aca="false">HYPERLINK("https://www.google.iq/maps/search/+36.0209,43.9213/@36.0209,43.9213,14z?hl=en","Maplink2")</f>
        <v>Maplink2</v>
      </c>
      <c r="AU1789" s="20" t="str">
        <f aca="false">HYPERLINK("http://www.bing.com/maps/?lvl=14&amp;sty=h&amp;cp=36.0209~43.9213&amp;sp=point.36.0209_43.9213","Maplink3")</f>
        <v>Maplink3</v>
      </c>
    </row>
    <row r="1790" customFormat="false" ht="15" hidden="false" customHeight="true" outlineLevel="0" collapsed="false">
      <c r="A1790" s="15" t="n">
        <v>13199</v>
      </c>
      <c r="B1790" s="16" t="s">
        <v>21</v>
      </c>
      <c r="C1790" s="16" t="s">
        <v>21</v>
      </c>
      <c r="D1790" s="16" t="s">
        <v>3529</v>
      </c>
      <c r="E1790" s="17" t="s">
        <v>3530</v>
      </c>
      <c r="F1790" s="16" t="n">
        <v>36.26717799</v>
      </c>
      <c r="G1790" s="16" t="n">
        <v>44.07694805</v>
      </c>
      <c r="H1790" s="18" t="n">
        <v>602</v>
      </c>
      <c r="I1790" s="18" t="n">
        <v>3612</v>
      </c>
      <c r="J1790" s="19" t="n">
        <v>352</v>
      </c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 t="n">
        <v>68</v>
      </c>
      <c r="W1790" s="19"/>
      <c r="X1790" s="19" t="n">
        <v>182</v>
      </c>
      <c r="Y1790" s="19"/>
      <c r="Z1790" s="19"/>
      <c r="AA1790" s="19"/>
      <c r="AB1790" s="19"/>
      <c r="AC1790" s="19"/>
      <c r="AD1790" s="19"/>
      <c r="AE1790" s="19"/>
      <c r="AF1790" s="19" t="n">
        <v>25</v>
      </c>
      <c r="AG1790" s="19"/>
      <c r="AH1790" s="19" t="n">
        <v>577</v>
      </c>
      <c r="AI1790" s="19"/>
      <c r="AJ1790" s="19"/>
      <c r="AK1790" s="19"/>
      <c r="AL1790" s="19" t="n">
        <v>202</v>
      </c>
      <c r="AM1790" s="19" t="n">
        <v>68</v>
      </c>
      <c r="AN1790" s="19" t="n">
        <v>182</v>
      </c>
      <c r="AO1790" s="19"/>
      <c r="AP1790" s="19" t="n">
        <v>150</v>
      </c>
      <c r="AQ1790" s="19"/>
      <c r="AR1790" s="19"/>
      <c r="AS1790" s="20" t="str">
        <f aca="false">HYPERLINK("http://www.openstreetmap.org/?mlat=36.2672&amp;mlon=44.0769&amp;zoom=12#map=12/36.2672/44.0769","Maplink1")</f>
        <v>Maplink1</v>
      </c>
      <c r="AT1790" s="20" t="str">
        <f aca="false">HYPERLINK("https://www.google.iq/maps/search/+36.2672,44.0769/@36.2672,44.0769,14z?hl=en","Maplink2")</f>
        <v>Maplink2</v>
      </c>
      <c r="AU1790" s="20" t="str">
        <f aca="false">HYPERLINK("http://www.bing.com/maps/?lvl=14&amp;sty=h&amp;cp=36.2672~44.0769&amp;sp=point.36.2672_44.0769","Maplink3")</f>
        <v>Maplink3</v>
      </c>
    </row>
    <row r="1791" customFormat="false" ht="15" hidden="false" customHeight="true" outlineLevel="0" collapsed="false">
      <c r="A1791" s="15" t="n">
        <v>27332</v>
      </c>
      <c r="B1791" s="16" t="s">
        <v>21</v>
      </c>
      <c r="C1791" s="16" t="s">
        <v>21</v>
      </c>
      <c r="D1791" s="16" t="s">
        <v>3531</v>
      </c>
      <c r="E1791" s="17" t="s">
        <v>3532</v>
      </c>
      <c r="F1791" s="16" t="n">
        <v>36.1933448</v>
      </c>
      <c r="G1791" s="16" t="n">
        <v>44.12312789</v>
      </c>
      <c r="H1791" s="18" t="n">
        <v>363</v>
      </c>
      <c r="I1791" s="18" t="n">
        <v>2178</v>
      </c>
      <c r="J1791" s="19" t="n">
        <v>253</v>
      </c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 t="n">
        <v>110</v>
      </c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 t="n">
        <v>363</v>
      </c>
      <c r="AI1791" s="19"/>
      <c r="AJ1791" s="19"/>
      <c r="AK1791" s="19"/>
      <c r="AL1791" s="19" t="n">
        <v>163</v>
      </c>
      <c r="AM1791" s="19" t="n">
        <v>110</v>
      </c>
      <c r="AN1791" s="19"/>
      <c r="AO1791" s="19"/>
      <c r="AP1791" s="19" t="n">
        <v>90</v>
      </c>
      <c r="AQ1791" s="19"/>
      <c r="AR1791" s="19"/>
      <c r="AS1791" s="20" t="str">
        <f aca="false">HYPERLINK("http://www.openstreetmap.org/?mlat=36.1933&amp;mlon=44.1231&amp;zoom=12#map=12/36.1933/44.1231","Maplink1")</f>
        <v>Maplink1</v>
      </c>
      <c r="AT1791" s="20" t="str">
        <f aca="false">HYPERLINK("https://www.google.iq/maps/search/+36.1933,44.1231/@36.1933,44.1231,14z?hl=en","Maplink2")</f>
        <v>Maplink2</v>
      </c>
      <c r="AU1791" s="20" t="str">
        <f aca="false">HYPERLINK("http://www.bing.com/maps/?lvl=14&amp;sty=h&amp;cp=36.1933~44.1231&amp;sp=point.36.1933_44.1231","Maplink3")</f>
        <v>Maplink3</v>
      </c>
    </row>
    <row r="1792" customFormat="false" ht="15" hidden="false" customHeight="true" outlineLevel="0" collapsed="false">
      <c r="A1792" s="15" t="n">
        <v>21318</v>
      </c>
      <c r="B1792" s="16" t="s">
        <v>21</v>
      </c>
      <c r="C1792" s="16" t="s">
        <v>21</v>
      </c>
      <c r="D1792" s="16" t="s">
        <v>3533</v>
      </c>
      <c r="E1792" s="17" t="s">
        <v>3534</v>
      </c>
      <c r="F1792" s="16" t="n">
        <v>36.08103001</v>
      </c>
      <c r="G1792" s="16" t="n">
        <v>43.95056494</v>
      </c>
      <c r="H1792" s="18" t="n">
        <v>85</v>
      </c>
      <c r="I1792" s="18" t="n">
        <v>510</v>
      </c>
      <c r="J1792" s="19" t="n">
        <v>62</v>
      </c>
      <c r="K1792" s="19"/>
      <c r="L1792" s="19"/>
      <c r="M1792" s="19"/>
      <c r="N1792" s="19"/>
      <c r="O1792" s="19"/>
      <c r="P1792" s="19" t="n">
        <v>15</v>
      </c>
      <c r="Q1792" s="19"/>
      <c r="R1792" s="19"/>
      <c r="S1792" s="19"/>
      <c r="T1792" s="19"/>
      <c r="U1792" s="19"/>
      <c r="V1792" s="19" t="n">
        <v>8</v>
      </c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 t="n">
        <v>85</v>
      </c>
      <c r="AI1792" s="19"/>
      <c r="AJ1792" s="19"/>
      <c r="AK1792" s="19"/>
      <c r="AL1792" s="19" t="n">
        <v>18</v>
      </c>
      <c r="AM1792" s="19" t="n">
        <v>15</v>
      </c>
      <c r="AN1792" s="19" t="n">
        <v>8</v>
      </c>
      <c r="AO1792" s="19"/>
      <c r="AP1792" s="19" t="n">
        <v>25</v>
      </c>
      <c r="AQ1792" s="19" t="n">
        <v>19</v>
      </c>
      <c r="AR1792" s="19"/>
      <c r="AS1792" s="20" t="str">
        <f aca="false">HYPERLINK("http://www.openstreetmap.org/?mlat=36.081&amp;mlon=43.9506&amp;zoom=12#map=12/36.081/43.9506","Maplink1")</f>
        <v>Maplink1</v>
      </c>
      <c r="AT1792" s="20" t="str">
        <f aca="false">HYPERLINK("https://www.google.iq/maps/search/+36.081,43.9506/@36.081,43.9506,14z?hl=en","Maplink2")</f>
        <v>Maplink2</v>
      </c>
      <c r="AU1792" s="20" t="str">
        <f aca="false">HYPERLINK("http://www.bing.com/maps/?lvl=14&amp;sty=h&amp;cp=36.081~43.9506&amp;sp=point.36.081_43.9506","Maplink3")</f>
        <v>Maplink3</v>
      </c>
    </row>
    <row r="1793" customFormat="false" ht="15" hidden="false" customHeight="true" outlineLevel="0" collapsed="false">
      <c r="A1793" s="15" t="n">
        <v>13400</v>
      </c>
      <c r="B1793" s="16" t="s">
        <v>21</v>
      </c>
      <c r="C1793" s="16" t="s">
        <v>21</v>
      </c>
      <c r="D1793" s="16" t="s">
        <v>3535</v>
      </c>
      <c r="E1793" s="17" t="s">
        <v>3536</v>
      </c>
      <c r="F1793" s="16" t="n">
        <v>36.00809847</v>
      </c>
      <c r="G1793" s="16" t="n">
        <v>44.03730797</v>
      </c>
      <c r="H1793" s="18" t="n">
        <v>793</v>
      </c>
      <c r="I1793" s="18" t="n">
        <v>4758</v>
      </c>
      <c r="J1793" s="19" t="n">
        <v>591</v>
      </c>
      <c r="K1793" s="19"/>
      <c r="L1793" s="19"/>
      <c r="M1793" s="19"/>
      <c r="N1793" s="19"/>
      <c r="O1793" s="19"/>
      <c r="P1793" s="19" t="n">
        <v>37</v>
      </c>
      <c r="Q1793" s="19"/>
      <c r="R1793" s="19"/>
      <c r="S1793" s="19"/>
      <c r="T1793" s="19"/>
      <c r="U1793" s="19"/>
      <c r="V1793" s="19" t="n">
        <v>165</v>
      </c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 t="n">
        <v>793</v>
      </c>
      <c r="AI1793" s="19"/>
      <c r="AJ1793" s="19"/>
      <c r="AK1793" s="19"/>
      <c r="AL1793" s="19" t="n">
        <v>419</v>
      </c>
      <c r="AM1793" s="19" t="n">
        <v>165</v>
      </c>
      <c r="AN1793" s="19" t="n">
        <v>37</v>
      </c>
      <c r="AO1793" s="19"/>
      <c r="AP1793" s="19" t="n">
        <v>172</v>
      </c>
      <c r="AQ1793" s="19"/>
      <c r="AR1793" s="19"/>
      <c r="AS1793" s="20" t="str">
        <f aca="false">HYPERLINK("http://www.openstreetmap.org/?mlat=36.0081&amp;mlon=44.0373&amp;zoom=12#map=12/36.0081/44.0373","Maplink1")</f>
        <v>Maplink1</v>
      </c>
      <c r="AT1793" s="20" t="str">
        <f aca="false">HYPERLINK("https://www.google.iq/maps/search/+36.0081,44.0373/@36.0081,44.0373,14z?hl=en","Maplink2")</f>
        <v>Maplink2</v>
      </c>
      <c r="AU1793" s="20" t="str">
        <f aca="false">HYPERLINK("http://www.bing.com/maps/?lvl=14&amp;sty=h&amp;cp=36.0081~44.0373&amp;sp=point.36.0081_44.0373","Maplink3")</f>
        <v>Maplink3</v>
      </c>
    </row>
    <row r="1794" customFormat="false" ht="15" hidden="false" customHeight="true" outlineLevel="0" collapsed="false">
      <c r="A1794" s="15" t="n">
        <v>13670</v>
      </c>
      <c r="B1794" s="16" t="s">
        <v>21</v>
      </c>
      <c r="C1794" s="16" t="s">
        <v>21</v>
      </c>
      <c r="D1794" s="16" t="s">
        <v>3537</v>
      </c>
      <c r="E1794" s="17" t="s">
        <v>3538</v>
      </c>
      <c r="F1794" s="16" t="n">
        <v>36.15419957</v>
      </c>
      <c r="G1794" s="16" t="n">
        <v>44.01423182</v>
      </c>
      <c r="H1794" s="18" t="n">
        <v>200</v>
      </c>
      <c r="I1794" s="18" t="n">
        <v>1200</v>
      </c>
      <c r="J1794" s="19" t="n">
        <v>160</v>
      </c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 t="n">
        <v>40</v>
      </c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 t="n">
        <v>200</v>
      </c>
      <c r="AI1794" s="19"/>
      <c r="AJ1794" s="19"/>
      <c r="AK1794" s="19"/>
      <c r="AL1794" s="19" t="n">
        <v>160</v>
      </c>
      <c r="AM1794" s="19" t="n">
        <v>40</v>
      </c>
      <c r="AN1794" s="19"/>
      <c r="AO1794" s="19"/>
      <c r="AP1794" s="19"/>
      <c r="AQ1794" s="19"/>
      <c r="AR1794" s="19"/>
      <c r="AS1794" s="20" t="str">
        <f aca="false">HYPERLINK("http://www.openstreetmap.org/?mlat=36.1542&amp;mlon=44.0142&amp;zoom=12#map=12/36.1542/44.0142","Maplink1")</f>
        <v>Maplink1</v>
      </c>
      <c r="AT1794" s="20" t="str">
        <f aca="false">HYPERLINK("https://www.google.iq/maps/search/+36.1542,44.0142/@36.1542,44.0142,14z?hl=en","Maplink2")</f>
        <v>Maplink2</v>
      </c>
      <c r="AU1794" s="20" t="str">
        <f aca="false">HYPERLINK("http://www.bing.com/maps/?lvl=14&amp;sty=h&amp;cp=36.1542~44.0142&amp;sp=point.36.1542_44.0142","Maplink3")</f>
        <v>Maplink3</v>
      </c>
    </row>
    <row r="1795" customFormat="false" ht="15" hidden="false" customHeight="true" outlineLevel="0" collapsed="false">
      <c r="A1795" s="15" t="n">
        <v>21899</v>
      </c>
      <c r="B1795" s="16" t="s">
        <v>21</v>
      </c>
      <c r="C1795" s="16" t="s">
        <v>21</v>
      </c>
      <c r="D1795" s="16" t="s">
        <v>2977</v>
      </c>
      <c r="E1795" s="17" t="s">
        <v>2978</v>
      </c>
      <c r="F1795" s="16" t="n">
        <v>36.27263062</v>
      </c>
      <c r="G1795" s="16" t="n">
        <v>43.73697454</v>
      </c>
      <c r="H1795" s="18" t="n">
        <v>2200</v>
      </c>
      <c r="I1795" s="18" t="n">
        <v>13200</v>
      </c>
      <c r="J1795" s="19" t="n">
        <v>624</v>
      </c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 t="n">
        <v>1261</v>
      </c>
      <c r="W1795" s="19"/>
      <c r="X1795" s="19" t="n">
        <v>315</v>
      </c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 t="n">
        <v>2200</v>
      </c>
      <c r="AI1795" s="19"/>
      <c r="AJ1795" s="19"/>
      <c r="AK1795" s="19"/>
      <c r="AL1795" s="19" t="n">
        <v>316</v>
      </c>
      <c r="AM1795" s="19" t="n">
        <v>1576</v>
      </c>
      <c r="AN1795" s="19"/>
      <c r="AO1795" s="19"/>
      <c r="AP1795" s="19" t="n">
        <v>308</v>
      </c>
      <c r="AQ1795" s="19"/>
      <c r="AR1795" s="19"/>
      <c r="AS1795" s="20" t="str">
        <f aca="false">HYPERLINK("http://www.openstreetmap.org/?mlat=36.2726&amp;mlon=43.737&amp;zoom=12#map=12/36.2726/43.737","Maplink1")</f>
        <v>Maplink1</v>
      </c>
      <c r="AT1795" s="20" t="str">
        <f aca="false">HYPERLINK("https://www.google.iq/maps/search/+36.2726,43.737/@36.2726,43.737,14z?hl=en","Maplink2")</f>
        <v>Maplink2</v>
      </c>
      <c r="AU1795" s="20" t="str">
        <f aca="false">HYPERLINK("http://www.bing.com/maps/?lvl=14&amp;sty=h&amp;cp=36.2726~43.737&amp;sp=point.36.2726_43.737","Maplink3")</f>
        <v>Maplink3</v>
      </c>
    </row>
    <row r="1796" customFormat="false" ht="15" hidden="false" customHeight="true" outlineLevel="0" collapsed="false">
      <c r="A1796" s="15" t="n">
        <v>20997</v>
      </c>
      <c r="B1796" s="16" t="s">
        <v>21</v>
      </c>
      <c r="C1796" s="16" t="s">
        <v>21</v>
      </c>
      <c r="D1796" s="16" t="s">
        <v>3539</v>
      </c>
      <c r="E1796" s="17" t="s">
        <v>3540</v>
      </c>
      <c r="F1796" s="16" t="n">
        <v>36.16957159</v>
      </c>
      <c r="G1796" s="16" t="n">
        <v>44.01818971</v>
      </c>
      <c r="H1796" s="18" t="n">
        <v>75</v>
      </c>
      <c r="I1796" s="18" t="n">
        <v>450</v>
      </c>
      <c r="J1796" s="19" t="n">
        <v>50</v>
      </c>
      <c r="K1796" s="19"/>
      <c r="L1796" s="19" t="n">
        <v>9</v>
      </c>
      <c r="M1796" s="19"/>
      <c r="N1796" s="19"/>
      <c r="O1796" s="19"/>
      <c r="P1796" s="19"/>
      <c r="Q1796" s="19"/>
      <c r="R1796" s="19"/>
      <c r="S1796" s="19"/>
      <c r="T1796" s="19"/>
      <c r="U1796" s="19"/>
      <c r="V1796" s="19" t="n">
        <v>14</v>
      </c>
      <c r="W1796" s="19"/>
      <c r="X1796" s="19" t="n">
        <v>2</v>
      </c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 t="n">
        <v>75</v>
      </c>
      <c r="AI1796" s="19"/>
      <c r="AJ1796" s="19"/>
      <c r="AK1796" s="19"/>
      <c r="AL1796" s="19"/>
      <c r="AM1796" s="19" t="n">
        <v>14</v>
      </c>
      <c r="AN1796" s="19" t="n">
        <v>2</v>
      </c>
      <c r="AO1796" s="19"/>
      <c r="AP1796" s="19" t="n">
        <v>55</v>
      </c>
      <c r="AQ1796" s="19" t="n">
        <v>4</v>
      </c>
      <c r="AR1796" s="19"/>
      <c r="AS1796" s="20" t="str">
        <f aca="false">HYPERLINK("http://www.openstreetmap.org/?mlat=36.1696&amp;mlon=44.0182&amp;zoom=12#map=12/36.1696/44.0182","Maplink1")</f>
        <v>Maplink1</v>
      </c>
      <c r="AT1796" s="20" t="str">
        <f aca="false">HYPERLINK("https://www.google.iq/maps/search/+36.1696,44.0182/@36.1696,44.0182,14z?hl=en","Maplink2")</f>
        <v>Maplink2</v>
      </c>
      <c r="AU1796" s="20" t="str">
        <f aca="false">HYPERLINK("http://www.bing.com/maps/?lvl=14&amp;sty=h&amp;cp=36.1696~44.0182&amp;sp=point.36.1696_44.0182","Maplink3")</f>
        <v>Maplink3</v>
      </c>
    </row>
    <row r="1797" customFormat="false" ht="15" hidden="false" customHeight="true" outlineLevel="0" collapsed="false">
      <c r="A1797" s="15" t="n">
        <v>27210</v>
      </c>
      <c r="B1797" s="16" t="s">
        <v>21</v>
      </c>
      <c r="C1797" s="16" t="s">
        <v>21</v>
      </c>
      <c r="D1797" s="16" t="s">
        <v>3541</v>
      </c>
      <c r="E1797" s="17" t="s">
        <v>3542</v>
      </c>
      <c r="F1797" s="16" t="n">
        <v>36.16125717</v>
      </c>
      <c r="G1797" s="16" t="n">
        <v>44.02581482</v>
      </c>
      <c r="H1797" s="18" t="n">
        <v>159</v>
      </c>
      <c r="I1797" s="18" t="n">
        <v>954</v>
      </c>
      <c r="J1797" s="19" t="n">
        <v>72</v>
      </c>
      <c r="K1797" s="19"/>
      <c r="L1797" s="19" t="n">
        <v>23</v>
      </c>
      <c r="M1797" s="19"/>
      <c r="N1797" s="19"/>
      <c r="O1797" s="19"/>
      <c r="P1797" s="19"/>
      <c r="Q1797" s="19"/>
      <c r="R1797" s="19"/>
      <c r="S1797" s="19"/>
      <c r="T1797" s="19"/>
      <c r="U1797" s="19"/>
      <c r="V1797" s="19" t="n">
        <v>58</v>
      </c>
      <c r="W1797" s="19"/>
      <c r="X1797" s="19" t="n">
        <v>6</v>
      </c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 t="n">
        <v>159</v>
      </c>
      <c r="AI1797" s="19"/>
      <c r="AJ1797" s="19"/>
      <c r="AK1797" s="19"/>
      <c r="AL1797" s="19"/>
      <c r="AM1797" s="19" t="n">
        <v>58</v>
      </c>
      <c r="AN1797" s="19" t="n">
        <v>29</v>
      </c>
      <c r="AO1797" s="19"/>
      <c r="AP1797" s="19" t="n">
        <v>62</v>
      </c>
      <c r="AQ1797" s="19" t="n">
        <v>10</v>
      </c>
      <c r="AR1797" s="19"/>
      <c r="AS1797" s="20" t="str">
        <f aca="false">HYPERLINK("http://www.openstreetmap.org/?mlat=36.1613&amp;mlon=44.0258&amp;zoom=12#map=12/36.1613/44.0258","Maplink1")</f>
        <v>Maplink1</v>
      </c>
      <c r="AT1797" s="20" t="str">
        <f aca="false">HYPERLINK("https://www.google.iq/maps/search/+36.1613,44.0258/@36.1613,44.0258,14z?hl=en","Maplink2")</f>
        <v>Maplink2</v>
      </c>
      <c r="AU1797" s="20" t="str">
        <f aca="false">HYPERLINK("http://www.bing.com/maps/?lvl=14&amp;sty=h&amp;cp=36.1613~44.0258&amp;sp=point.36.1613_44.0258","Maplink3")</f>
        <v>Maplink3</v>
      </c>
    </row>
    <row r="1798" customFormat="false" ht="15" hidden="false" customHeight="true" outlineLevel="0" collapsed="false">
      <c r="A1798" s="15" t="n">
        <v>27206</v>
      </c>
      <c r="B1798" s="16" t="s">
        <v>21</v>
      </c>
      <c r="C1798" s="16" t="s">
        <v>21</v>
      </c>
      <c r="D1798" s="16" t="s">
        <v>3543</v>
      </c>
      <c r="E1798" s="17" t="s">
        <v>3544</v>
      </c>
      <c r="F1798" s="16" t="n">
        <v>36.17845992</v>
      </c>
      <c r="G1798" s="16" t="n">
        <v>44.01181586</v>
      </c>
      <c r="H1798" s="18" t="n">
        <v>49</v>
      </c>
      <c r="I1798" s="18" t="n">
        <v>294</v>
      </c>
      <c r="J1798" s="19"/>
      <c r="K1798" s="19"/>
      <c r="L1798" s="19" t="n">
        <v>6</v>
      </c>
      <c r="M1798" s="19"/>
      <c r="N1798" s="19"/>
      <c r="O1798" s="19"/>
      <c r="P1798" s="19"/>
      <c r="Q1798" s="19"/>
      <c r="R1798" s="19"/>
      <c r="S1798" s="19"/>
      <c r="T1798" s="19"/>
      <c r="U1798" s="19"/>
      <c r="V1798" s="19" t="n">
        <v>39</v>
      </c>
      <c r="W1798" s="19"/>
      <c r="X1798" s="19" t="n">
        <v>4</v>
      </c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 t="n">
        <v>49</v>
      </c>
      <c r="AI1798" s="19"/>
      <c r="AJ1798" s="19"/>
      <c r="AK1798" s="19"/>
      <c r="AL1798" s="19"/>
      <c r="AM1798" s="19" t="n">
        <v>39</v>
      </c>
      <c r="AN1798" s="19" t="n">
        <v>10</v>
      </c>
      <c r="AO1798" s="19"/>
      <c r="AP1798" s="19"/>
      <c r="AQ1798" s="19"/>
      <c r="AR1798" s="19"/>
      <c r="AS1798" s="20" t="str">
        <f aca="false">HYPERLINK("http://www.openstreetmap.org/?mlat=36.1785&amp;mlon=44.0118&amp;zoom=12#map=12/36.1785/44.0118","Maplink1")</f>
        <v>Maplink1</v>
      </c>
      <c r="AT1798" s="20" t="str">
        <f aca="false">HYPERLINK("https://www.google.iq/maps/search/+36.1785,44.0118/@36.1785,44.0118,14z?hl=en","Maplink2")</f>
        <v>Maplink2</v>
      </c>
      <c r="AU1798" s="20" t="str">
        <f aca="false">HYPERLINK("http://www.bing.com/maps/?lvl=14&amp;sty=h&amp;cp=36.1785~44.0118&amp;sp=point.36.1785_44.0118","Maplink3")</f>
        <v>Maplink3</v>
      </c>
    </row>
    <row r="1799" customFormat="false" ht="15" hidden="false" customHeight="true" outlineLevel="0" collapsed="false">
      <c r="A1799" s="15" t="n">
        <v>27208</v>
      </c>
      <c r="B1799" s="16" t="s">
        <v>21</v>
      </c>
      <c r="C1799" s="16" t="s">
        <v>21</v>
      </c>
      <c r="D1799" s="16" t="s">
        <v>3545</v>
      </c>
      <c r="E1799" s="17" t="s">
        <v>3546</v>
      </c>
      <c r="F1799" s="16" t="n">
        <v>36.18084772</v>
      </c>
      <c r="G1799" s="16" t="n">
        <v>44.03236115</v>
      </c>
      <c r="H1799" s="18" t="n">
        <v>70</v>
      </c>
      <c r="I1799" s="18" t="n">
        <v>420</v>
      </c>
      <c r="J1799" s="19" t="n">
        <v>31</v>
      </c>
      <c r="K1799" s="19"/>
      <c r="L1799" s="19" t="n">
        <v>12</v>
      </c>
      <c r="M1799" s="19"/>
      <c r="N1799" s="19"/>
      <c r="O1799" s="19"/>
      <c r="P1799" s="19"/>
      <c r="Q1799" s="19"/>
      <c r="R1799" s="19"/>
      <c r="S1799" s="19"/>
      <c r="T1799" s="19"/>
      <c r="U1799" s="19"/>
      <c r="V1799" s="19" t="n">
        <v>23</v>
      </c>
      <c r="W1799" s="19"/>
      <c r="X1799" s="19" t="n">
        <v>4</v>
      </c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 t="n">
        <v>70</v>
      </c>
      <c r="AI1799" s="19"/>
      <c r="AJ1799" s="19"/>
      <c r="AK1799" s="19"/>
      <c r="AL1799" s="19" t="n">
        <v>33</v>
      </c>
      <c r="AM1799" s="19" t="n">
        <v>31</v>
      </c>
      <c r="AN1799" s="19"/>
      <c r="AO1799" s="19"/>
      <c r="AP1799" s="19"/>
      <c r="AQ1799" s="19" t="n">
        <v>6</v>
      </c>
      <c r="AR1799" s="19"/>
      <c r="AS1799" s="20" t="str">
        <f aca="false">HYPERLINK("http://www.openstreetmap.org/?mlat=36.1808&amp;mlon=44.0324&amp;zoom=12#map=12/36.1808/44.0324","Maplink1")</f>
        <v>Maplink1</v>
      </c>
      <c r="AT1799" s="20" t="str">
        <f aca="false">HYPERLINK("https://www.google.iq/maps/search/+36.1808,44.0324/@36.1808,44.0324,14z?hl=en","Maplink2")</f>
        <v>Maplink2</v>
      </c>
      <c r="AU1799" s="20" t="str">
        <f aca="false">HYPERLINK("http://www.bing.com/maps/?lvl=14&amp;sty=h&amp;cp=36.1808~44.0324&amp;sp=point.36.1808_44.0324","Maplink3")</f>
        <v>Maplink3</v>
      </c>
    </row>
    <row r="1800" customFormat="false" ht="15" hidden="false" customHeight="true" outlineLevel="0" collapsed="false">
      <c r="A1800" s="15" t="n">
        <v>27209</v>
      </c>
      <c r="B1800" s="16" t="s">
        <v>21</v>
      </c>
      <c r="C1800" s="16" t="s">
        <v>21</v>
      </c>
      <c r="D1800" s="16" t="s">
        <v>3547</v>
      </c>
      <c r="E1800" s="17" t="s">
        <v>3548</v>
      </c>
      <c r="F1800" s="16" t="n">
        <v>36.17592518</v>
      </c>
      <c r="G1800" s="16" t="n">
        <v>44.03731672</v>
      </c>
      <c r="H1800" s="18" t="n">
        <v>82</v>
      </c>
      <c r="I1800" s="18" t="n">
        <v>492</v>
      </c>
      <c r="J1800" s="19" t="n">
        <v>57</v>
      </c>
      <c r="K1800" s="19"/>
      <c r="L1800" s="19" t="n">
        <v>6</v>
      </c>
      <c r="M1800" s="19"/>
      <c r="N1800" s="19"/>
      <c r="O1800" s="19"/>
      <c r="P1800" s="19"/>
      <c r="Q1800" s="19"/>
      <c r="R1800" s="19"/>
      <c r="S1800" s="19"/>
      <c r="T1800" s="19"/>
      <c r="U1800" s="19"/>
      <c r="V1800" s="19" t="n">
        <v>17</v>
      </c>
      <c r="W1800" s="19"/>
      <c r="X1800" s="19" t="n">
        <v>2</v>
      </c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 t="n">
        <v>82</v>
      </c>
      <c r="AI1800" s="19"/>
      <c r="AJ1800" s="19"/>
      <c r="AK1800" s="19"/>
      <c r="AL1800" s="19"/>
      <c r="AM1800" s="19" t="n">
        <v>17</v>
      </c>
      <c r="AN1800" s="19" t="n">
        <v>8</v>
      </c>
      <c r="AO1800" s="19"/>
      <c r="AP1800" s="19" t="n">
        <v>57</v>
      </c>
      <c r="AQ1800" s="19"/>
      <c r="AR1800" s="19"/>
      <c r="AS1800" s="20" t="str">
        <f aca="false">HYPERLINK("http://www.openstreetmap.org/?mlat=36.1759&amp;mlon=44.0373&amp;zoom=12#map=12/36.1759/44.0373","Maplink1")</f>
        <v>Maplink1</v>
      </c>
      <c r="AT1800" s="20" t="str">
        <f aca="false">HYPERLINK("https://www.google.iq/maps/search/+36.1759,44.0373/@36.1759,44.0373,14z?hl=en","Maplink2")</f>
        <v>Maplink2</v>
      </c>
      <c r="AU1800" s="20" t="str">
        <f aca="false">HYPERLINK("http://www.bing.com/maps/?lvl=14&amp;sty=h&amp;cp=36.1759~44.0373&amp;sp=point.36.1759_44.0373","Maplink3")</f>
        <v>Maplink3</v>
      </c>
    </row>
    <row r="1801" customFormat="false" ht="15" hidden="false" customHeight="true" outlineLevel="0" collapsed="false">
      <c r="A1801" s="15" t="n">
        <v>27205</v>
      </c>
      <c r="B1801" s="16" t="s">
        <v>21</v>
      </c>
      <c r="C1801" s="16" t="s">
        <v>21</v>
      </c>
      <c r="D1801" s="16" t="s">
        <v>3549</v>
      </c>
      <c r="E1801" s="17" t="s">
        <v>3550</v>
      </c>
      <c r="F1801" s="16" t="n">
        <v>36.16399675</v>
      </c>
      <c r="G1801" s="16" t="n">
        <v>44.02129203</v>
      </c>
      <c r="H1801" s="18" t="n">
        <v>296</v>
      </c>
      <c r="I1801" s="18" t="n">
        <v>1776</v>
      </c>
      <c r="J1801" s="19" t="n">
        <v>148</v>
      </c>
      <c r="K1801" s="19"/>
      <c r="L1801" s="19" t="n">
        <v>28</v>
      </c>
      <c r="M1801" s="19"/>
      <c r="N1801" s="19"/>
      <c r="O1801" s="19"/>
      <c r="P1801" s="19"/>
      <c r="Q1801" s="19"/>
      <c r="R1801" s="19"/>
      <c r="S1801" s="19"/>
      <c r="T1801" s="19"/>
      <c r="U1801" s="19"/>
      <c r="V1801" s="19" t="n">
        <v>102</v>
      </c>
      <c r="W1801" s="19"/>
      <c r="X1801" s="19" t="n">
        <v>18</v>
      </c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 t="n">
        <v>296</v>
      </c>
      <c r="AI1801" s="19"/>
      <c r="AJ1801" s="19"/>
      <c r="AK1801" s="19"/>
      <c r="AL1801" s="19" t="n">
        <v>61</v>
      </c>
      <c r="AM1801" s="19"/>
      <c r="AN1801" s="19" t="n">
        <v>108</v>
      </c>
      <c r="AO1801" s="19"/>
      <c r="AP1801" s="19" t="n">
        <v>108</v>
      </c>
      <c r="AQ1801" s="19" t="n">
        <v>19</v>
      </c>
      <c r="AR1801" s="19"/>
      <c r="AS1801" s="20" t="str">
        <f aca="false">HYPERLINK("http://www.openstreetmap.org/?mlat=36.164&amp;mlon=44.0213&amp;zoom=12#map=12/36.164/44.0213","Maplink1")</f>
        <v>Maplink1</v>
      </c>
      <c r="AT1801" s="20" t="str">
        <f aca="false">HYPERLINK("https://www.google.iq/maps/search/+36.164,44.0213/@36.164,44.0213,14z?hl=en","Maplink2")</f>
        <v>Maplink2</v>
      </c>
      <c r="AU1801" s="20" t="str">
        <f aca="false">HYPERLINK("http://www.bing.com/maps/?lvl=14&amp;sty=h&amp;cp=36.164~44.0213&amp;sp=point.36.164_44.0213","Maplink3")</f>
        <v>Maplink3</v>
      </c>
    </row>
    <row r="1802" customFormat="false" ht="15" hidden="false" customHeight="true" outlineLevel="0" collapsed="false">
      <c r="A1802" s="15" t="n">
        <v>27207</v>
      </c>
      <c r="B1802" s="16" t="s">
        <v>21</v>
      </c>
      <c r="C1802" s="16" t="s">
        <v>21</v>
      </c>
      <c r="D1802" s="16" t="s">
        <v>3551</v>
      </c>
      <c r="E1802" s="17" t="s">
        <v>3552</v>
      </c>
      <c r="F1802" s="16" t="n">
        <v>36.1627003</v>
      </c>
      <c r="G1802" s="16" t="n">
        <v>44.03191101</v>
      </c>
      <c r="H1802" s="18" t="n">
        <v>264</v>
      </c>
      <c r="I1802" s="18" t="n">
        <v>1584</v>
      </c>
      <c r="J1802" s="19" t="n">
        <v>125</v>
      </c>
      <c r="K1802" s="19"/>
      <c r="L1802" s="19" t="n">
        <v>32</v>
      </c>
      <c r="M1802" s="19"/>
      <c r="N1802" s="19"/>
      <c r="O1802" s="19"/>
      <c r="P1802" s="19"/>
      <c r="Q1802" s="19"/>
      <c r="R1802" s="19"/>
      <c r="S1802" s="19"/>
      <c r="T1802" s="19"/>
      <c r="U1802" s="19"/>
      <c r="V1802" s="19" t="n">
        <v>82</v>
      </c>
      <c r="W1802" s="19"/>
      <c r="X1802" s="19" t="n">
        <v>25</v>
      </c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 t="n">
        <v>264</v>
      </c>
      <c r="AI1802" s="19"/>
      <c r="AJ1802" s="19"/>
      <c r="AK1802" s="19"/>
      <c r="AL1802" s="19"/>
      <c r="AM1802" s="19" t="n">
        <v>82</v>
      </c>
      <c r="AN1802" s="19" t="n">
        <v>57</v>
      </c>
      <c r="AO1802" s="19"/>
      <c r="AP1802" s="19" t="n">
        <v>113</v>
      </c>
      <c r="AQ1802" s="19" t="n">
        <v>12</v>
      </c>
      <c r="AR1802" s="19"/>
      <c r="AS1802" s="20" t="str">
        <f aca="false">HYPERLINK("http://www.openstreetmap.org/?mlat=36.1627&amp;mlon=44.0319&amp;zoom=12#map=12/36.1627/44.0319","Maplink1")</f>
        <v>Maplink1</v>
      </c>
      <c r="AT1802" s="20" t="str">
        <f aca="false">HYPERLINK("https://www.google.iq/maps/search/+36.1627,44.0319/@36.1627,44.0319,14z?hl=en","Maplink2")</f>
        <v>Maplink2</v>
      </c>
      <c r="AU1802" s="20" t="str">
        <f aca="false">HYPERLINK("http://www.bing.com/maps/?lvl=14&amp;sty=h&amp;cp=36.1627~44.0319&amp;sp=point.36.1627_44.0319","Maplink3")</f>
        <v>Maplink3</v>
      </c>
    </row>
    <row r="1803" customFormat="false" ht="15" hidden="false" customHeight="true" outlineLevel="0" collapsed="false">
      <c r="A1803" s="15" t="n">
        <v>27134</v>
      </c>
      <c r="B1803" s="16" t="s">
        <v>21</v>
      </c>
      <c r="C1803" s="16" t="s">
        <v>21</v>
      </c>
      <c r="D1803" s="16" t="s">
        <v>3553</v>
      </c>
      <c r="E1803" s="17" t="s">
        <v>3554</v>
      </c>
      <c r="F1803" s="16" t="n">
        <v>36.23674921</v>
      </c>
      <c r="G1803" s="16" t="n">
        <v>43.99372986</v>
      </c>
      <c r="H1803" s="18" t="n">
        <v>791</v>
      </c>
      <c r="I1803" s="18" t="n">
        <v>4746</v>
      </c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 t="n">
        <v>791</v>
      </c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 t="n">
        <v>791</v>
      </c>
      <c r="AI1803" s="19"/>
      <c r="AJ1803" s="19"/>
      <c r="AK1803" s="19"/>
      <c r="AL1803" s="19"/>
      <c r="AM1803" s="19" t="n">
        <v>784</v>
      </c>
      <c r="AN1803" s="19"/>
      <c r="AO1803" s="19"/>
      <c r="AP1803" s="19"/>
      <c r="AQ1803" s="19" t="n">
        <v>7</v>
      </c>
      <c r="AR1803" s="19"/>
      <c r="AS1803" s="20" t="str">
        <f aca="false">HYPERLINK("http://www.openstreetmap.org/?mlat=36.2367&amp;mlon=43.9937&amp;zoom=12#map=12/36.2367/43.9937","Maplink1")</f>
        <v>Maplink1</v>
      </c>
      <c r="AT1803" s="20" t="str">
        <f aca="false">HYPERLINK("https://www.google.iq/maps/search/+36.2367,43.9937/@36.2367,43.9937,14z?hl=en","Maplink2")</f>
        <v>Maplink2</v>
      </c>
      <c r="AU1803" s="20" t="str">
        <f aca="false">HYPERLINK("http://www.bing.com/maps/?lvl=14&amp;sty=h&amp;cp=36.2367~43.9937&amp;sp=point.36.2367_43.9937","Maplink3")</f>
        <v>Maplink3</v>
      </c>
    </row>
    <row r="1804" customFormat="false" ht="15" hidden="false" customHeight="true" outlineLevel="0" collapsed="false">
      <c r="A1804" s="15" t="n">
        <v>27132</v>
      </c>
      <c r="B1804" s="16" t="s">
        <v>21</v>
      </c>
      <c r="C1804" s="16" t="s">
        <v>21</v>
      </c>
      <c r="D1804" s="16" t="s">
        <v>3555</v>
      </c>
      <c r="E1804" s="17" t="s">
        <v>3556</v>
      </c>
      <c r="F1804" s="16" t="n">
        <v>36.23951204</v>
      </c>
      <c r="G1804" s="16" t="n">
        <v>43.98975706</v>
      </c>
      <c r="H1804" s="18" t="n">
        <v>20</v>
      </c>
      <c r="I1804" s="18" t="n">
        <v>120</v>
      </c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 t="n">
        <v>20</v>
      </c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 t="n">
        <v>20</v>
      </c>
      <c r="AK1804" s="19"/>
      <c r="AL1804" s="19"/>
      <c r="AM1804" s="19" t="n">
        <v>20</v>
      </c>
      <c r="AN1804" s="19"/>
      <c r="AO1804" s="19"/>
      <c r="AP1804" s="19"/>
      <c r="AQ1804" s="19"/>
      <c r="AR1804" s="19"/>
      <c r="AS1804" s="20" t="str">
        <f aca="false">HYPERLINK("http://www.openstreetmap.org/?mlat=36.2395&amp;mlon=43.9898&amp;zoom=12#map=12/36.2395/43.9898","Maplink1")</f>
        <v>Maplink1</v>
      </c>
      <c r="AT1804" s="20" t="str">
        <f aca="false">HYPERLINK("https://www.google.iq/maps/search/+36.2395,43.9898/@36.2395,43.9898,14z?hl=en","Maplink2")</f>
        <v>Maplink2</v>
      </c>
      <c r="AU1804" s="20" t="str">
        <f aca="false">HYPERLINK("http://www.bing.com/maps/?lvl=14&amp;sty=h&amp;cp=36.2395~43.9898&amp;sp=point.36.2395_43.9898","Maplink3")</f>
        <v>Maplink3</v>
      </c>
    </row>
    <row r="1805" customFormat="false" ht="15" hidden="false" customHeight="true" outlineLevel="0" collapsed="false">
      <c r="A1805" s="15" t="n">
        <v>27226</v>
      </c>
      <c r="B1805" s="16" t="s">
        <v>21</v>
      </c>
      <c r="C1805" s="16" t="s">
        <v>21</v>
      </c>
      <c r="D1805" s="16" t="s">
        <v>3557</v>
      </c>
      <c r="E1805" s="17" t="s">
        <v>2978</v>
      </c>
      <c r="F1805" s="16" t="n">
        <v>36.17504919</v>
      </c>
      <c r="G1805" s="16" t="n">
        <v>43.99870301</v>
      </c>
      <c r="H1805" s="18" t="n">
        <v>205</v>
      </c>
      <c r="I1805" s="18" t="n">
        <v>1230</v>
      </c>
      <c r="J1805" s="19" t="n">
        <v>124</v>
      </c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 t="n">
        <v>81</v>
      </c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 t="n">
        <v>205</v>
      </c>
      <c r="AI1805" s="19"/>
      <c r="AJ1805" s="19"/>
      <c r="AK1805" s="19"/>
      <c r="AL1805" s="19"/>
      <c r="AM1805" s="19" t="n">
        <v>81</v>
      </c>
      <c r="AN1805" s="19"/>
      <c r="AO1805" s="19"/>
      <c r="AP1805" s="19" t="n">
        <v>119</v>
      </c>
      <c r="AQ1805" s="19" t="n">
        <v>5</v>
      </c>
      <c r="AR1805" s="19"/>
      <c r="AS1805" s="20" t="str">
        <f aca="false">HYPERLINK("http://www.openstreetmap.org/?mlat=36.175&amp;mlon=43.9987&amp;zoom=12#map=12/36.175/43.9987","Maplink1")</f>
        <v>Maplink1</v>
      </c>
      <c r="AT1805" s="20" t="str">
        <f aca="false">HYPERLINK("https://www.google.iq/maps/search/+36.175,43.9987/@36.175,43.9987,14z?hl=en","Maplink2")</f>
        <v>Maplink2</v>
      </c>
      <c r="AU1805" s="20" t="str">
        <f aca="false">HYPERLINK("http://www.bing.com/maps/?lvl=14&amp;sty=h&amp;cp=36.175~43.9987&amp;sp=point.36.175_43.9987","Maplink3")</f>
        <v>Maplink3</v>
      </c>
    </row>
    <row r="1806" customFormat="false" ht="15" hidden="false" customHeight="true" outlineLevel="0" collapsed="false">
      <c r="A1806" s="15" t="n">
        <v>27216</v>
      </c>
      <c r="B1806" s="16" t="s">
        <v>21</v>
      </c>
      <c r="C1806" s="16" t="s">
        <v>21</v>
      </c>
      <c r="D1806" s="16" t="s">
        <v>3558</v>
      </c>
      <c r="E1806" s="17" t="s">
        <v>3559</v>
      </c>
      <c r="F1806" s="16" t="n">
        <v>36.1813</v>
      </c>
      <c r="G1806" s="16" t="n">
        <v>44.0187</v>
      </c>
      <c r="H1806" s="18" t="n">
        <v>30</v>
      </c>
      <c r="I1806" s="18" t="n">
        <v>180</v>
      </c>
      <c r="J1806" s="19" t="n">
        <v>17</v>
      </c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 t="n">
        <v>13</v>
      </c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 t="n">
        <v>30</v>
      </c>
      <c r="AI1806" s="19"/>
      <c r="AJ1806" s="19"/>
      <c r="AK1806" s="19"/>
      <c r="AL1806" s="19"/>
      <c r="AM1806" s="19" t="n">
        <v>13</v>
      </c>
      <c r="AN1806" s="19"/>
      <c r="AO1806" s="19"/>
      <c r="AP1806" s="19" t="n">
        <v>17</v>
      </c>
      <c r="AQ1806" s="19"/>
      <c r="AR1806" s="19"/>
      <c r="AS1806" s="20" t="str">
        <f aca="false">HYPERLINK("http://www.openstreetmap.org/?mlat=36.1813&amp;mlon=44.0187&amp;zoom=12#map=12/36.1813/44.0187","Maplink1")</f>
        <v>Maplink1</v>
      </c>
      <c r="AT1806" s="20" t="str">
        <f aca="false">HYPERLINK("https://www.google.iq/maps/search/+36.1813,44.0187/@36.1813,44.0187,14z?hl=en","Maplink2")</f>
        <v>Maplink2</v>
      </c>
      <c r="AU1806" s="20" t="str">
        <f aca="false">HYPERLINK("http://www.bing.com/maps/?lvl=14&amp;sty=h&amp;cp=36.1813~44.0187&amp;sp=point.36.1813_44.0187","Maplink3")</f>
        <v>Maplink3</v>
      </c>
    </row>
    <row r="1807" customFormat="false" ht="15" hidden="false" customHeight="true" outlineLevel="0" collapsed="false">
      <c r="A1807" s="15" t="n">
        <v>27215</v>
      </c>
      <c r="B1807" s="16" t="s">
        <v>21</v>
      </c>
      <c r="C1807" s="16" t="s">
        <v>21</v>
      </c>
      <c r="D1807" s="16" t="s">
        <v>3560</v>
      </c>
      <c r="E1807" s="17" t="s">
        <v>3561</v>
      </c>
      <c r="F1807" s="16" t="n">
        <v>36.18975504</v>
      </c>
      <c r="G1807" s="16" t="n">
        <v>44.03186734</v>
      </c>
      <c r="H1807" s="18" t="n">
        <v>28</v>
      </c>
      <c r="I1807" s="18" t="n">
        <v>168</v>
      </c>
      <c r="J1807" s="19" t="n">
        <v>17</v>
      </c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 t="n">
        <v>11</v>
      </c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 t="n">
        <v>28</v>
      </c>
      <c r="AI1807" s="19"/>
      <c r="AJ1807" s="19"/>
      <c r="AK1807" s="19"/>
      <c r="AL1807" s="19"/>
      <c r="AM1807" s="19" t="n">
        <v>11</v>
      </c>
      <c r="AN1807" s="19"/>
      <c r="AO1807" s="19"/>
      <c r="AP1807" s="19" t="n">
        <v>17</v>
      </c>
      <c r="AQ1807" s="19"/>
      <c r="AR1807" s="19"/>
      <c r="AS1807" s="20" t="str">
        <f aca="false">HYPERLINK("http://www.openstreetmap.org/?mlat=36.1898&amp;mlon=44.0319&amp;zoom=12#map=12/36.1898/44.0319","Maplink1")</f>
        <v>Maplink1</v>
      </c>
      <c r="AT1807" s="20" t="str">
        <f aca="false">HYPERLINK("https://www.google.iq/maps/search/+36.1898,44.0319/@36.1898,44.0319,14z?hl=en","Maplink2")</f>
        <v>Maplink2</v>
      </c>
      <c r="AU1807" s="20" t="str">
        <f aca="false">HYPERLINK("http://www.bing.com/maps/?lvl=14&amp;sty=h&amp;cp=36.1898~44.0319&amp;sp=point.36.1898_44.0319","Maplink3")</f>
        <v>Maplink3</v>
      </c>
    </row>
    <row r="1808" customFormat="false" ht="15" hidden="false" customHeight="true" outlineLevel="0" collapsed="false">
      <c r="A1808" s="15" t="n">
        <v>27330</v>
      </c>
      <c r="B1808" s="16" t="s">
        <v>21</v>
      </c>
      <c r="C1808" s="16" t="s">
        <v>21</v>
      </c>
      <c r="D1808" s="16" t="s">
        <v>3562</v>
      </c>
      <c r="E1808" s="17" t="s">
        <v>3563</v>
      </c>
      <c r="F1808" s="16" t="n">
        <v>36.2478747</v>
      </c>
      <c r="G1808" s="16" t="n">
        <v>44.10224678</v>
      </c>
      <c r="H1808" s="18" t="n">
        <v>100</v>
      </c>
      <c r="I1808" s="18" t="n">
        <v>600</v>
      </c>
      <c r="J1808" s="19" t="n">
        <v>60</v>
      </c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 t="n">
        <v>40</v>
      </c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 t="n">
        <v>100</v>
      </c>
      <c r="AI1808" s="19"/>
      <c r="AJ1808" s="19"/>
      <c r="AK1808" s="19"/>
      <c r="AL1808" s="19" t="n">
        <v>20</v>
      </c>
      <c r="AM1808" s="19" t="n">
        <v>40</v>
      </c>
      <c r="AN1808" s="19"/>
      <c r="AO1808" s="19"/>
      <c r="AP1808" s="19" t="n">
        <v>40</v>
      </c>
      <c r="AQ1808" s="19"/>
      <c r="AR1808" s="19"/>
      <c r="AS1808" s="20" t="str">
        <f aca="false">HYPERLINK("http://www.openstreetmap.org/?mlat=36.2479&amp;mlon=44.1022&amp;zoom=12#map=12/36.2479/44.1022","Maplink1")</f>
        <v>Maplink1</v>
      </c>
      <c r="AT1808" s="20" t="str">
        <f aca="false">HYPERLINK("https://www.google.iq/maps/search/+36.2479,44.1022/@36.2479,44.1022,14z?hl=en","Maplink2")</f>
        <v>Maplink2</v>
      </c>
      <c r="AU1808" s="20" t="str">
        <f aca="false">HYPERLINK("http://www.bing.com/maps/?lvl=14&amp;sty=h&amp;cp=36.2479~44.1022&amp;sp=point.36.2479_44.1022","Maplink3")</f>
        <v>Maplink3</v>
      </c>
    </row>
    <row r="1809" customFormat="false" ht="15" hidden="false" customHeight="true" outlineLevel="0" collapsed="false">
      <c r="A1809" s="15" t="n">
        <v>23911</v>
      </c>
      <c r="B1809" s="16" t="s">
        <v>21</v>
      </c>
      <c r="C1809" s="16" t="s">
        <v>21</v>
      </c>
      <c r="D1809" s="16" t="s">
        <v>3564</v>
      </c>
      <c r="E1809" s="17" t="s">
        <v>3565</v>
      </c>
      <c r="F1809" s="16" t="n">
        <v>36.18265039</v>
      </c>
      <c r="G1809" s="16" t="n">
        <v>44.0183669</v>
      </c>
      <c r="H1809" s="18" t="n">
        <v>57</v>
      </c>
      <c r="I1809" s="18" t="n">
        <v>342</v>
      </c>
      <c r="J1809" s="19" t="n">
        <v>35</v>
      </c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 t="n">
        <v>22</v>
      </c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 t="n">
        <v>57</v>
      </c>
      <c r="AI1809" s="19"/>
      <c r="AJ1809" s="19"/>
      <c r="AK1809" s="19"/>
      <c r="AL1809" s="19"/>
      <c r="AM1809" s="19" t="n">
        <v>22</v>
      </c>
      <c r="AN1809" s="19"/>
      <c r="AO1809" s="19"/>
      <c r="AP1809" s="19" t="n">
        <v>35</v>
      </c>
      <c r="AQ1809" s="19"/>
      <c r="AR1809" s="19"/>
      <c r="AS1809" s="20" t="str">
        <f aca="false">HYPERLINK("http://www.openstreetmap.org/?mlat=36.1827&amp;mlon=44.0184&amp;zoom=12#map=12/36.1827/44.0184","Maplink1")</f>
        <v>Maplink1</v>
      </c>
      <c r="AT1809" s="20" t="str">
        <f aca="false">HYPERLINK("https://www.google.iq/maps/search/+36.1827,44.0184/@36.1827,44.0184,14z?hl=en","Maplink2")</f>
        <v>Maplink2</v>
      </c>
      <c r="AU1809" s="20" t="str">
        <f aca="false">HYPERLINK("http://www.bing.com/maps/?lvl=14&amp;sty=h&amp;cp=36.1827~44.0184&amp;sp=point.36.1827_44.0184","Maplink3")</f>
        <v>Maplink3</v>
      </c>
    </row>
    <row r="1810" customFormat="false" ht="15" hidden="false" customHeight="true" outlineLevel="0" collapsed="false">
      <c r="A1810" s="15" t="n">
        <v>11777</v>
      </c>
      <c r="B1810" s="16" t="s">
        <v>21</v>
      </c>
      <c r="C1810" s="16" t="s">
        <v>21</v>
      </c>
      <c r="D1810" s="16" t="s">
        <v>3566</v>
      </c>
      <c r="E1810" s="17" t="s">
        <v>3567</v>
      </c>
      <c r="F1810" s="16" t="n">
        <v>36.21429432</v>
      </c>
      <c r="G1810" s="16" t="n">
        <v>44.09761284</v>
      </c>
      <c r="H1810" s="18" t="n">
        <v>415</v>
      </c>
      <c r="I1810" s="18" t="n">
        <v>2490</v>
      </c>
      <c r="J1810" s="19" t="n">
        <v>60</v>
      </c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 t="n">
        <v>274</v>
      </c>
      <c r="W1810" s="19"/>
      <c r="X1810" s="19" t="n">
        <v>81</v>
      </c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 t="n">
        <v>415</v>
      </c>
      <c r="AI1810" s="19"/>
      <c r="AJ1810" s="19"/>
      <c r="AK1810" s="19"/>
      <c r="AL1810" s="19" t="n">
        <v>25</v>
      </c>
      <c r="AM1810" s="19" t="n">
        <v>274</v>
      </c>
      <c r="AN1810" s="19" t="n">
        <v>81</v>
      </c>
      <c r="AO1810" s="19"/>
      <c r="AP1810" s="19" t="n">
        <v>27</v>
      </c>
      <c r="AQ1810" s="19" t="n">
        <v>8</v>
      </c>
      <c r="AR1810" s="19"/>
      <c r="AS1810" s="20" t="str">
        <f aca="false">HYPERLINK("http://www.openstreetmap.org/?mlat=36.2143&amp;mlon=44.0976&amp;zoom=12#map=12/36.2143/44.0976","Maplink1")</f>
        <v>Maplink1</v>
      </c>
      <c r="AT1810" s="20" t="str">
        <f aca="false">HYPERLINK("https://www.google.iq/maps/search/+36.2143,44.0976/@36.2143,44.0976,14z?hl=en","Maplink2")</f>
        <v>Maplink2</v>
      </c>
      <c r="AU1810" s="20" t="str">
        <f aca="false">HYPERLINK("http://www.bing.com/maps/?lvl=14&amp;sty=h&amp;cp=36.2143~44.0976&amp;sp=point.36.2143_44.0976","Maplink3")</f>
        <v>Maplink3</v>
      </c>
    </row>
    <row r="1811" customFormat="false" ht="15" hidden="false" customHeight="true" outlineLevel="0" collapsed="false">
      <c r="A1811" s="15" t="n">
        <v>21251</v>
      </c>
      <c r="B1811" s="16" t="s">
        <v>21</v>
      </c>
      <c r="C1811" s="16" t="s">
        <v>21</v>
      </c>
      <c r="D1811" s="16" t="s">
        <v>3568</v>
      </c>
      <c r="E1811" s="17" t="s">
        <v>3569</v>
      </c>
      <c r="F1811" s="16" t="n">
        <v>36.1876019</v>
      </c>
      <c r="G1811" s="16" t="n">
        <v>44.02689712</v>
      </c>
      <c r="H1811" s="18" t="n">
        <v>198</v>
      </c>
      <c r="I1811" s="18" t="n">
        <v>1188</v>
      </c>
      <c r="J1811" s="19" t="n">
        <v>83</v>
      </c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 t="n">
        <v>75</v>
      </c>
      <c r="W1811" s="19"/>
      <c r="X1811" s="19" t="n">
        <v>40</v>
      </c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 t="n">
        <v>198</v>
      </c>
      <c r="AI1811" s="19"/>
      <c r="AJ1811" s="19"/>
      <c r="AK1811" s="19"/>
      <c r="AL1811" s="19" t="n">
        <v>33</v>
      </c>
      <c r="AM1811" s="19" t="n">
        <v>110</v>
      </c>
      <c r="AN1811" s="19"/>
      <c r="AO1811" s="19"/>
      <c r="AP1811" s="19" t="n">
        <v>50</v>
      </c>
      <c r="AQ1811" s="19" t="n">
        <v>5</v>
      </c>
      <c r="AR1811" s="19"/>
      <c r="AS1811" s="20" t="str">
        <f aca="false">HYPERLINK("http://www.openstreetmap.org/?mlat=36.1876&amp;mlon=44.0269&amp;zoom=12#map=12/36.1876/44.0269","Maplink1")</f>
        <v>Maplink1</v>
      </c>
      <c r="AT1811" s="20" t="str">
        <f aca="false">HYPERLINK("https://www.google.iq/maps/search/+36.1876,44.0269/@36.1876,44.0269,14z?hl=en","Maplink2")</f>
        <v>Maplink2</v>
      </c>
      <c r="AU1811" s="20" t="str">
        <f aca="false">HYPERLINK("http://www.bing.com/maps/?lvl=14&amp;sty=h&amp;cp=36.1876~44.0269&amp;sp=point.36.1876_44.0269","Maplink3")</f>
        <v>Maplink3</v>
      </c>
    </row>
    <row r="1812" customFormat="false" ht="15" hidden="false" customHeight="true" outlineLevel="0" collapsed="false">
      <c r="A1812" s="15" t="n">
        <v>25469</v>
      </c>
      <c r="B1812" s="16" t="s">
        <v>21</v>
      </c>
      <c r="C1812" s="16" t="s">
        <v>21</v>
      </c>
      <c r="D1812" s="16" t="s">
        <v>3570</v>
      </c>
      <c r="E1812" s="17" t="s">
        <v>3571</v>
      </c>
      <c r="F1812" s="16" t="n">
        <v>36.2224</v>
      </c>
      <c r="G1812" s="16" t="n">
        <v>44.1271</v>
      </c>
      <c r="H1812" s="18" t="n">
        <v>370</v>
      </c>
      <c r="I1812" s="18" t="n">
        <v>2220</v>
      </c>
      <c r="J1812" s="19" t="n">
        <v>103</v>
      </c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 t="n">
        <v>155</v>
      </c>
      <c r="W1812" s="19"/>
      <c r="X1812" s="19" t="n">
        <v>112</v>
      </c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 t="n">
        <v>370</v>
      </c>
      <c r="AI1812" s="19"/>
      <c r="AJ1812" s="19"/>
      <c r="AK1812" s="19"/>
      <c r="AL1812" s="19" t="n">
        <v>45</v>
      </c>
      <c r="AM1812" s="19" t="n">
        <v>155</v>
      </c>
      <c r="AN1812" s="19" t="n">
        <v>122</v>
      </c>
      <c r="AO1812" s="19"/>
      <c r="AP1812" s="19" t="n">
        <v>48</v>
      </c>
      <c r="AQ1812" s="19"/>
      <c r="AR1812" s="19"/>
      <c r="AS1812" s="20" t="str">
        <f aca="false">HYPERLINK("http://www.openstreetmap.org/?mlat=36.2224&amp;mlon=44.1271&amp;zoom=12#map=12/36.2224/44.1271","Maplink1")</f>
        <v>Maplink1</v>
      </c>
      <c r="AT1812" s="20" t="str">
        <f aca="false">HYPERLINK("https://www.google.iq/maps/search/+36.2224,44.1271/@36.2224,44.1271,14z?hl=en","Maplink2")</f>
        <v>Maplink2</v>
      </c>
      <c r="AU1812" s="20" t="str">
        <f aca="false">HYPERLINK("http://www.bing.com/maps/?lvl=14&amp;sty=h&amp;cp=36.2224~44.1271&amp;sp=point.36.2224_44.1271","Maplink3")</f>
        <v>Maplink3</v>
      </c>
    </row>
    <row r="1813" customFormat="false" ht="15" hidden="false" customHeight="true" outlineLevel="0" collapsed="false">
      <c r="A1813" s="15" t="n">
        <v>11711</v>
      </c>
      <c r="B1813" s="16" t="s">
        <v>21</v>
      </c>
      <c r="C1813" s="16" t="s">
        <v>21</v>
      </c>
      <c r="D1813" s="16" t="s">
        <v>3572</v>
      </c>
      <c r="E1813" s="17" t="s">
        <v>3573</v>
      </c>
      <c r="F1813" s="16" t="n">
        <v>36.38285823</v>
      </c>
      <c r="G1813" s="16" t="n">
        <v>43.86594687</v>
      </c>
      <c r="H1813" s="18" t="n">
        <v>75</v>
      </c>
      <c r="I1813" s="18" t="n">
        <v>450</v>
      </c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 t="n">
        <v>75</v>
      </c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 t="n">
        <v>75</v>
      </c>
      <c r="AI1813" s="19"/>
      <c r="AJ1813" s="19"/>
      <c r="AK1813" s="19"/>
      <c r="AL1813" s="19"/>
      <c r="AM1813" s="19"/>
      <c r="AN1813" s="19" t="n">
        <v>75</v>
      </c>
      <c r="AO1813" s="19"/>
      <c r="AP1813" s="19"/>
      <c r="AQ1813" s="19"/>
      <c r="AR1813" s="19"/>
      <c r="AS1813" s="20" t="str">
        <f aca="false">HYPERLINK("http://www.openstreetmap.org/?mlat=36.3829&amp;mlon=43.8659&amp;zoom=12#map=12/36.3829/43.8659","Maplink1")</f>
        <v>Maplink1</v>
      </c>
      <c r="AT1813" s="20" t="str">
        <f aca="false">HYPERLINK("https://www.google.iq/maps/search/+36.3829,43.8659/@36.3829,43.8659,14z?hl=en","Maplink2")</f>
        <v>Maplink2</v>
      </c>
      <c r="AU1813" s="20" t="str">
        <f aca="false">HYPERLINK("http://www.bing.com/maps/?lvl=14&amp;sty=h&amp;cp=36.3829~43.8659&amp;sp=point.36.3829_43.8659","Maplink3")</f>
        <v>Maplink3</v>
      </c>
    </row>
    <row r="1814" customFormat="false" ht="15" hidden="false" customHeight="true" outlineLevel="0" collapsed="false">
      <c r="A1814" s="15" t="n">
        <v>21250</v>
      </c>
      <c r="B1814" s="16" t="s">
        <v>21</v>
      </c>
      <c r="C1814" s="16" t="s">
        <v>21</v>
      </c>
      <c r="D1814" s="16" t="s">
        <v>3574</v>
      </c>
      <c r="E1814" s="17" t="s">
        <v>3575</v>
      </c>
      <c r="F1814" s="16" t="n">
        <v>36.15207267</v>
      </c>
      <c r="G1814" s="16" t="n">
        <v>44.04232369</v>
      </c>
      <c r="H1814" s="18" t="n">
        <v>150</v>
      </c>
      <c r="I1814" s="18" t="n">
        <v>900</v>
      </c>
      <c r="J1814" s="19" t="n">
        <v>66</v>
      </c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 t="n">
        <v>34</v>
      </c>
      <c r="W1814" s="19"/>
      <c r="X1814" s="19" t="n">
        <v>50</v>
      </c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 t="n">
        <v>150</v>
      </c>
      <c r="AI1814" s="19"/>
      <c r="AJ1814" s="19"/>
      <c r="AK1814" s="19"/>
      <c r="AL1814" s="19" t="n">
        <v>48</v>
      </c>
      <c r="AM1814" s="19" t="n">
        <v>84</v>
      </c>
      <c r="AN1814" s="19"/>
      <c r="AO1814" s="19"/>
      <c r="AP1814" s="19" t="n">
        <v>15</v>
      </c>
      <c r="AQ1814" s="19" t="n">
        <v>3</v>
      </c>
      <c r="AR1814" s="19"/>
      <c r="AS1814" s="20" t="str">
        <f aca="false">HYPERLINK("http://www.openstreetmap.org/?mlat=36.1521&amp;mlon=44.0423&amp;zoom=12#map=12/36.1521/44.0423","Maplink1")</f>
        <v>Maplink1</v>
      </c>
      <c r="AT1814" s="20" t="str">
        <f aca="false">HYPERLINK("https://www.google.iq/maps/search/+36.1521,44.0423/@36.1521,44.0423,14z?hl=en","Maplink2")</f>
        <v>Maplink2</v>
      </c>
      <c r="AU1814" s="20" t="str">
        <f aca="false">HYPERLINK("http://www.bing.com/maps/?lvl=14&amp;sty=h&amp;cp=36.1521~44.0423&amp;sp=point.36.1521_44.0423","Maplink3")</f>
        <v>Maplink3</v>
      </c>
    </row>
    <row r="1815" customFormat="false" ht="15" hidden="false" customHeight="true" outlineLevel="0" collapsed="false">
      <c r="A1815" s="15" t="n">
        <v>11709</v>
      </c>
      <c r="B1815" s="16" t="s">
        <v>21</v>
      </c>
      <c r="C1815" s="16" t="s">
        <v>21</v>
      </c>
      <c r="D1815" s="16" t="s">
        <v>3576</v>
      </c>
      <c r="E1815" s="17" t="s">
        <v>3577</v>
      </c>
      <c r="F1815" s="16" t="n">
        <v>36.2471345</v>
      </c>
      <c r="G1815" s="16" t="n">
        <v>44.07807219</v>
      </c>
      <c r="H1815" s="18" t="n">
        <v>1150</v>
      </c>
      <c r="I1815" s="18" t="n">
        <v>6900</v>
      </c>
      <c r="J1815" s="19" t="n">
        <v>405</v>
      </c>
      <c r="K1815" s="19"/>
      <c r="L1815" s="19" t="n">
        <v>65</v>
      </c>
      <c r="M1815" s="19"/>
      <c r="N1815" s="19"/>
      <c r="O1815" s="19"/>
      <c r="P1815" s="19"/>
      <c r="Q1815" s="19"/>
      <c r="R1815" s="19"/>
      <c r="S1815" s="19"/>
      <c r="T1815" s="19"/>
      <c r="U1815" s="19"/>
      <c r="V1815" s="19" t="n">
        <v>680</v>
      </c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 t="n">
        <v>1150</v>
      </c>
      <c r="AI1815" s="19"/>
      <c r="AJ1815" s="19"/>
      <c r="AK1815" s="19"/>
      <c r="AL1815" s="19" t="n">
        <v>160</v>
      </c>
      <c r="AM1815" s="19" t="n">
        <v>680</v>
      </c>
      <c r="AN1815" s="19"/>
      <c r="AO1815" s="19"/>
      <c r="AP1815" s="19" t="n">
        <v>225</v>
      </c>
      <c r="AQ1815" s="19" t="n">
        <v>50</v>
      </c>
      <c r="AR1815" s="19" t="n">
        <v>35</v>
      </c>
      <c r="AS1815" s="20" t="str">
        <f aca="false">HYPERLINK("http://www.openstreetmap.org/?mlat=36.2471&amp;mlon=44.0781&amp;zoom=12#map=12/36.2471/44.0781","Maplink1")</f>
        <v>Maplink1</v>
      </c>
      <c r="AT1815" s="20" t="str">
        <f aca="false">HYPERLINK("https://www.google.iq/maps/search/+36.2471,44.0781/@36.2471,44.0781,14z?hl=en","Maplink2")</f>
        <v>Maplink2</v>
      </c>
      <c r="AU1815" s="20" t="str">
        <f aca="false">HYPERLINK("http://www.bing.com/maps/?lvl=14&amp;sty=h&amp;cp=36.2471~44.0781&amp;sp=point.36.2471_44.0781","Maplink3")</f>
        <v>Maplink3</v>
      </c>
    </row>
    <row r="1816" customFormat="false" ht="15" hidden="false" customHeight="true" outlineLevel="0" collapsed="false">
      <c r="A1816" s="15" t="n">
        <v>27331</v>
      </c>
      <c r="B1816" s="16" t="s">
        <v>21</v>
      </c>
      <c r="C1816" s="16" t="s">
        <v>21</v>
      </c>
      <c r="D1816" s="16" t="s">
        <v>3578</v>
      </c>
      <c r="E1816" s="17" t="s">
        <v>3579</v>
      </c>
      <c r="F1816" s="16" t="n">
        <v>36.19611645</v>
      </c>
      <c r="G1816" s="16" t="n">
        <v>44.13510535</v>
      </c>
      <c r="H1816" s="18" t="n">
        <v>23</v>
      </c>
      <c r="I1816" s="18" t="n">
        <v>138</v>
      </c>
      <c r="J1816" s="19" t="n">
        <v>4</v>
      </c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 t="n">
        <v>14</v>
      </c>
      <c r="W1816" s="19"/>
      <c r="X1816" s="19" t="n">
        <v>5</v>
      </c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 t="n">
        <v>23</v>
      </c>
      <c r="AI1816" s="19"/>
      <c r="AJ1816" s="19"/>
      <c r="AK1816" s="19"/>
      <c r="AL1816" s="19" t="n">
        <v>5</v>
      </c>
      <c r="AM1816" s="19" t="n">
        <v>14</v>
      </c>
      <c r="AN1816" s="19" t="n">
        <v>4</v>
      </c>
      <c r="AO1816" s="19"/>
      <c r="AP1816" s="19"/>
      <c r="AQ1816" s="19"/>
      <c r="AR1816" s="19"/>
      <c r="AS1816" s="20" t="str">
        <f aca="false">HYPERLINK("http://www.openstreetmap.org/?mlat=36.1961&amp;mlon=44.1351&amp;zoom=12#map=12/36.1961/44.1351","Maplink1")</f>
        <v>Maplink1</v>
      </c>
      <c r="AT1816" s="20" t="str">
        <f aca="false">HYPERLINK("https://www.google.iq/maps/search/+36.1961,44.1351/@36.1961,44.1351,14z?hl=en","Maplink2")</f>
        <v>Maplink2</v>
      </c>
      <c r="AU1816" s="20" t="str">
        <f aca="false">HYPERLINK("http://www.bing.com/maps/?lvl=14&amp;sty=h&amp;cp=36.1961~44.1351&amp;sp=point.36.1961_44.1351","Maplink3")</f>
        <v>Maplink3</v>
      </c>
    </row>
    <row r="1817" customFormat="false" ht="15" hidden="false" customHeight="true" outlineLevel="0" collapsed="false">
      <c r="A1817" s="15" t="n">
        <v>22076</v>
      </c>
      <c r="B1817" s="16" t="s">
        <v>21</v>
      </c>
      <c r="C1817" s="16" t="s">
        <v>21</v>
      </c>
      <c r="D1817" s="16" t="s">
        <v>3580</v>
      </c>
      <c r="E1817" s="17" t="s">
        <v>2937</v>
      </c>
      <c r="F1817" s="16" t="n">
        <v>36.20652805</v>
      </c>
      <c r="G1817" s="16" t="n">
        <v>44.02126796</v>
      </c>
      <c r="H1817" s="18" t="n">
        <v>174</v>
      </c>
      <c r="I1817" s="18" t="n">
        <v>1044</v>
      </c>
      <c r="J1817" s="19" t="n">
        <v>76</v>
      </c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 t="n">
        <v>65</v>
      </c>
      <c r="W1817" s="19"/>
      <c r="X1817" s="19" t="n">
        <v>33</v>
      </c>
      <c r="Y1817" s="19"/>
      <c r="Z1817" s="19"/>
      <c r="AA1817" s="19"/>
      <c r="AB1817" s="19"/>
      <c r="AC1817" s="19"/>
      <c r="AD1817" s="19" t="n">
        <v>19</v>
      </c>
      <c r="AE1817" s="19"/>
      <c r="AF1817" s="19"/>
      <c r="AG1817" s="19"/>
      <c r="AH1817" s="19" t="n">
        <v>155</v>
      </c>
      <c r="AI1817" s="19"/>
      <c r="AJ1817" s="19"/>
      <c r="AK1817" s="19"/>
      <c r="AL1817" s="19" t="n">
        <v>66</v>
      </c>
      <c r="AM1817" s="19" t="n">
        <v>88</v>
      </c>
      <c r="AN1817" s="19"/>
      <c r="AO1817" s="19"/>
      <c r="AP1817" s="19"/>
      <c r="AQ1817" s="19" t="n">
        <v>20</v>
      </c>
      <c r="AR1817" s="19"/>
      <c r="AS1817" s="20" t="str">
        <f aca="false">HYPERLINK("http://www.openstreetmap.org/?mlat=36.2065&amp;mlon=44.0213&amp;zoom=12#map=12/36.2065/44.0213","Maplink1")</f>
        <v>Maplink1</v>
      </c>
      <c r="AT1817" s="20" t="str">
        <f aca="false">HYPERLINK("https://www.google.iq/maps/search/+36.2065,44.0213/@36.2065,44.0213,14z?hl=en","Maplink2")</f>
        <v>Maplink2</v>
      </c>
      <c r="AU1817" s="20" t="str">
        <f aca="false">HYPERLINK("http://www.bing.com/maps/?lvl=14&amp;sty=h&amp;cp=36.2065~44.0213&amp;sp=point.36.2065_44.0213","Maplink3")</f>
        <v>Maplink3</v>
      </c>
    </row>
    <row r="1818" customFormat="false" ht="15" hidden="false" customHeight="true" outlineLevel="0" collapsed="false">
      <c r="A1818" s="15" t="n">
        <v>27212</v>
      </c>
      <c r="B1818" s="16" t="s">
        <v>21</v>
      </c>
      <c r="C1818" s="16" t="s">
        <v>21</v>
      </c>
      <c r="D1818" s="16" t="s">
        <v>3581</v>
      </c>
      <c r="E1818" s="17" t="s">
        <v>3582</v>
      </c>
      <c r="F1818" s="16" t="n">
        <v>36.21045803</v>
      </c>
      <c r="G1818" s="16" t="n">
        <v>44.00354812</v>
      </c>
      <c r="H1818" s="18" t="n">
        <v>204</v>
      </c>
      <c r="I1818" s="18" t="n">
        <v>1224</v>
      </c>
      <c r="J1818" s="19" t="n">
        <v>128</v>
      </c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 t="n">
        <v>30</v>
      </c>
      <c r="W1818" s="19"/>
      <c r="X1818" s="19" t="n">
        <v>46</v>
      </c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 t="n">
        <v>204</v>
      </c>
      <c r="AI1818" s="19"/>
      <c r="AJ1818" s="19"/>
      <c r="AK1818" s="19"/>
      <c r="AL1818" s="19"/>
      <c r="AM1818" s="19" t="n">
        <v>76</v>
      </c>
      <c r="AN1818" s="19"/>
      <c r="AO1818" s="19"/>
      <c r="AP1818" s="19" t="n">
        <v>124</v>
      </c>
      <c r="AQ1818" s="19" t="n">
        <v>4</v>
      </c>
      <c r="AR1818" s="19"/>
      <c r="AS1818" s="20" t="str">
        <f aca="false">HYPERLINK("http://www.openstreetmap.org/?mlat=36.2105&amp;mlon=44.0035&amp;zoom=12#map=12/36.2105/44.0035","Maplink1")</f>
        <v>Maplink1</v>
      </c>
      <c r="AT1818" s="20" t="str">
        <f aca="false">HYPERLINK("https://www.google.iq/maps/search/+36.2105,44.0035/@36.2105,44.0035,14z?hl=en","Maplink2")</f>
        <v>Maplink2</v>
      </c>
      <c r="AU1818" s="20" t="str">
        <f aca="false">HYPERLINK("http://www.bing.com/maps/?lvl=14&amp;sty=h&amp;cp=36.2105~44.0035&amp;sp=point.36.2105_44.0035","Maplink3")</f>
        <v>Maplink3</v>
      </c>
    </row>
    <row r="1819" customFormat="false" ht="15" hidden="false" customHeight="true" outlineLevel="0" collapsed="false">
      <c r="A1819" s="15" t="n">
        <v>27211</v>
      </c>
      <c r="B1819" s="16" t="s">
        <v>21</v>
      </c>
      <c r="C1819" s="16" t="s">
        <v>21</v>
      </c>
      <c r="D1819" s="16" t="s">
        <v>3583</v>
      </c>
      <c r="E1819" s="17" t="s">
        <v>3584</v>
      </c>
      <c r="F1819" s="16" t="n">
        <v>36.21378801</v>
      </c>
      <c r="G1819" s="16" t="n">
        <v>44.01929013</v>
      </c>
      <c r="H1819" s="18" t="n">
        <v>234</v>
      </c>
      <c r="I1819" s="18" t="n">
        <v>1404</v>
      </c>
      <c r="J1819" s="19" t="n">
        <v>109</v>
      </c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 t="n">
        <v>65</v>
      </c>
      <c r="W1819" s="19"/>
      <c r="X1819" s="19" t="n">
        <v>60</v>
      </c>
      <c r="Y1819" s="19"/>
      <c r="Z1819" s="19"/>
      <c r="AA1819" s="19"/>
      <c r="AB1819" s="19"/>
      <c r="AC1819" s="19"/>
      <c r="AD1819" s="19" t="n">
        <v>44</v>
      </c>
      <c r="AE1819" s="19"/>
      <c r="AF1819" s="19"/>
      <c r="AG1819" s="19"/>
      <c r="AH1819" s="19" t="n">
        <v>190</v>
      </c>
      <c r="AI1819" s="19"/>
      <c r="AJ1819" s="19"/>
      <c r="AK1819" s="19"/>
      <c r="AL1819" s="19" t="n">
        <v>70</v>
      </c>
      <c r="AM1819" s="19" t="n">
        <v>125</v>
      </c>
      <c r="AN1819" s="19"/>
      <c r="AO1819" s="19"/>
      <c r="AP1819" s="19" t="n">
        <v>28</v>
      </c>
      <c r="AQ1819" s="19" t="n">
        <v>11</v>
      </c>
      <c r="AR1819" s="19"/>
      <c r="AS1819" s="20" t="str">
        <f aca="false">HYPERLINK("http://www.openstreetmap.org/?mlat=36.2138&amp;mlon=44.0193&amp;zoom=12#map=12/36.2138/44.0193","Maplink1")</f>
        <v>Maplink1</v>
      </c>
      <c r="AT1819" s="20" t="str">
        <f aca="false">HYPERLINK("https://www.google.iq/maps/search/+36.2138,44.0193/@36.2138,44.0193,14z?hl=en","Maplink2")</f>
        <v>Maplink2</v>
      </c>
      <c r="AU1819" s="20" t="str">
        <f aca="false">HYPERLINK("http://www.bing.com/maps/?lvl=14&amp;sty=h&amp;cp=36.2138~44.0193&amp;sp=point.36.2138_44.0193","Maplink3")</f>
        <v>Maplink3</v>
      </c>
    </row>
    <row r="1820" customFormat="false" ht="15" hidden="false" customHeight="true" outlineLevel="0" collapsed="false">
      <c r="A1820" s="15" t="n">
        <v>27214</v>
      </c>
      <c r="B1820" s="16" t="s">
        <v>21</v>
      </c>
      <c r="C1820" s="16" t="s">
        <v>21</v>
      </c>
      <c r="D1820" s="16" t="s">
        <v>3585</v>
      </c>
      <c r="E1820" s="17" t="s">
        <v>3586</v>
      </c>
      <c r="F1820" s="16" t="n">
        <v>36.21247137</v>
      </c>
      <c r="G1820" s="16" t="n">
        <v>44.02298544</v>
      </c>
      <c r="H1820" s="18" t="n">
        <v>220</v>
      </c>
      <c r="I1820" s="18" t="n">
        <v>1320</v>
      </c>
      <c r="J1820" s="19" t="n">
        <v>105</v>
      </c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 t="n">
        <v>52</v>
      </c>
      <c r="W1820" s="19"/>
      <c r="X1820" s="19" t="n">
        <v>63</v>
      </c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 t="n">
        <v>220</v>
      </c>
      <c r="AI1820" s="19"/>
      <c r="AJ1820" s="19"/>
      <c r="AK1820" s="19"/>
      <c r="AL1820" s="19" t="n">
        <v>43</v>
      </c>
      <c r="AM1820" s="19" t="n">
        <v>115</v>
      </c>
      <c r="AN1820" s="19"/>
      <c r="AO1820" s="19"/>
      <c r="AP1820" s="19" t="n">
        <v>62</v>
      </c>
      <c r="AQ1820" s="19"/>
      <c r="AR1820" s="19"/>
      <c r="AS1820" s="20" t="str">
        <f aca="false">HYPERLINK("http://www.openstreetmap.org/?mlat=36.2125&amp;mlon=44.023&amp;zoom=12#map=12/36.2125/44.023","Maplink1")</f>
        <v>Maplink1</v>
      </c>
      <c r="AT1820" s="20" t="str">
        <f aca="false">HYPERLINK("https://www.google.iq/maps/search/+36.2125,44.023/@36.2125,44.023,14z?hl=en","Maplink2")</f>
        <v>Maplink2</v>
      </c>
      <c r="AU1820" s="20" t="str">
        <f aca="false">HYPERLINK("http://www.bing.com/maps/?lvl=14&amp;sty=h&amp;cp=36.2125~44.023&amp;sp=point.36.2125_44.023","Maplink3")</f>
        <v>Maplink3</v>
      </c>
    </row>
    <row r="1821" customFormat="false" ht="15" hidden="false" customHeight="true" outlineLevel="0" collapsed="false">
      <c r="A1821" s="15" t="n">
        <v>27213</v>
      </c>
      <c r="B1821" s="16" t="s">
        <v>21</v>
      </c>
      <c r="C1821" s="16" t="s">
        <v>21</v>
      </c>
      <c r="D1821" s="16" t="s">
        <v>3587</v>
      </c>
      <c r="E1821" s="17" t="s">
        <v>3588</v>
      </c>
      <c r="F1821" s="16" t="n">
        <v>36.20291049</v>
      </c>
      <c r="G1821" s="16" t="n">
        <v>44.01269144</v>
      </c>
      <c r="H1821" s="18" t="n">
        <v>120</v>
      </c>
      <c r="I1821" s="18" t="n">
        <v>720</v>
      </c>
      <c r="J1821" s="19" t="n">
        <v>83</v>
      </c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 t="n">
        <v>15</v>
      </c>
      <c r="W1821" s="19"/>
      <c r="X1821" s="19" t="n">
        <v>22</v>
      </c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 t="n">
        <v>120</v>
      </c>
      <c r="AI1821" s="19"/>
      <c r="AJ1821" s="19"/>
      <c r="AK1821" s="19"/>
      <c r="AL1821" s="19"/>
      <c r="AM1821" s="19" t="n">
        <v>37</v>
      </c>
      <c r="AN1821" s="19"/>
      <c r="AO1821" s="19"/>
      <c r="AP1821" s="19" t="n">
        <v>76</v>
      </c>
      <c r="AQ1821" s="19" t="n">
        <v>7</v>
      </c>
      <c r="AR1821" s="19"/>
      <c r="AS1821" s="20" t="str">
        <f aca="false">HYPERLINK("http://www.openstreetmap.org/?mlat=36.2029&amp;mlon=44.0127&amp;zoom=12#map=12/36.2029/44.0127","Maplink1")</f>
        <v>Maplink1</v>
      </c>
      <c r="AT1821" s="20" t="str">
        <f aca="false">HYPERLINK("https://www.google.iq/maps/search/+36.2029,44.0127/@36.2029,44.0127,14z?hl=en","Maplink2")</f>
        <v>Maplink2</v>
      </c>
      <c r="AU1821" s="20" t="str">
        <f aca="false">HYPERLINK("http://www.bing.com/maps/?lvl=14&amp;sty=h&amp;cp=36.2029~44.0127&amp;sp=point.36.2029_44.0127","Maplink3")</f>
        <v>Maplink3</v>
      </c>
    </row>
    <row r="1822" customFormat="false" ht="15" hidden="false" customHeight="true" outlineLevel="0" collapsed="false">
      <c r="A1822" s="15" t="n">
        <v>27149</v>
      </c>
      <c r="B1822" s="16" t="s">
        <v>21</v>
      </c>
      <c r="C1822" s="16" t="s">
        <v>21</v>
      </c>
      <c r="D1822" s="16" t="s">
        <v>3589</v>
      </c>
      <c r="E1822" s="17" t="s">
        <v>3590</v>
      </c>
      <c r="F1822" s="16" t="n">
        <v>36.22587316</v>
      </c>
      <c r="G1822" s="16" t="n">
        <v>44.00187593</v>
      </c>
      <c r="H1822" s="18" t="n">
        <v>162</v>
      </c>
      <c r="I1822" s="18" t="n">
        <v>972</v>
      </c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 t="n">
        <v>150</v>
      </c>
      <c r="W1822" s="19"/>
      <c r="X1822" s="19" t="n">
        <v>12</v>
      </c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 t="n">
        <v>162</v>
      </c>
      <c r="AI1822" s="19"/>
      <c r="AJ1822" s="19"/>
      <c r="AK1822" s="19"/>
      <c r="AL1822" s="19"/>
      <c r="AM1822" s="19" t="n">
        <v>125</v>
      </c>
      <c r="AN1822" s="19" t="n">
        <v>37</v>
      </c>
      <c r="AO1822" s="19"/>
      <c r="AP1822" s="19"/>
      <c r="AQ1822" s="19"/>
      <c r="AR1822" s="19"/>
      <c r="AS1822" s="20" t="str">
        <f aca="false">HYPERLINK("http://www.openstreetmap.org/?mlat=36.2259&amp;mlon=44.0019&amp;zoom=12#map=12/36.2259/44.0019","Maplink1")</f>
        <v>Maplink1</v>
      </c>
      <c r="AT1822" s="20" t="str">
        <f aca="false">HYPERLINK("https://www.google.iq/maps/search/+36.2259,44.0019/@36.2259,44.0019,14z?hl=en","Maplink2")</f>
        <v>Maplink2</v>
      </c>
      <c r="AU1822" s="20" t="str">
        <f aca="false">HYPERLINK("http://www.bing.com/maps/?lvl=14&amp;sty=h&amp;cp=36.2259~44.0019&amp;sp=point.36.2259_44.0019","Maplink3")</f>
        <v>Maplink3</v>
      </c>
    </row>
    <row r="1823" customFormat="false" ht="15" hidden="false" customHeight="true" outlineLevel="0" collapsed="false">
      <c r="A1823" s="15" t="n">
        <v>22027</v>
      </c>
      <c r="B1823" s="16" t="s">
        <v>21</v>
      </c>
      <c r="C1823" s="16" t="s">
        <v>21</v>
      </c>
      <c r="D1823" s="16" t="s">
        <v>3591</v>
      </c>
      <c r="E1823" s="17" t="s">
        <v>3592</v>
      </c>
      <c r="F1823" s="16" t="n">
        <v>36.2126532</v>
      </c>
      <c r="G1823" s="16" t="n">
        <v>43.6114227</v>
      </c>
      <c r="H1823" s="18" t="n">
        <v>120</v>
      </c>
      <c r="I1823" s="18" t="n">
        <v>720</v>
      </c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 t="n">
        <v>120</v>
      </c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 t="n">
        <v>120</v>
      </c>
      <c r="AI1823" s="19"/>
      <c r="AJ1823" s="19"/>
      <c r="AK1823" s="19"/>
      <c r="AL1823" s="19"/>
      <c r="AM1823" s="19"/>
      <c r="AN1823" s="19"/>
      <c r="AO1823" s="19"/>
      <c r="AP1823" s="19" t="n">
        <v>120</v>
      </c>
      <c r="AQ1823" s="19"/>
      <c r="AR1823" s="19"/>
      <c r="AS1823" s="20" t="str">
        <f aca="false">HYPERLINK("http://www.openstreetmap.org/?mlat=36.2127&amp;mlon=43.6114&amp;zoom=12#map=12/36.2127/43.6114","Maplink1")</f>
        <v>Maplink1</v>
      </c>
      <c r="AT1823" s="20" t="str">
        <f aca="false">HYPERLINK("https://www.google.iq/maps/search/+36.2127,43.6114/@36.2127,43.6114,14z?hl=en","Maplink2")</f>
        <v>Maplink2</v>
      </c>
      <c r="AU1823" s="20" t="str">
        <f aca="false">HYPERLINK("http://www.bing.com/maps/?lvl=14&amp;sty=h&amp;cp=36.2127~43.6114&amp;sp=point.36.2127_43.6114","Maplink3")</f>
        <v>Maplink3</v>
      </c>
    </row>
    <row r="1824" customFormat="false" ht="15" hidden="false" customHeight="true" outlineLevel="0" collapsed="false">
      <c r="A1824" s="15" t="n">
        <v>24159</v>
      </c>
      <c r="B1824" s="16" t="s">
        <v>21</v>
      </c>
      <c r="C1824" s="16" t="s">
        <v>21</v>
      </c>
      <c r="D1824" s="16" t="s">
        <v>3593</v>
      </c>
      <c r="E1824" s="17" t="s">
        <v>3594</v>
      </c>
      <c r="F1824" s="16" t="n">
        <v>36.19713699</v>
      </c>
      <c r="G1824" s="16" t="n">
        <v>44.00679291</v>
      </c>
      <c r="H1824" s="18" t="n">
        <v>350</v>
      </c>
      <c r="I1824" s="18" t="n">
        <v>2100</v>
      </c>
      <c r="J1824" s="19" t="n">
        <v>245</v>
      </c>
      <c r="K1824" s="19"/>
      <c r="L1824" s="19" t="n">
        <v>8</v>
      </c>
      <c r="M1824" s="19"/>
      <c r="N1824" s="19"/>
      <c r="O1824" s="19"/>
      <c r="P1824" s="19"/>
      <c r="Q1824" s="19"/>
      <c r="R1824" s="19"/>
      <c r="S1824" s="19"/>
      <c r="T1824" s="19"/>
      <c r="U1824" s="19"/>
      <c r="V1824" s="19" t="n">
        <v>67</v>
      </c>
      <c r="W1824" s="19"/>
      <c r="X1824" s="19" t="n">
        <v>30</v>
      </c>
      <c r="Y1824" s="19"/>
      <c r="Z1824" s="19"/>
      <c r="AA1824" s="19"/>
      <c r="AB1824" s="19"/>
      <c r="AC1824" s="19"/>
      <c r="AD1824" s="19" t="n">
        <v>28</v>
      </c>
      <c r="AE1824" s="19"/>
      <c r="AF1824" s="19"/>
      <c r="AG1824" s="19"/>
      <c r="AH1824" s="19" t="n">
        <v>322</v>
      </c>
      <c r="AI1824" s="19"/>
      <c r="AJ1824" s="19"/>
      <c r="AK1824" s="19"/>
      <c r="AL1824" s="19" t="n">
        <v>131</v>
      </c>
      <c r="AM1824" s="19" t="n">
        <v>102</v>
      </c>
      <c r="AN1824" s="19"/>
      <c r="AO1824" s="19" t="n">
        <v>8</v>
      </c>
      <c r="AP1824" s="19" t="n">
        <v>68</v>
      </c>
      <c r="AQ1824" s="19" t="n">
        <v>41</v>
      </c>
      <c r="AR1824" s="19"/>
      <c r="AS1824" s="20" t="str">
        <f aca="false">HYPERLINK("http://www.openstreetmap.org/?mlat=36.1971&amp;mlon=44.0068&amp;zoom=12#map=12/36.1971/44.0068","Maplink1")</f>
        <v>Maplink1</v>
      </c>
      <c r="AT1824" s="20" t="str">
        <f aca="false">HYPERLINK("https://www.google.iq/maps/search/+36.1971,44.0068/@36.1971,44.0068,14z?hl=en","Maplink2")</f>
        <v>Maplink2</v>
      </c>
      <c r="AU1824" s="20" t="str">
        <f aca="false">HYPERLINK("http://www.bing.com/maps/?lvl=14&amp;sty=h&amp;cp=36.1971~44.0068&amp;sp=point.36.1971_44.0068","Maplink3")</f>
        <v>Maplink3</v>
      </c>
    </row>
    <row r="1825" customFormat="false" ht="15" hidden="false" customHeight="true" outlineLevel="0" collapsed="false">
      <c r="A1825" s="15" t="n">
        <v>11706</v>
      </c>
      <c r="B1825" s="16" t="s">
        <v>21</v>
      </c>
      <c r="C1825" s="16" t="s">
        <v>21</v>
      </c>
      <c r="D1825" s="16" t="s">
        <v>3595</v>
      </c>
      <c r="E1825" s="17" t="s">
        <v>3596</v>
      </c>
      <c r="F1825" s="16" t="n">
        <v>36.1704939</v>
      </c>
      <c r="G1825" s="16" t="n">
        <v>43.93650871</v>
      </c>
      <c r="H1825" s="18" t="n">
        <v>1600</v>
      </c>
      <c r="I1825" s="18" t="n">
        <v>9600</v>
      </c>
      <c r="J1825" s="19" t="n">
        <v>212</v>
      </c>
      <c r="K1825" s="19"/>
      <c r="L1825" s="19" t="n">
        <v>322</v>
      </c>
      <c r="M1825" s="19"/>
      <c r="N1825" s="19"/>
      <c r="O1825" s="19"/>
      <c r="P1825" s="19" t="n">
        <v>57</v>
      </c>
      <c r="Q1825" s="19"/>
      <c r="R1825" s="19"/>
      <c r="S1825" s="19"/>
      <c r="T1825" s="19"/>
      <c r="U1825" s="19"/>
      <c r="V1825" s="19" t="n">
        <v>940</v>
      </c>
      <c r="W1825" s="19"/>
      <c r="X1825" s="19" t="n">
        <v>69</v>
      </c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 t="n">
        <v>1600</v>
      </c>
      <c r="AI1825" s="19"/>
      <c r="AJ1825" s="19"/>
      <c r="AK1825" s="19"/>
      <c r="AL1825" s="19" t="n">
        <v>168</v>
      </c>
      <c r="AM1825" s="19" t="n">
        <v>891</v>
      </c>
      <c r="AN1825" s="19" t="n">
        <v>104</v>
      </c>
      <c r="AO1825" s="19" t="n">
        <v>240</v>
      </c>
      <c r="AP1825" s="19" t="n">
        <v>82</v>
      </c>
      <c r="AQ1825" s="19" t="n">
        <v>115</v>
      </c>
      <c r="AR1825" s="19"/>
      <c r="AS1825" s="20" t="str">
        <f aca="false">HYPERLINK("http://www.openstreetmap.org/?mlat=36.1705&amp;mlon=43.9365&amp;zoom=12#map=12/36.1705/43.9365","Maplink1")</f>
        <v>Maplink1</v>
      </c>
      <c r="AT1825" s="20" t="str">
        <f aca="false">HYPERLINK("https://www.google.iq/maps/search/+36.1705,43.9365/@36.1705,43.9365,14z?hl=en","Maplink2")</f>
        <v>Maplink2</v>
      </c>
      <c r="AU1825" s="20" t="str">
        <f aca="false">HYPERLINK("http://www.bing.com/maps/?lvl=14&amp;sty=h&amp;cp=36.1705~43.9365&amp;sp=point.36.1705_43.9365","Maplink3")</f>
        <v>Maplink3</v>
      </c>
    </row>
    <row r="1826" customFormat="false" ht="15" hidden="false" customHeight="true" outlineLevel="0" collapsed="false">
      <c r="A1826" s="15" t="n">
        <v>24308</v>
      </c>
      <c r="B1826" s="16" t="s">
        <v>21</v>
      </c>
      <c r="C1826" s="16" t="s">
        <v>21</v>
      </c>
      <c r="D1826" s="16" t="s">
        <v>3597</v>
      </c>
      <c r="E1826" s="17" t="s">
        <v>3598</v>
      </c>
      <c r="F1826" s="16" t="n">
        <v>36.1417</v>
      </c>
      <c r="G1826" s="16" t="n">
        <v>44.0709</v>
      </c>
      <c r="H1826" s="18" t="n">
        <v>2821</v>
      </c>
      <c r="I1826" s="18" t="n">
        <v>16926</v>
      </c>
      <c r="J1826" s="19" t="n">
        <v>1917</v>
      </c>
      <c r="K1826" s="19"/>
      <c r="L1826" s="19" t="n">
        <v>95</v>
      </c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 t="n">
        <v>809</v>
      </c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 t="n">
        <v>2821</v>
      </c>
      <c r="AI1826" s="19"/>
      <c r="AJ1826" s="19"/>
      <c r="AK1826" s="19"/>
      <c r="AL1826" s="19" t="n">
        <v>955</v>
      </c>
      <c r="AM1826" s="19" t="n">
        <v>669</v>
      </c>
      <c r="AN1826" s="19"/>
      <c r="AO1826" s="19"/>
      <c r="AP1826" s="19" t="n">
        <v>827</v>
      </c>
      <c r="AQ1826" s="19" t="n">
        <v>370</v>
      </c>
      <c r="AR1826" s="19"/>
      <c r="AS1826" s="20" t="str">
        <f aca="false">HYPERLINK("http://www.openstreetmap.org/?mlat=36.1417&amp;mlon=44.0709&amp;zoom=12#map=12/36.1417/44.0709","Maplink1")</f>
        <v>Maplink1</v>
      </c>
      <c r="AT1826" s="20" t="str">
        <f aca="false">HYPERLINK("https://www.google.iq/maps/search/+36.1417,44.0709/@36.1417,44.0709,14z?hl=en","Maplink2")</f>
        <v>Maplink2</v>
      </c>
      <c r="AU1826" s="20" t="str">
        <f aca="false">HYPERLINK("http://www.bing.com/maps/?lvl=14&amp;sty=h&amp;cp=36.1417~44.0709&amp;sp=point.36.1417_44.0709","Maplink3")</f>
        <v>Maplink3</v>
      </c>
    </row>
    <row r="1827" customFormat="false" ht="15" hidden="false" customHeight="true" outlineLevel="0" collapsed="false">
      <c r="A1827" s="15" t="n">
        <v>21253</v>
      </c>
      <c r="B1827" s="16" t="s">
        <v>21</v>
      </c>
      <c r="C1827" s="16" t="s">
        <v>21</v>
      </c>
      <c r="D1827" s="16" t="s">
        <v>3599</v>
      </c>
      <c r="E1827" s="17" t="s">
        <v>3600</v>
      </c>
      <c r="F1827" s="16" t="n">
        <v>36.15086144</v>
      </c>
      <c r="G1827" s="16" t="n">
        <v>44.01715466</v>
      </c>
      <c r="H1827" s="18" t="n">
        <v>1000</v>
      </c>
      <c r="I1827" s="18" t="n">
        <v>6000</v>
      </c>
      <c r="J1827" s="19" t="n">
        <v>348</v>
      </c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 t="n">
        <v>411</v>
      </c>
      <c r="W1827" s="19"/>
      <c r="X1827" s="19" t="n">
        <v>241</v>
      </c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 t="n">
        <v>1000</v>
      </c>
      <c r="AI1827" s="19"/>
      <c r="AJ1827" s="19"/>
      <c r="AK1827" s="19"/>
      <c r="AL1827" s="19" t="n">
        <v>191</v>
      </c>
      <c r="AM1827" s="19" t="n">
        <v>676</v>
      </c>
      <c r="AN1827" s="19"/>
      <c r="AO1827" s="19"/>
      <c r="AP1827" s="19" t="n">
        <v>133</v>
      </c>
      <c r="AQ1827" s="19"/>
      <c r="AR1827" s="19"/>
      <c r="AS1827" s="20" t="str">
        <f aca="false">HYPERLINK("http://www.openstreetmap.org/?mlat=36.1509&amp;mlon=44.0172&amp;zoom=12#map=12/36.1509/44.0172","Maplink1")</f>
        <v>Maplink1</v>
      </c>
      <c r="AT1827" s="20" t="str">
        <f aca="false">HYPERLINK("https://www.google.iq/maps/search/+36.1509,44.0172/@36.1509,44.0172,14z?hl=en","Maplink2")</f>
        <v>Maplink2</v>
      </c>
      <c r="AU1827" s="20" t="str">
        <f aca="false">HYPERLINK("http://www.bing.com/maps/?lvl=14&amp;sty=h&amp;cp=36.1509~44.0172&amp;sp=point.36.1509_44.0172","Maplink3")</f>
        <v>Maplink3</v>
      </c>
    </row>
    <row r="1828" customFormat="false" ht="15" hidden="false" customHeight="true" outlineLevel="0" collapsed="false">
      <c r="A1828" s="15" t="n">
        <v>27139</v>
      </c>
      <c r="B1828" s="16" t="s">
        <v>21</v>
      </c>
      <c r="C1828" s="16" t="s">
        <v>21</v>
      </c>
      <c r="D1828" s="16" t="s">
        <v>3601</v>
      </c>
      <c r="E1828" s="17" t="s">
        <v>3602</v>
      </c>
      <c r="F1828" s="16" t="n">
        <v>36.2548</v>
      </c>
      <c r="G1828" s="16" t="n">
        <v>44.0654</v>
      </c>
      <c r="H1828" s="18" t="n">
        <v>235</v>
      </c>
      <c r="I1828" s="18" t="n">
        <v>1410</v>
      </c>
      <c r="J1828" s="19" t="n">
        <v>58</v>
      </c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 t="n">
        <v>104</v>
      </c>
      <c r="W1828" s="19"/>
      <c r="X1828" s="19" t="n">
        <v>73</v>
      </c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 t="n">
        <v>235</v>
      </c>
      <c r="AI1828" s="19"/>
      <c r="AJ1828" s="19"/>
      <c r="AK1828" s="19"/>
      <c r="AL1828" s="19"/>
      <c r="AM1828" s="19" t="n">
        <v>104</v>
      </c>
      <c r="AN1828" s="19" t="n">
        <v>73</v>
      </c>
      <c r="AO1828" s="19"/>
      <c r="AP1828" s="19" t="n">
        <v>37</v>
      </c>
      <c r="AQ1828" s="19" t="n">
        <v>21</v>
      </c>
      <c r="AR1828" s="19"/>
      <c r="AS1828" s="20" t="str">
        <f aca="false">HYPERLINK("http://www.openstreetmap.org/?mlat=36.2548&amp;mlon=44.0654&amp;zoom=12#map=12/36.2548/44.0654","Maplink1")</f>
        <v>Maplink1</v>
      </c>
      <c r="AT1828" s="20" t="str">
        <f aca="false">HYPERLINK("https://www.google.iq/maps/search/+36.2548,44.0654/@36.2548,44.0654,14z?hl=en","Maplink2")</f>
        <v>Maplink2</v>
      </c>
      <c r="AU1828" s="20" t="str">
        <f aca="false">HYPERLINK("http://www.bing.com/maps/?lvl=14&amp;sty=h&amp;cp=36.2548~44.0654&amp;sp=point.36.2548_44.0654","Maplink3")</f>
        <v>Maplink3</v>
      </c>
    </row>
    <row r="1829" customFormat="false" ht="15" hidden="false" customHeight="true" outlineLevel="0" collapsed="false">
      <c r="A1829" s="15" t="n">
        <v>24421</v>
      </c>
      <c r="B1829" s="16" t="s">
        <v>21</v>
      </c>
      <c r="C1829" s="16" t="s">
        <v>21</v>
      </c>
      <c r="D1829" s="16" t="s">
        <v>3603</v>
      </c>
      <c r="E1829" s="17" t="s">
        <v>3604</v>
      </c>
      <c r="F1829" s="16" t="n">
        <v>36.2804822</v>
      </c>
      <c r="G1829" s="16" t="n">
        <v>44.09930573</v>
      </c>
      <c r="H1829" s="18" t="n">
        <v>867</v>
      </c>
      <c r="I1829" s="18" t="n">
        <v>5202</v>
      </c>
      <c r="J1829" s="19" t="n">
        <v>222</v>
      </c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 t="n">
        <v>470</v>
      </c>
      <c r="W1829" s="19"/>
      <c r="X1829" s="19" t="n">
        <v>175</v>
      </c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 t="n">
        <v>867</v>
      </c>
      <c r="AI1829" s="19"/>
      <c r="AJ1829" s="19"/>
      <c r="AK1829" s="19"/>
      <c r="AL1829" s="19" t="n">
        <v>150</v>
      </c>
      <c r="AM1829" s="19" t="n">
        <v>470</v>
      </c>
      <c r="AN1829" s="19" t="n">
        <v>175</v>
      </c>
      <c r="AO1829" s="19"/>
      <c r="AP1829" s="19" t="n">
        <v>68</v>
      </c>
      <c r="AQ1829" s="19" t="n">
        <v>4</v>
      </c>
      <c r="AR1829" s="19"/>
      <c r="AS1829" s="20" t="str">
        <f aca="false">HYPERLINK("http://www.openstreetmap.org/?mlat=36.2805&amp;mlon=44.0993&amp;zoom=12#map=12/36.2805/44.0993","Maplink1")</f>
        <v>Maplink1</v>
      </c>
      <c r="AT1829" s="20" t="str">
        <f aca="false">HYPERLINK("https://www.google.iq/maps/search/+36.2805,44.0993/@36.2805,44.0993,14z?hl=en","Maplink2")</f>
        <v>Maplink2</v>
      </c>
      <c r="AU1829" s="20" t="str">
        <f aca="false">HYPERLINK("http://www.bing.com/maps/?lvl=14&amp;sty=h&amp;cp=36.2805~44.0993&amp;sp=point.36.2805_44.0993","Maplink3")</f>
        <v>Maplink3</v>
      </c>
    </row>
    <row r="1830" customFormat="false" ht="15" hidden="false" customHeight="true" outlineLevel="0" collapsed="false">
      <c r="A1830" s="15" t="n">
        <v>25972</v>
      </c>
      <c r="B1830" s="16" t="s">
        <v>21</v>
      </c>
      <c r="C1830" s="16" t="s">
        <v>21</v>
      </c>
      <c r="D1830" s="16" t="s">
        <v>3605</v>
      </c>
      <c r="E1830" s="17" t="s">
        <v>3606</v>
      </c>
      <c r="F1830" s="16" t="n">
        <v>36.11987318</v>
      </c>
      <c r="G1830" s="16" t="n">
        <v>44.04482393</v>
      </c>
      <c r="H1830" s="18" t="n">
        <v>120</v>
      </c>
      <c r="I1830" s="18" t="n">
        <v>720</v>
      </c>
      <c r="J1830" s="19" t="n">
        <v>55</v>
      </c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 t="n">
        <v>45</v>
      </c>
      <c r="W1830" s="19"/>
      <c r="X1830" s="19" t="n">
        <v>20</v>
      </c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 t="n">
        <v>120</v>
      </c>
      <c r="AI1830" s="19"/>
      <c r="AJ1830" s="19"/>
      <c r="AK1830" s="19"/>
      <c r="AL1830" s="19"/>
      <c r="AM1830" s="19" t="n">
        <v>45</v>
      </c>
      <c r="AN1830" s="19" t="n">
        <v>25</v>
      </c>
      <c r="AO1830" s="19"/>
      <c r="AP1830" s="19" t="n">
        <v>50</v>
      </c>
      <c r="AQ1830" s="19"/>
      <c r="AR1830" s="19"/>
      <c r="AS1830" s="20" t="str">
        <f aca="false">HYPERLINK("http://www.openstreetmap.org/?mlat=36.1199&amp;mlon=44.0448&amp;zoom=12#map=12/36.1199/44.0448","Maplink1")</f>
        <v>Maplink1</v>
      </c>
      <c r="AT1830" s="20" t="str">
        <f aca="false">HYPERLINK("https://www.google.iq/maps/search/+36.1199,44.0448/@36.1199,44.0448,14z?hl=en","Maplink2")</f>
        <v>Maplink2</v>
      </c>
      <c r="AU1830" s="20" t="str">
        <f aca="false">HYPERLINK("http://www.bing.com/maps/?lvl=14&amp;sty=h&amp;cp=36.1199~44.0448&amp;sp=point.36.1199_44.0448","Maplink3")</f>
        <v>Maplink3</v>
      </c>
    </row>
    <row r="1831" customFormat="false" ht="15" hidden="false" customHeight="true" outlineLevel="0" collapsed="false">
      <c r="A1831" s="15" t="n">
        <v>25629</v>
      </c>
      <c r="B1831" s="16" t="s">
        <v>21</v>
      </c>
      <c r="C1831" s="16" t="s">
        <v>21</v>
      </c>
      <c r="D1831" s="16" t="s">
        <v>3607</v>
      </c>
      <c r="E1831" s="17" t="s">
        <v>3608</v>
      </c>
      <c r="F1831" s="16" t="n">
        <v>36.12435602</v>
      </c>
      <c r="G1831" s="16" t="n">
        <v>44.02109362</v>
      </c>
      <c r="H1831" s="18" t="n">
        <v>675</v>
      </c>
      <c r="I1831" s="18" t="n">
        <v>4050</v>
      </c>
      <c r="J1831" s="19" t="n">
        <v>507</v>
      </c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 t="n">
        <v>168</v>
      </c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 t="n">
        <v>675</v>
      </c>
      <c r="AI1831" s="19"/>
      <c r="AJ1831" s="19"/>
      <c r="AK1831" s="19"/>
      <c r="AL1831" s="19" t="n">
        <v>212</v>
      </c>
      <c r="AM1831" s="19" t="n">
        <v>168</v>
      </c>
      <c r="AN1831" s="19"/>
      <c r="AO1831" s="19"/>
      <c r="AP1831" s="19" t="n">
        <v>295</v>
      </c>
      <c r="AQ1831" s="19"/>
      <c r="AR1831" s="19"/>
      <c r="AS1831" s="20" t="str">
        <f aca="false">HYPERLINK("http://www.openstreetmap.org/?mlat=36.1244&amp;mlon=44.0211&amp;zoom=12#map=12/36.1244/44.0211","Maplink1")</f>
        <v>Maplink1</v>
      </c>
      <c r="AT1831" s="20" t="str">
        <f aca="false">HYPERLINK("https://www.google.iq/maps/search/+36.1244,44.0211/@36.1244,44.0211,14z?hl=en","Maplink2")</f>
        <v>Maplink2</v>
      </c>
      <c r="AU1831" s="20" t="str">
        <f aca="false">HYPERLINK("http://www.bing.com/maps/?lvl=14&amp;sty=h&amp;cp=36.1244~44.0211&amp;sp=point.36.1244_44.0211","Maplink3")</f>
        <v>Maplink3</v>
      </c>
    </row>
    <row r="1832" customFormat="false" ht="15" hidden="false" customHeight="true" outlineLevel="0" collapsed="false">
      <c r="A1832" s="15" t="n">
        <v>24484</v>
      </c>
      <c r="B1832" s="16" t="s">
        <v>21</v>
      </c>
      <c r="C1832" s="16" t="s">
        <v>3609</v>
      </c>
      <c r="D1832" s="16" t="s">
        <v>3610</v>
      </c>
      <c r="E1832" s="17" t="s">
        <v>3611</v>
      </c>
      <c r="F1832" s="16" t="n">
        <v>36.06854793</v>
      </c>
      <c r="G1832" s="16" t="n">
        <v>44.60854927</v>
      </c>
      <c r="H1832" s="18" t="n">
        <v>20</v>
      </c>
      <c r="I1832" s="18" t="n">
        <v>120</v>
      </c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 t="n">
        <v>20</v>
      </c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 t="n">
        <v>20</v>
      </c>
      <c r="AI1832" s="19"/>
      <c r="AJ1832" s="19"/>
      <c r="AK1832" s="19"/>
      <c r="AL1832" s="19"/>
      <c r="AM1832" s="19" t="n">
        <v>20</v>
      </c>
      <c r="AN1832" s="19"/>
      <c r="AO1832" s="19"/>
      <c r="AP1832" s="19"/>
      <c r="AQ1832" s="19"/>
      <c r="AR1832" s="19"/>
      <c r="AS1832" s="20" t="str">
        <f aca="false">HYPERLINK("http://www.openstreetmap.org/?mlat=36.0685&amp;mlon=44.6085&amp;zoom=12#map=12/36.0685/44.6085","Maplink1")</f>
        <v>Maplink1</v>
      </c>
      <c r="AT1832" s="20" t="str">
        <f aca="false">HYPERLINK("https://www.google.iq/maps/search/+36.0685,44.6085/@36.0685,44.6085,14z?hl=en","Maplink2")</f>
        <v>Maplink2</v>
      </c>
      <c r="AU1832" s="20" t="str">
        <f aca="false">HYPERLINK("http://www.bing.com/maps/?lvl=14&amp;sty=h&amp;cp=36.0685~44.6085&amp;sp=point.36.0685_44.6085","Maplink3")</f>
        <v>Maplink3</v>
      </c>
    </row>
    <row r="1833" customFormat="false" ht="15" hidden="false" customHeight="true" outlineLevel="0" collapsed="false">
      <c r="A1833" s="15" t="n">
        <v>27221</v>
      </c>
      <c r="B1833" s="16" t="s">
        <v>21</v>
      </c>
      <c r="C1833" s="16" t="s">
        <v>3609</v>
      </c>
      <c r="D1833" s="16" t="s">
        <v>2749</v>
      </c>
      <c r="E1833" s="17" t="s">
        <v>3410</v>
      </c>
      <c r="F1833" s="16" t="n">
        <v>35.92287832</v>
      </c>
      <c r="G1833" s="16" t="n">
        <v>44.78599456</v>
      </c>
      <c r="H1833" s="18" t="n">
        <v>22</v>
      </c>
      <c r="I1833" s="18" t="n">
        <v>132</v>
      </c>
      <c r="J1833" s="19" t="n">
        <v>10</v>
      </c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 t="n">
        <v>12</v>
      </c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 t="n">
        <v>22</v>
      </c>
      <c r="AI1833" s="19"/>
      <c r="AJ1833" s="19"/>
      <c r="AK1833" s="19"/>
      <c r="AL1833" s="19"/>
      <c r="AM1833" s="19" t="n">
        <v>11</v>
      </c>
      <c r="AN1833" s="19"/>
      <c r="AO1833" s="19"/>
      <c r="AP1833" s="19" t="n">
        <v>10</v>
      </c>
      <c r="AQ1833" s="19" t="n">
        <v>1</v>
      </c>
      <c r="AR1833" s="19"/>
      <c r="AS1833" s="20" t="str">
        <f aca="false">HYPERLINK("http://www.openstreetmap.org/?mlat=35.9229&amp;mlon=44.786&amp;zoom=12#map=12/35.9229/44.786","Maplink1")</f>
        <v>Maplink1</v>
      </c>
      <c r="AT1833" s="20" t="str">
        <f aca="false">HYPERLINK("https://www.google.iq/maps/search/+35.9229,44.786/@35.9229,44.786,14z?hl=en","Maplink2")</f>
        <v>Maplink2</v>
      </c>
      <c r="AU1833" s="20" t="str">
        <f aca="false">HYPERLINK("http://www.bing.com/maps/?lvl=14&amp;sty=h&amp;cp=35.9229~44.786&amp;sp=point.35.9229_44.786","Maplink3")</f>
        <v>Maplink3</v>
      </c>
    </row>
    <row r="1834" customFormat="false" ht="15" hidden="false" customHeight="true" outlineLevel="0" collapsed="false">
      <c r="A1834" s="15" t="n">
        <v>24598</v>
      </c>
      <c r="B1834" s="16" t="s">
        <v>21</v>
      </c>
      <c r="C1834" s="16" t="s">
        <v>3609</v>
      </c>
      <c r="D1834" s="16" t="s">
        <v>3612</v>
      </c>
      <c r="E1834" s="17" t="s">
        <v>3613</v>
      </c>
      <c r="F1834" s="16" t="n">
        <v>36.08755016</v>
      </c>
      <c r="G1834" s="16" t="n">
        <v>44.64304009</v>
      </c>
      <c r="H1834" s="18" t="n">
        <v>241</v>
      </c>
      <c r="I1834" s="18" t="n">
        <v>1446</v>
      </c>
      <c r="J1834" s="19" t="n">
        <v>154</v>
      </c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 t="n">
        <v>82</v>
      </c>
      <c r="W1834" s="19"/>
      <c r="X1834" s="19" t="n">
        <v>5</v>
      </c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 t="n">
        <v>241</v>
      </c>
      <c r="AI1834" s="19"/>
      <c r="AJ1834" s="19"/>
      <c r="AK1834" s="19"/>
      <c r="AL1834" s="19" t="n">
        <v>154</v>
      </c>
      <c r="AM1834" s="19" t="n">
        <v>80</v>
      </c>
      <c r="AN1834" s="19" t="n">
        <v>5</v>
      </c>
      <c r="AO1834" s="19"/>
      <c r="AP1834" s="19"/>
      <c r="AQ1834" s="19" t="n">
        <v>2</v>
      </c>
      <c r="AR1834" s="19"/>
      <c r="AS1834" s="20" t="str">
        <f aca="false">HYPERLINK("http://www.openstreetmap.org/?mlat=36.0876&amp;mlon=44.643&amp;zoom=12#map=12/36.0876/44.643","Maplink1")</f>
        <v>Maplink1</v>
      </c>
      <c r="AT1834" s="20" t="str">
        <f aca="false">HYPERLINK("https://www.google.iq/maps/search/+36.0876,44.643/@36.0876,44.643,14z?hl=en","Maplink2")</f>
        <v>Maplink2</v>
      </c>
      <c r="AU1834" s="20" t="str">
        <f aca="false">HYPERLINK("http://www.bing.com/maps/?lvl=14&amp;sty=h&amp;cp=36.0876~44.643&amp;sp=point.36.0876_44.643","Maplink3")</f>
        <v>Maplink3</v>
      </c>
    </row>
    <row r="1835" customFormat="false" ht="15" hidden="false" customHeight="true" outlineLevel="0" collapsed="false">
      <c r="A1835" s="15" t="n">
        <v>12371</v>
      </c>
      <c r="B1835" s="16" t="s">
        <v>21</v>
      </c>
      <c r="C1835" s="16" t="s">
        <v>3609</v>
      </c>
      <c r="D1835" s="16" t="s">
        <v>3614</v>
      </c>
      <c r="E1835" s="17" t="s">
        <v>3615</v>
      </c>
      <c r="F1835" s="16" t="n">
        <v>36.08698386</v>
      </c>
      <c r="G1835" s="16" t="n">
        <v>44.62886102</v>
      </c>
      <c r="H1835" s="18" t="n">
        <v>294</v>
      </c>
      <c r="I1835" s="18" t="n">
        <v>1764</v>
      </c>
      <c r="J1835" s="19" t="n">
        <v>294</v>
      </c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 t="n">
        <v>294</v>
      </c>
      <c r="AI1835" s="19"/>
      <c r="AJ1835" s="19"/>
      <c r="AK1835" s="19"/>
      <c r="AL1835" s="19" t="n">
        <v>284</v>
      </c>
      <c r="AM1835" s="19" t="n">
        <v>3</v>
      </c>
      <c r="AN1835" s="19"/>
      <c r="AO1835" s="19"/>
      <c r="AP1835" s="19"/>
      <c r="AQ1835" s="19" t="n">
        <v>7</v>
      </c>
      <c r="AR1835" s="19"/>
      <c r="AS1835" s="20" t="str">
        <f aca="false">HYPERLINK("http://www.openstreetmap.org/?mlat=36.087&amp;mlon=44.6289&amp;zoom=12#map=12/36.087/44.6289","Maplink1")</f>
        <v>Maplink1</v>
      </c>
      <c r="AT1835" s="20" t="str">
        <f aca="false">HYPERLINK("https://www.google.iq/maps/search/+36.087,44.6289/@36.087,44.6289,14z?hl=en","Maplink2")</f>
        <v>Maplink2</v>
      </c>
      <c r="AU1835" s="20" t="str">
        <f aca="false">HYPERLINK("http://www.bing.com/maps/?lvl=14&amp;sty=h&amp;cp=36.087~44.6289&amp;sp=point.36.087_44.6289","Maplink3")</f>
        <v>Maplink3</v>
      </c>
    </row>
    <row r="1836" customFormat="false" ht="15" hidden="false" customHeight="true" outlineLevel="0" collapsed="false">
      <c r="A1836" s="15" t="n">
        <v>24597</v>
      </c>
      <c r="B1836" s="16" t="s">
        <v>21</v>
      </c>
      <c r="C1836" s="16" t="s">
        <v>3609</v>
      </c>
      <c r="D1836" s="16" t="s">
        <v>3616</v>
      </c>
      <c r="E1836" s="17" t="s">
        <v>3617</v>
      </c>
      <c r="F1836" s="16" t="n">
        <v>36.08429266</v>
      </c>
      <c r="G1836" s="16" t="n">
        <v>44.628168</v>
      </c>
      <c r="H1836" s="18" t="n">
        <v>303</v>
      </c>
      <c r="I1836" s="18" t="n">
        <v>1818</v>
      </c>
      <c r="J1836" s="19" t="n">
        <v>108</v>
      </c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 t="n">
        <v>85</v>
      </c>
      <c r="W1836" s="19"/>
      <c r="X1836" s="19" t="n">
        <v>110</v>
      </c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 t="n">
        <v>303</v>
      </c>
      <c r="AI1836" s="19"/>
      <c r="AJ1836" s="19"/>
      <c r="AK1836" s="19"/>
      <c r="AL1836" s="19" t="n">
        <v>18</v>
      </c>
      <c r="AM1836" s="19" t="n">
        <v>195</v>
      </c>
      <c r="AN1836" s="19"/>
      <c r="AO1836" s="19"/>
      <c r="AP1836" s="19" t="n">
        <v>90</v>
      </c>
      <c r="AQ1836" s="19"/>
      <c r="AR1836" s="19"/>
      <c r="AS1836" s="20" t="str">
        <f aca="false">HYPERLINK("http://www.openstreetmap.org/?mlat=36.0843&amp;mlon=44.6282&amp;zoom=12#map=12/36.0843/44.6282","Maplink1")</f>
        <v>Maplink1</v>
      </c>
      <c r="AT1836" s="20" t="str">
        <f aca="false">HYPERLINK("https://www.google.iq/maps/search/+36.0843,44.6282/@36.0843,44.6282,14z?hl=en","Maplink2")</f>
        <v>Maplink2</v>
      </c>
      <c r="AU1836" s="20" t="str">
        <f aca="false">HYPERLINK("http://www.bing.com/maps/?lvl=14&amp;sty=h&amp;cp=36.0843~44.6282&amp;sp=point.36.0843_44.6282","Maplink3")</f>
        <v>Maplink3</v>
      </c>
    </row>
    <row r="1837" customFormat="false" ht="15" hidden="false" customHeight="true" outlineLevel="0" collapsed="false">
      <c r="A1837" s="15" t="n">
        <v>29513</v>
      </c>
      <c r="B1837" s="16" t="s">
        <v>21</v>
      </c>
      <c r="C1837" s="16" t="s">
        <v>3609</v>
      </c>
      <c r="D1837" s="16" t="s">
        <v>3618</v>
      </c>
      <c r="E1837" s="17" t="s">
        <v>3619</v>
      </c>
      <c r="F1837" s="16" t="n">
        <v>36.09196521</v>
      </c>
      <c r="G1837" s="16" t="n">
        <v>44.6331606</v>
      </c>
      <c r="H1837" s="18" t="n">
        <v>48</v>
      </c>
      <c r="I1837" s="18" t="n">
        <v>288</v>
      </c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 t="n">
        <v>48</v>
      </c>
      <c r="W1837" s="19"/>
      <c r="X1837" s="19"/>
      <c r="Y1837" s="19"/>
      <c r="Z1837" s="19"/>
      <c r="AA1837" s="19"/>
      <c r="AB1837" s="19" t="n">
        <v>48</v>
      </c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 t="n">
        <v>48</v>
      </c>
      <c r="AN1837" s="19"/>
      <c r="AO1837" s="19"/>
      <c r="AP1837" s="19"/>
      <c r="AQ1837" s="19"/>
      <c r="AR1837" s="19"/>
      <c r="AS1837" s="20" t="str">
        <f aca="false">HYPERLINK("http://www.openstreetmap.org/?mlat=36.092&amp;mlon=44.6332&amp;zoom=12#map=12/36.092/44.6332","Maplink1")</f>
        <v>Maplink1</v>
      </c>
      <c r="AT1837" s="20" t="str">
        <f aca="false">HYPERLINK("https://www.google.iq/maps/search/+36.092,44.6332/@36.092,44.6332,14z?hl=en","Maplink2")</f>
        <v>Maplink2</v>
      </c>
      <c r="AU1837" s="20" t="str">
        <f aca="false">HYPERLINK("http://www.bing.com/maps/?lvl=14&amp;sty=h&amp;cp=36.092~44.6332&amp;sp=point.36.092_44.6332","Maplink3")</f>
        <v>Maplink3</v>
      </c>
    </row>
    <row r="1838" customFormat="false" ht="15" hidden="false" customHeight="true" outlineLevel="0" collapsed="false">
      <c r="A1838" s="15" t="n">
        <v>27223</v>
      </c>
      <c r="B1838" s="16" t="s">
        <v>21</v>
      </c>
      <c r="C1838" s="16" t="s">
        <v>3609</v>
      </c>
      <c r="D1838" s="16" t="s">
        <v>3620</v>
      </c>
      <c r="E1838" s="17" t="s">
        <v>3621</v>
      </c>
      <c r="F1838" s="16" t="n">
        <v>36.09191716</v>
      </c>
      <c r="G1838" s="16" t="n">
        <v>44.66330954</v>
      </c>
      <c r="H1838" s="18" t="n">
        <v>41</v>
      </c>
      <c r="I1838" s="18" t="n">
        <v>246</v>
      </c>
      <c r="J1838" s="19" t="n">
        <v>14</v>
      </c>
      <c r="K1838" s="19"/>
      <c r="L1838" s="19"/>
      <c r="M1838" s="19"/>
      <c r="N1838" s="19"/>
      <c r="O1838" s="19" t="n">
        <v>8</v>
      </c>
      <c r="P1838" s="19"/>
      <c r="Q1838" s="19"/>
      <c r="R1838" s="19"/>
      <c r="S1838" s="19"/>
      <c r="T1838" s="19"/>
      <c r="U1838" s="19"/>
      <c r="V1838" s="19" t="n">
        <v>10</v>
      </c>
      <c r="W1838" s="19"/>
      <c r="X1838" s="19" t="n">
        <v>9</v>
      </c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 t="n">
        <v>41</v>
      </c>
      <c r="AI1838" s="19"/>
      <c r="AJ1838" s="19"/>
      <c r="AK1838" s="19"/>
      <c r="AL1838" s="19" t="n">
        <v>11</v>
      </c>
      <c r="AM1838" s="19"/>
      <c r="AN1838" s="19" t="n">
        <v>8</v>
      </c>
      <c r="AO1838" s="19" t="n">
        <v>22</v>
      </c>
      <c r="AP1838" s="19"/>
      <c r="AQ1838" s="19"/>
      <c r="AR1838" s="19"/>
      <c r="AS1838" s="20" t="str">
        <f aca="false">HYPERLINK("http://www.openstreetmap.org/?mlat=36.0919&amp;mlon=44.6633&amp;zoom=12#map=12/36.0919/44.6633","Maplink1")</f>
        <v>Maplink1</v>
      </c>
      <c r="AT1838" s="20" t="str">
        <f aca="false">HYPERLINK("https://www.google.iq/maps/search/+36.0919,44.6633/@36.0919,44.6633,14z?hl=en","Maplink2")</f>
        <v>Maplink2</v>
      </c>
      <c r="AU1838" s="20" t="str">
        <f aca="false">HYPERLINK("http://www.bing.com/maps/?lvl=14&amp;sty=h&amp;cp=36.0919~44.6633&amp;sp=point.36.0919_44.6633","Maplink3")</f>
        <v>Maplink3</v>
      </c>
    </row>
    <row r="1839" customFormat="false" ht="15" hidden="false" customHeight="true" outlineLevel="0" collapsed="false">
      <c r="A1839" s="15" t="n">
        <v>23657</v>
      </c>
      <c r="B1839" s="16" t="s">
        <v>21</v>
      </c>
      <c r="C1839" s="16" t="s">
        <v>3609</v>
      </c>
      <c r="D1839" s="16" t="s">
        <v>3622</v>
      </c>
      <c r="E1839" s="17" t="s">
        <v>3623</v>
      </c>
      <c r="F1839" s="16" t="n">
        <v>36.09202647</v>
      </c>
      <c r="G1839" s="16" t="n">
        <v>44.61453713</v>
      </c>
      <c r="H1839" s="18" t="n">
        <v>140</v>
      </c>
      <c r="I1839" s="18" t="n">
        <v>840</v>
      </c>
      <c r="J1839" s="19" t="n">
        <v>80</v>
      </c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 t="n">
        <v>60</v>
      </c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 t="n">
        <v>140</v>
      </c>
      <c r="AI1839" s="19"/>
      <c r="AJ1839" s="19"/>
      <c r="AK1839" s="19"/>
      <c r="AL1839" s="19" t="n">
        <v>80</v>
      </c>
      <c r="AM1839" s="19" t="n">
        <v>60</v>
      </c>
      <c r="AN1839" s="19"/>
      <c r="AO1839" s="19"/>
      <c r="AP1839" s="19"/>
      <c r="AQ1839" s="19"/>
      <c r="AR1839" s="19"/>
      <c r="AS1839" s="20" t="str">
        <f aca="false">HYPERLINK("http://www.openstreetmap.org/?mlat=36.092&amp;mlon=44.6145&amp;zoom=12#map=12/36.092/44.6145","Maplink1")</f>
        <v>Maplink1</v>
      </c>
      <c r="AT1839" s="20" t="str">
        <f aca="false">HYPERLINK("https://www.google.iq/maps/search/+36.092,44.6145/@36.092,44.6145,14z?hl=en","Maplink2")</f>
        <v>Maplink2</v>
      </c>
      <c r="AU1839" s="20" t="str">
        <f aca="false">HYPERLINK("http://www.bing.com/maps/?lvl=14&amp;sty=h&amp;cp=36.092~44.6145&amp;sp=point.36.092_44.6145","Maplink3")</f>
        <v>Maplink3</v>
      </c>
    </row>
    <row r="1840" customFormat="false" ht="15" hidden="false" customHeight="true" outlineLevel="0" collapsed="false">
      <c r="A1840" s="15" t="n">
        <v>23279</v>
      </c>
      <c r="B1840" s="16" t="s">
        <v>21</v>
      </c>
      <c r="C1840" s="16" t="s">
        <v>3609</v>
      </c>
      <c r="D1840" s="16" t="s">
        <v>3624</v>
      </c>
      <c r="E1840" s="17" t="s">
        <v>3625</v>
      </c>
      <c r="F1840" s="16" t="n">
        <v>36.07484445</v>
      </c>
      <c r="G1840" s="16" t="n">
        <v>44.63374333</v>
      </c>
      <c r="H1840" s="18" t="n">
        <v>26</v>
      </c>
      <c r="I1840" s="18" t="n">
        <v>156</v>
      </c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 t="n">
        <v>26</v>
      </c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 t="n">
        <v>26</v>
      </c>
      <c r="AI1840" s="19"/>
      <c r="AJ1840" s="19"/>
      <c r="AK1840" s="19"/>
      <c r="AL1840" s="19"/>
      <c r="AM1840" s="19"/>
      <c r="AN1840" s="19" t="n">
        <v>26</v>
      </c>
      <c r="AO1840" s="19"/>
      <c r="AP1840" s="19"/>
      <c r="AQ1840" s="19"/>
      <c r="AR1840" s="19"/>
      <c r="AS1840" s="20" t="str">
        <f aca="false">HYPERLINK("http://www.openstreetmap.org/?mlat=36.0748&amp;mlon=44.6337&amp;zoom=12#map=12/36.0748/44.6337","Maplink1")</f>
        <v>Maplink1</v>
      </c>
      <c r="AT1840" s="20" t="str">
        <f aca="false">HYPERLINK("https://www.google.iq/maps/search/+36.0748,44.6337/@36.0748,44.6337,14z?hl=en","Maplink2")</f>
        <v>Maplink2</v>
      </c>
      <c r="AU1840" s="20" t="str">
        <f aca="false">HYPERLINK("http://www.bing.com/maps/?lvl=14&amp;sty=h&amp;cp=36.0748~44.6337&amp;sp=point.36.0748_44.6337","Maplink3")</f>
        <v>Maplink3</v>
      </c>
    </row>
    <row r="1841" customFormat="false" ht="15" hidden="false" customHeight="true" outlineLevel="0" collapsed="false">
      <c r="A1841" s="15" t="n">
        <v>24599</v>
      </c>
      <c r="B1841" s="16" t="s">
        <v>21</v>
      </c>
      <c r="C1841" s="16" t="s">
        <v>3609</v>
      </c>
      <c r="D1841" s="16" t="s">
        <v>3626</v>
      </c>
      <c r="E1841" s="17" t="s">
        <v>3627</v>
      </c>
      <c r="F1841" s="16" t="n">
        <v>36.07646048</v>
      </c>
      <c r="G1841" s="16" t="n">
        <v>44.63177906</v>
      </c>
      <c r="H1841" s="18" t="n">
        <v>23</v>
      </c>
      <c r="I1841" s="18" t="n">
        <v>138</v>
      </c>
      <c r="J1841" s="19" t="n">
        <v>23</v>
      </c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 t="n">
        <v>23</v>
      </c>
      <c r="AI1841" s="19"/>
      <c r="AJ1841" s="19"/>
      <c r="AK1841" s="19"/>
      <c r="AL1841" s="19" t="n">
        <v>23</v>
      </c>
      <c r="AM1841" s="19"/>
      <c r="AN1841" s="19"/>
      <c r="AO1841" s="19"/>
      <c r="AP1841" s="19"/>
      <c r="AQ1841" s="19"/>
      <c r="AR1841" s="19"/>
      <c r="AS1841" s="20" t="str">
        <f aca="false">HYPERLINK("http://www.openstreetmap.org/?mlat=36.0765&amp;mlon=44.6318&amp;zoom=12#map=12/36.0765/44.6318","Maplink1")</f>
        <v>Maplink1</v>
      </c>
      <c r="AT1841" s="20" t="str">
        <f aca="false">HYPERLINK("https://www.google.iq/maps/search/+36.0765,44.6318/@36.0765,44.6318,14z?hl=en","Maplink2")</f>
        <v>Maplink2</v>
      </c>
      <c r="AU1841" s="20" t="str">
        <f aca="false">HYPERLINK("http://www.bing.com/maps/?lvl=14&amp;sty=h&amp;cp=36.0765~44.6318&amp;sp=point.36.0765_44.6318","Maplink3")</f>
        <v>Maplink3</v>
      </c>
    </row>
    <row r="1842" customFormat="false" ht="15" hidden="false" customHeight="true" outlineLevel="0" collapsed="false">
      <c r="A1842" s="15" t="n">
        <v>27222</v>
      </c>
      <c r="B1842" s="16" t="s">
        <v>21</v>
      </c>
      <c r="C1842" s="16" t="s">
        <v>3609</v>
      </c>
      <c r="D1842" s="16" t="s">
        <v>3628</v>
      </c>
      <c r="E1842" s="17" t="s">
        <v>3629</v>
      </c>
      <c r="F1842" s="16" t="n">
        <v>36.05791264</v>
      </c>
      <c r="G1842" s="16" t="n">
        <v>44.63645558</v>
      </c>
      <c r="H1842" s="18" t="n">
        <v>28</v>
      </c>
      <c r="I1842" s="18" t="n">
        <v>168</v>
      </c>
      <c r="J1842" s="19" t="n">
        <v>28</v>
      </c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 t="n">
        <v>28</v>
      </c>
      <c r="AI1842" s="19"/>
      <c r="AJ1842" s="19"/>
      <c r="AK1842" s="19"/>
      <c r="AL1842" s="19" t="n">
        <v>28</v>
      </c>
      <c r="AM1842" s="19"/>
      <c r="AN1842" s="19"/>
      <c r="AO1842" s="19"/>
      <c r="AP1842" s="19"/>
      <c r="AQ1842" s="19"/>
      <c r="AR1842" s="19"/>
      <c r="AS1842" s="20" t="str">
        <f aca="false">HYPERLINK("http://www.openstreetmap.org/?mlat=36.0579&amp;mlon=44.6365&amp;zoom=12#map=12/36.0579/44.6365","Maplink1")</f>
        <v>Maplink1</v>
      </c>
      <c r="AT1842" s="20" t="str">
        <f aca="false">HYPERLINK("https://www.google.iq/maps/search/+36.0579,44.6365/@36.0579,44.6365,14z?hl=en","Maplink2")</f>
        <v>Maplink2</v>
      </c>
      <c r="AU1842" s="20" t="str">
        <f aca="false">HYPERLINK("http://www.bing.com/maps/?lvl=14&amp;sty=h&amp;cp=36.0579~44.6365&amp;sp=point.36.0579_44.6365","Maplink3")</f>
        <v>Maplink3</v>
      </c>
    </row>
    <row r="1843" customFormat="false" ht="15" hidden="false" customHeight="true" outlineLevel="0" collapsed="false">
      <c r="A1843" s="15" t="n">
        <v>23280</v>
      </c>
      <c r="B1843" s="16" t="s">
        <v>21</v>
      </c>
      <c r="C1843" s="16" t="s">
        <v>3609</v>
      </c>
      <c r="D1843" s="16" t="s">
        <v>3630</v>
      </c>
      <c r="E1843" s="17" t="s">
        <v>3631</v>
      </c>
      <c r="F1843" s="16" t="n">
        <v>36.08712603</v>
      </c>
      <c r="G1843" s="16" t="n">
        <v>44.62612284</v>
      </c>
      <c r="H1843" s="18" t="n">
        <v>346</v>
      </c>
      <c r="I1843" s="18" t="n">
        <v>2076</v>
      </c>
      <c r="J1843" s="19" t="n">
        <v>113</v>
      </c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 t="n">
        <v>233</v>
      </c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 t="n">
        <v>346</v>
      </c>
      <c r="AI1843" s="19"/>
      <c r="AJ1843" s="19"/>
      <c r="AK1843" s="19"/>
      <c r="AL1843" s="19" t="n">
        <v>56</v>
      </c>
      <c r="AM1843" s="19" t="n">
        <v>233</v>
      </c>
      <c r="AN1843" s="19"/>
      <c r="AO1843" s="19"/>
      <c r="AP1843" s="19" t="n">
        <v>52</v>
      </c>
      <c r="AQ1843" s="19" t="n">
        <v>5</v>
      </c>
      <c r="AR1843" s="19"/>
      <c r="AS1843" s="20" t="str">
        <f aca="false">HYPERLINK("http://www.openstreetmap.org/?mlat=36.0871&amp;mlon=44.6261&amp;zoom=12#map=12/36.0871/44.6261","Maplink1")</f>
        <v>Maplink1</v>
      </c>
      <c r="AT1843" s="20" t="str">
        <f aca="false">HYPERLINK("https://www.google.iq/maps/search/+36.0871,44.6261/@36.0871,44.6261,14z?hl=en","Maplink2")</f>
        <v>Maplink2</v>
      </c>
      <c r="AU1843" s="20" t="str">
        <f aca="false">HYPERLINK("http://www.bing.com/maps/?lvl=14&amp;sty=h&amp;cp=36.0871~44.6261&amp;sp=point.36.0871_44.6261","Maplink3")</f>
        <v>Maplink3</v>
      </c>
    </row>
    <row r="1844" customFormat="false" ht="15" hidden="false" customHeight="true" outlineLevel="0" collapsed="false">
      <c r="A1844" s="15" t="n">
        <v>27220</v>
      </c>
      <c r="B1844" s="16" t="s">
        <v>21</v>
      </c>
      <c r="C1844" s="16" t="s">
        <v>3609</v>
      </c>
      <c r="D1844" s="16" t="s">
        <v>3632</v>
      </c>
      <c r="E1844" s="17" t="s">
        <v>3633</v>
      </c>
      <c r="F1844" s="16" t="n">
        <v>35.87254406</v>
      </c>
      <c r="G1844" s="16" t="n">
        <v>44.44981467</v>
      </c>
      <c r="H1844" s="18" t="n">
        <v>10</v>
      </c>
      <c r="I1844" s="18" t="n">
        <v>60</v>
      </c>
      <c r="J1844" s="19" t="n">
        <v>10</v>
      </c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 t="n">
        <v>10</v>
      </c>
      <c r="AI1844" s="19"/>
      <c r="AJ1844" s="19"/>
      <c r="AK1844" s="19"/>
      <c r="AL1844" s="19"/>
      <c r="AM1844" s="19"/>
      <c r="AN1844" s="19"/>
      <c r="AO1844" s="19"/>
      <c r="AP1844" s="19" t="n">
        <v>10</v>
      </c>
      <c r="AQ1844" s="19"/>
      <c r="AR1844" s="19"/>
      <c r="AS1844" s="20" t="str">
        <f aca="false">HYPERLINK("http://www.openstreetmap.org/?mlat=35.8725&amp;mlon=44.4498&amp;zoom=12#map=12/35.8725/44.4498","Maplink1")</f>
        <v>Maplink1</v>
      </c>
      <c r="AT1844" s="20" t="str">
        <f aca="false">HYPERLINK("https://www.google.iq/maps/search/+35.8725,44.4498/@35.8725,44.4498,14z?hl=en","Maplink2")</f>
        <v>Maplink2</v>
      </c>
      <c r="AU1844" s="20" t="str">
        <f aca="false">HYPERLINK("http://www.bing.com/maps/?lvl=14&amp;sty=h&amp;cp=35.8725~44.4498&amp;sp=point.35.8725_44.4498","Maplink3")</f>
        <v>Maplink3</v>
      </c>
    </row>
    <row r="1845" customFormat="false" ht="15" hidden="false" customHeight="true" outlineLevel="0" collapsed="false">
      <c r="A1845" s="15" t="n">
        <v>11887</v>
      </c>
      <c r="B1845" s="16" t="s">
        <v>21</v>
      </c>
      <c r="C1845" s="16" t="s">
        <v>3609</v>
      </c>
      <c r="D1845" s="16" t="s">
        <v>3634</v>
      </c>
      <c r="E1845" s="17" t="s">
        <v>3635</v>
      </c>
      <c r="F1845" s="16" t="n">
        <v>35.8919917</v>
      </c>
      <c r="G1845" s="16" t="n">
        <v>44.59045449</v>
      </c>
      <c r="H1845" s="18" t="n">
        <v>203</v>
      </c>
      <c r="I1845" s="18" t="n">
        <v>1218</v>
      </c>
      <c r="J1845" s="19" t="n">
        <v>20</v>
      </c>
      <c r="K1845" s="19"/>
      <c r="L1845" s="19" t="n">
        <v>17</v>
      </c>
      <c r="M1845" s="19"/>
      <c r="N1845" s="19"/>
      <c r="O1845" s="19" t="n">
        <v>24</v>
      </c>
      <c r="P1845" s="19"/>
      <c r="Q1845" s="19"/>
      <c r="R1845" s="19" t="n">
        <v>18</v>
      </c>
      <c r="S1845" s="19"/>
      <c r="T1845" s="19"/>
      <c r="U1845" s="19"/>
      <c r="V1845" s="19" t="n">
        <v>84</v>
      </c>
      <c r="W1845" s="19"/>
      <c r="X1845" s="19" t="n">
        <v>40</v>
      </c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 t="n">
        <v>203</v>
      </c>
      <c r="AI1845" s="19"/>
      <c r="AJ1845" s="19"/>
      <c r="AK1845" s="19"/>
      <c r="AL1845" s="19"/>
      <c r="AM1845" s="19" t="n">
        <v>143</v>
      </c>
      <c r="AN1845" s="19" t="n">
        <v>40</v>
      </c>
      <c r="AO1845" s="19"/>
      <c r="AP1845" s="19" t="n">
        <v>8</v>
      </c>
      <c r="AQ1845" s="19" t="n">
        <v>12</v>
      </c>
      <c r="AR1845" s="19"/>
      <c r="AS1845" s="20" t="str">
        <f aca="false">HYPERLINK("http://www.openstreetmap.org/?mlat=35.892&amp;mlon=44.5905&amp;zoom=12#map=12/35.892/44.5905","Maplink1")</f>
        <v>Maplink1</v>
      </c>
      <c r="AT1845" s="20" t="str">
        <f aca="false">HYPERLINK("https://www.google.iq/maps/search/+35.892,44.5905/@35.892,44.5905,14z?hl=en","Maplink2")</f>
        <v>Maplink2</v>
      </c>
      <c r="AU1845" s="20" t="str">
        <f aca="false">HYPERLINK("http://www.bing.com/maps/?lvl=14&amp;sty=h&amp;cp=35.892~44.5905&amp;sp=point.35.892_44.5905","Maplink3")</f>
        <v>Maplink3</v>
      </c>
    </row>
    <row r="1846" customFormat="false" ht="15" hidden="false" customHeight="true" outlineLevel="0" collapsed="false">
      <c r="A1846" s="15" t="n">
        <v>12698</v>
      </c>
      <c r="B1846" s="16" t="s">
        <v>21</v>
      </c>
      <c r="C1846" s="16" t="s">
        <v>3636</v>
      </c>
      <c r="D1846" s="16" t="s">
        <v>3637</v>
      </c>
      <c r="E1846" s="17" t="s">
        <v>3638</v>
      </c>
      <c r="F1846" s="16" t="n">
        <v>36.0872528</v>
      </c>
      <c r="G1846" s="16" t="n">
        <v>43.61596785</v>
      </c>
      <c r="H1846" s="18" t="n">
        <v>44</v>
      </c>
      <c r="I1846" s="18" t="n">
        <v>264</v>
      </c>
      <c r="J1846" s="19"/>
      <c r="K1846" s="19"/>
      <c r="L1846" s="19"/>
      <c r="M1846" s="19"/>
      <c r="N1846" s="19"/>
      <c r="O1846" s="19"/>
      <c r="P1846" s="19" t="n">
        <v>44</v>
      </c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 t="n">
        <v>44</v>
      </c>
      <c r="AI1846" s="19"/>
      <c r="AJ1846" s="19"/>
      <c r="AK1846" s="19"/>
      <c r="AL1846" s="19"/>
      <c r="AM1846" s="19"/>
      <c r="AN1846" s="19" t="n">
        <v>29</v>
      </c>
      <c r="AO1846" s="19" t="n">
        <v>15</v>
      </c>
      <c r="AP1846" s="19"/>
      <c r="AQ1846" s="19"/>
      <c r="AR1846" s="19"/>
      <c r="AS1846" s="20" t="str">
        <f aca="false">HYPERLINK("http://www.openstreetmap.org/?mlat=36.0873&amp;mlon=43.616&amp;zoom=12#map=12/36.0873/43.616","Maplink1")</f>
        <v>Maplink1</v>
      </c>
      <c r="AT1846" s="20" t="str">
        <f aca="false">HYPERLINK("https://www.google.iq/maps/search/+36.0873,43.616/@36.0873,43.616,14z?hl=en","Maplink2")</f>
        <v>Maplink2</v>
      </c>
      <c r="AU1846" s="20" t="str">
        <f aca="false">HYPERLINK("http://www.bing.com/maps/?lvl=14&amp;sty=h&amp;cp=36.0873~43.616&amp;sp=point.36.0873_43.616","Maplink3")</f>
        <v>Maplink3</v>
      </c>
    </row>
    <row r="1847" customFormat="false" ht="15" hidden="false" customHeight="true" outlineLevel="0" collapsed="false">
      <c r="A1847" s="15" t="n">
        <v>29541</v>
      </c>
      <c r="B1847" s="16" t="s">
        <v>21</v>
      </c>
      <c r="C1847" s="16" t="s">
        <v>3636</v>
      </c>
      <c r="D1847" s="16" t="s">
        <v>3639</v>
      </c>
      <c r="E1847" s="17" t="s">
        <v>3640</v>
      </c>
      <c r="F1847" s="16" t="n">
        <v>36.09417938</v>
      </c>
      <c r="G1847" s="16" t="n">
        <v>43.61215267</v>
      </c>
      <c r="H1847" s="18" t="n">
        <v>14</v>
      </c>
      <c r="I1847" s="18" t="n">
        <v>84</v>
      </c>
      <c r="J1847" s="19"/>
      <c r="K1847" s="19"/>
      <c r="L1847" s="19"/>
      <c r="M1847" s="19"/>
      <c r="N1847" s="19"/>
      <c r="O1847" s="19"/>
      <c r="P1847" s="19" t="n">
        <v>14</v>
      </c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 t="n">
        <v>14</v>
      </c>
      <c r="AI1847" s="19"/>
      <c r="AJ1847" s="19"/>
      <c r="AK1847" s="19"/>
      <c r="AL1847" s="19"/>
      <c r="AM1847" s="19" t="n">
        <v>8</v>
      </c>
      <c r="AN1847" s="19" t="n">
        <v>6</v>
      </c>
      <c r="AO1847" s="19"/>
      <c r="AP1847" s="19"/>
      <c r="AQ1847" s="19"/>
      <c r="AR1847" s="19"/>
      <c r="AS1847" s="20" t="str">
        <f aca="false">HYPERLINK("http://www.openstreetmap.org/?mlat=36.0942&amp;mlon=43.6122&amp;zoom=12#map=12/36.0942/43.6122","Maplink1")</f>
        <v>Maplink1</v>
      </c>
      <c r="AT1847" s="20" t="str">
        <f aca="false">HYPERLINK("https://www.google.iq/maps/search/+36.0942,43.6122/@36.0942,43.6122,14z?hl=en","Maplink2")</f>
        <v>Maplink2</v>
      </c>
      <c r="AU1847" s="20" t="str">
        <f aca="false">HYPERLINK("http://www.bing.com/maps/?lvl=14&amp;sty=h&amp;cp=36.0942~43.6122&amp;sp=point.36.0942_43.6122","Maplink3")</f>
        <v>Maplink3</v>
      </c>
    </row>
    <row r="1848" customFormat="false" ht="15" hidden="false" customHeight="true" outlineLevel="0" collapsed="false">
      <c r="A1848" s="15" t="n">
        <v>13489</v>
      </c>
      <c r="B1848" s="16" t="s">
        <v>21</v>
      </c>
      <c r="C1848" s="16" t="s">
        <v>3636</v>
      </c>
      <c r="D1848" s="16" t="s">
        <v>3641</v>
      </c>
      <c r="E1848" s="17" t="s">
        <v>3642</v>
      </c>
      <c r="F1848" s="16" t="n">
        <v>36.1279082</v>
      </c>
      <c r="G1848" s="16" t="n">
        <v>43.662067</v>
      </c>
      <c r="H1848" s="18" t="n">
        <v>17</v>
      </c>
      <c r="I1848" s="18" t="n">
        <v>102</v>
      </c>
      <c r="J1848" s="19"/>
      <c r="K1848" s="19"/>
      <c r="L1848" s="19"/>
      <c r="M1848" s="19"/>
      <c r="N1848" s="19"/>
      <c r="O1848" s="19"/>
      <c r="P1848" s="19" t="n">
        <v>17</v>
      </c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 t="n">
        <v>17</v>
      </c>
      <c r="AI1848" s="19"/>
      <c r="AJ1848" s="19"/>
      <c r="AK1848" s="19"/>
      <c r="AL1848" s="19"/>
      <c r="AM1848" s="19"/>
      <c r="AN1848" s="19" t="n">
        <v>9</v>
      </c>
      <c r="AO1848" s="19" t="n">
        <v>8</v>
      </c>
      <c r="AP1848" s="19"/>
      <c r="AQ1848" s="19"/>
      <c r="AR1848" s="19"/>
      <c r="AS1848" s="20" t="str">
        <f aca="false">HYPERLINK("http://www.openstreetmap.org/?mlat=36.1279&amp;mlon=43.6621&amp;zoom=12#map=12/36.1279/43.6621","Maplink1")</f>
        <v>Maplink1</v>
      </c>
      <c r="AT1848" s="20" t="str">
        <f aca="false">HYPERLINK("https://www.google.iq/maps/search/+36.1279,43.6621/@36.1279,43.6621,14z?hl=en","Maplink2")</f>
        <v>Maplink2</v>
      </c>
      <c r="AU1848" s="20" t="str">
        <f aca="false">HYPERLINK("http://www.bing.com/maps/?lvl=14&amp;sty=h&amp;cp=36.1279~43.6621&amp;sp=point.36.1279_43.6621","Maplink3")</f>
        <v>Maplink3</v>
      </c>
    </row>
    <row r="1849" customFormat="false" ht="15" hidden="false" customHeight="true" outlineLevel="0" collapsed="false">
      <c r="A1849" s="15" t="n">
        <v>29584</v>
      </c>
      <c r="B1849" s="16" t="s">
        <v>21</v>
      </c>
      <c r="C1849" s="16" t="s">
        <v>3636</v>
      </c>
      <c r="D1849" s="16" t="s">
        <v>3643</v>
      </c>
      <c r="E1849" s="17" t="s">
        <v>3644</v>
      </c>
      <c r="F1849" s="16" t="n">
        <v>35.8789</v>
      </c>
      <c r="G1849" s="16" t="n">
        <v>43.803</v>
      </c>
      <c r="H1849" s="18" t="n">
        <v>1554</v>
      </c>
      <c r="I1849" s="18" t="n">
        <v>9324</v>
      </c>
      <c r="J1849" s="19"/>
      <c r="K1849" s="19"/>
      <c r="L1849" s="19"/>
      <c r="M1849" s="19"/>
      <c r="N1849" s="19"/>
      <c r="O1849" s="19"/>
      <c r="P1849" s="19" t="n">
        <v>577</v>
      </c>
      <c r="Q1849" s="19"/>
      <c r="R1849" s="19" t="n">
        <v>127</v>
      </c>
      <c r="S1849" s="19"/>
      <c r="T1849" s="19"/>
      <c r="U1849" s="19"/>
      <c r="V1849" s="19" t="n">
        <v>679</v>
      </c>
      <c r="W1849" s="19"/>
      <c r="X1849" s="19" t="n">
        <v>171</v>
      </c>
      <c r="Y1849" s="19"/>
      <c r="Z1849" s="19"/>
      <c r="AA1849" s="19"/>
      <c r="AB1849" s="19" t="n">
        <v>1554</v>
      </c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  <c r="AO1849" s="19"/>
      <c r="AP1849" s="19"/>
      <c r="AQ1849" s="19" t="n">
        <v>1349</v>
      </c>
      <c r="AR1849" s="19" t="n">
        <v>205</v>
      </c>
      <c r="AS1849" s="20" t="str">
        <f aca="false">HYPERLINK("http://www.openstreetmap.org/?mlat=35.8789&amp;mlon=43.803&amp;zoom=12#map=12/35.8789/43.803","Maplink1")</f>
        <v>Maplink1</v>
      </c>
      <c r="AT1849" s="20" t="str">
        <f aca="false">HYPERLINK("https://www.google.iq/maps/search/+35.8789,43.803/@35.8789,43.803,14z?hl=en","Maplink2")</f>
        <v>Maplink2</v>
      </c>
      <c r="AU1849" s="20" t="str">
        <f aca="false">HYPERLINK("http://www.bing.com/maps/?lvl=14&amp;sty=h&amp;cp=35.8789~43.803&amp;sp=point.35.8789_43.803","Maplink3")</f>
        <v>Maplink3</v>
      </c>
    </row>
    <row r="1850" customFormat="false" ht="15" hidden="false" customHeight="true" outlineLevel="0" collapsed="false">
      <c r="A1850" s="15" t="n">
        <v>29540</v>
      </c>
      <c r="B1850" s="16" t="s">
        <v>21</v>
      </c>
      <c r="C1850" s="16" t="s">
        <v>3636</v>
      </c>
      <c r="D1850" s="16" t="s">
        <v>3645</v>
      </c>
      <c r="E1850" s="17" t="s">
        <v>3646</v>
      </c>
      <c r="F1850" s="16" t="n">
        <v>35.86943786</v>
      </c>
      <c r="G1850" s="16" t="n">
        <v>43.81446514</v>
      </c>
      <c r="H1850" s="18" t="n">
        <v>415</v>
      </c>
      <c r="I1850" s="18" t="n">
        <v>2490</v>
      </c>
      <c r="J1850" s="19"/>
      <c r="K1850" s="19"/>
      <c r="L1850" s="19"/>
      <c r="M1850" s="19"/>
      <c r="N1850" s="19"/>
      <c r="O1850" s="19"/>
      <c r="P1850" s="19" t="n">
        <v>170</v>
      </c>
      <c r="Q1850" s="19"/>
      <c r="R1850" s="19" t="n">
        <v>30</v>
      </c>
      <c r="S1850" s="19"/>
      <c r="T1850" s="19"/>
      <c r="U1850" s="19"/>
      <c r="V1850" s="19" t="n">
        <v>193</v>
      </c>
      <c r="W1850" s="19"/>
      <c r="X1850" s="19" t="n">
        <v>22</v>
      </c>
      <c r="Y1850" s="19"/>
      <c r="Z1850" s="19"/>
      <c r="AA1850" s="19"/>
      <c r="AB1850" s="19" t="n">
        <v>415</v>
      </c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  <c r="AO1850" s="19"/>
      <c r="AP1850" s="19"/>
      <c r="AQ1850" s="19" t="n">
        <v>391</v>
      </c>
      <c r="AR1850" s="19" t="n">
        <v>24</v>
      </c>
      <c r="AS1850" s="20" t="str">
        <f aca="false">HYPERLINK("http://www.openstreetmap.org/?mlat=35.8694&amp;mlon=43.8145&amp;zoom=12#map=12/35.8694/43.8145","Maplink1")</f>
        <v>Maplink1</v>
      </c>
      <c r="AT1850" s="20" t="str">
        <f aca="false">HYPERLINK("https://www.google.iq/maps/search/+35.8694,43.8145/@35.8694,43.8145,14z?hl=en","Maplink2")</f>
        <v>Maplink2</v>
      </c>
      <c r="AU1850" s="20" t="str">
        <f aca="false">HYPERLINK("http://www.bing.com/maps/?lvl=14&amp;sty=h&amp;cp=35.8694~43.8145&amp;sp=point.35.8694_43.8145","Maplink3")</f>
        <v>Maplink3</v>
      </c>
    </row>
    <row r="1851" customFormat="false" ht="15" hidden="false" customHeight="true" outlineLevel="0" collapsed="false">
      <c r="A1851" s="15" t="n">
        <v>13569</v>
      </c>
      <c r="B1851" s="16" t="s">
        <v>21</v>
      </c>
      <c r="C1851" s="16" t="s">
        <v>3636</v>
      </c>
      <c r="D1851" s="16" t="s">
        <v>3647</v>
      </c>
      <c r="E1851" s="17" t="s">
        <v>3648</v>
      </c>
      <c r="F1851" s="16" t="n">
        <v>35.88301684</v>
      </c>
      <c r="G1851" s="16" t="n">
        <v>43.80896931</v>
      </c>
      <c r="H1851" s="18" t="n">
        <v>2157</v>
      </c>
      <c r="I1851" s="18" t="n">
        <v>12942</v>
      </c>
      <c r="J1851" s="19"/>
      <c r="K1851" s="19"/>
      <c r="L1851" s="19"/>
      <c r="M1851" s="19"/>
      <c r="N1851" s="19"/>
      <c r="O1851" s="19"/>
      <c r="P1851" s="19" t="n">
        <v>1020</v>
      </c>
      <c r="Q1851" s="19"/>
      <c r="R1851" s="19" t="n">
        <v>367</v>
      </c>
      <c r="S1851" s="19"/>
      <c r="T1851" s="19"/>
      <c r="U1851" s="19"/>
      <c r="V1851" s="19" t="n">
        <v>530</v>
      </c>
      <c r="W1851" s="19"/>
      <c r="X1851" s="19" t="n">
        <v>240</v>
      </c>
      <c r="Y1851" s="19"/>
      <c r="Z1851" s="19"/>
      <c r="AA1851" s="19"/>
      <c r="AB1851" s="19" t="n">
        <v>2157</v>
      </c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 t="n">
        <v>449</v>
      </c>
      <c r="AN1851" s="19" t="n">
        <v>51</v>
      </c>
      <c r="AO1851" s="19"/>
      <c r="AP1851" s="19"/>
      <c r="AQ1851" s="19" t="n">
        <v>1175</v>
      </c>
      <c r="AR1851" s="19" t="n">
        <v>482</v>
      </c>
      <c r="AS1851" s="20" t="str">
        <f aca="false">HYPERLINK("http://www.openstreetmap.org/?mlat=35.883&amp;mlon=43.809&amp;zoom=12#map=12/35.883/43.809","Maplink1")</f>
        <v>Maplink1</v>
      </c>
      <c r="AT1851" s="20" t="str">
        <f aca="false">HYPERLINK("https://www.google.iq/maps/search/+35.883,43.809/@35.883,43.809,14z?hl=en","Maplink2")</f>
        <v>Maplink2</v>
      </c>
      <c r="AU1851" s="20" t="str">
        <f aca="false">HYPERLINK("http://www.bing.com/maps/?lvl=14&amp;sty=h&amp;cp=35.883~43.809&amp;sp=point.35.883_43.809","Maplink3")</f>
        <v>Maplink3</v>
      </c>
    </row>
    <row r="1852" customFormat="false" ht="15" hidden="false" customHeight="true" outlineLevel="0" collapsed="false">
      <c r="A1852" s="15" t="n">
        <v>13363</v>
      </c>
      <c r="B1852" s="16" t="s">
        <v>21</v>
      </c>
      <c r="C1852" s="16" t="s">
        <v>3636</v>
      </c>
      <c r="D1852" s="16" t="s">
        <v>3649</v>
      </c>
      <c r="E1852" s="17" t="s">
        <v>3650</v>
      </c>
      <c r="F1852" s="16" t="n">
        <v>36.08599627</v>
      </c>
      <c r="G1852" s="16" t="n">
        <v>43.56628806</v>
      </c>
      <c r="H1852" s="18" t="n">
        <v>43</v>
      </c>
      <c r="I1852" s="18" t="n">
        <v>258</v>
      </c>
      <c r="J1852" s="19"/>
      <c r="K1852" s="19"/>
      <c r="L1852" s="19"/>
      <c r="M1852" s="19"/>
      <c r="N1852" s="19"/>
      <c r="O1852" s="19"/>
      <c r="P1852" s="19" t="n">
        <v>43</v>
      </c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 t="n">
        <v>43</v>
      </c>
      <c r="AI1852" s="19"/>
      <c r="AJ1852" s="19"/>
      <c r="AK1852" s="19"/>
      <c r="AL1852" s="19"/>
      <c r="AM1852" s="19"/>
      <c r="AN1852" s="19" t="n">
        <v>26</v>
      </c>
      <c r="AO1852" s="19" t="n">
        <v>17</v>
      </c>
      <c r="AP1852" s="19"/>
      <c r="AQ1852" s="19"/>
      <c r="AR1852" s="19"/>
      <c r="AS1852" s="20" t="str">
        <f aca="false">HYPERLINK("http://www.openstreetmap.org/?mlat=36.086&amp;mlon=43.5663&amp;zoom=12#map=12/36.086/43.5663","Maplink1")</f>
        <v>Maplink1</v>
      </c>
      <c r="AT1852" s="20" t="str">
        <f aca="false">HYPERLINK("https://www.google.iq/maps/search/+36.086,43.5663/@36.086,43.5663,14z?hl=en","Maplink2")</f>
        <v>Maplink2</v>
      </c>
      <c r="AU1852" s="20" t="str">
        <f aca="false">HYPERLINK("http://www.bing.com/maps/?lvl=14&amp;sty=h&amp;cp=36.086~43.5663&amp;sp=point.36.086_43.5663","Maplink3")</f>
        <v>Maplink3</v>
      </c>
    </row>
    <row r="1853" customFormat="false" ht="15" hidden="false" customHeight="true" outlineLevel="0" collapsed="false">
      <c r="A1853" s="15" t="n">
        <v>13596</v>
      </c>
      <c r="B1853" s="16" t="s">
        <v>21</v>
      </c>
      <c r="C1853" s="16" t="s">
        <v>3636</v>
      </c>
      <c r="D1853" s="16" t="s">
        <v>3651</v>
      </c>
      <c r="E1853" s="17" t="s">
        <v>3652</v>
      </c>
      <c r="F1853" s="16" t="n">
        <v>36.11903112</v>
      </c>
      <c r="G1853" s="16" t="n">
        <v>43.59925024</v>
      </c>
      <c r="H1853" s="18" t="n">
        <v>64</v>
      </c>
      <c r="I1853" s="18" t="n">
        <v>384</v>
      </c>
      <c r="J1853" s="19"/>
      <c r="K1853" s="19"/>
      <c r="L1853" s="19"/>
      <c r="M1853" s="19"/>
      <c r="N1853" s="19"/>
      <c r="O1853" s="19"/>
      <c r="P1853" s="19" t="n">
        <v>64</v>
      </c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 t="n">
        <v>64</v>
      </c>
      <c r="AI1853" s="19"/>
      <c r="AJ1853" s="19"/>
      <c r="AK1853" s="19"/>
      <c r="AL1853" s="19"/>
      <c r="AM1853" s="19"/>
      <c r="AN1853" s="19" t="n">
        <v>44</v>
      </c>
      <c r="AO1853" s="19" t="n">
        <v>20</v>
      </c>
      <c r="AP1853" s="19"/>
      <c r="AQ1853" s="19"/>
      <c r="AR1853" s="19"/>
      <c r="AS1853" s="20" t="str">
        <f aca="false">HYPERLINK("http://www.openstreetmap.org/?mlat=36.119&amp;mlon=43.5993&amp;zoom=12#map=12/36.119/43.5993","Maplink1")</f>
        <v>Maplink1</v>
      </c>
      <c r="AT1853" s="20" t="str">
        <f aca="false">HYPERLINK("https://www.google.iq/maps/search/+36.119,43.5993/@36.119,43.5993,14z?hl=en","Maplink2")</f>
        <v>Maplink2</v>
      </c>
      <c r="AU1853" s="20" t="str">
        <f aca="false">HYPERLINK("http://www.bing.com/maps/?lvl=14&amp;sty=h&amp;cp=36.119~43.5993&amp;sp=point.36.119_43.5993","Maplink3")</f>
        <v>Maplink3</v>
      </c>
    </row>
    <row r="1854" customFormat="false" ht="15" hidden="false" customHeight="true" outlineLevel="0" collapsed="false">
      <c r="A1854" s="15" t="n">
        <v>25258</v>
      </c>
      <c r="B1854" s="16" t="s">
        <v>21</v>
      </c>
      <c r="C1854" s="16" t="s">
        <v>3636</v>
      </c>
      <c r="D1854" s="16" t="s">
        <v>3653</v>
      </c>
      <c r="E1854" s="17" t="s">
        <v>3654</v>
      </c>
      <c r="F1854" s="16" t="n">
        <v>36.0520967</v>
      </c>
      <c r="G1854" s="16" t="n">
        <v>43.56882691</v>
      </c>
      <c r="H1854" s="18" t="n">
        <v>75</v>
      </c>
      <c r="I1854" s="18" t="n">
        <v>450</v>
      </c>
      <c r="J1854" s="19"/>
      <c r="K1854" s="19"/>
      <c r="L1854" s="19"/>
      <c r="M1854" s="19"/>
      <c r="N1854" s="19"/>
      <c r="O1854" s="19"/>
      <c r="P1854" s="19" t="n">
        <v>75</v>
      </c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 t="n">
        <v>75</v>
      </c>
      <c r="AI1854" s="19"/>
      <c r="AJ1854" s="19"/>
      <c r="AK1854" s="19"/>
      <c r="AL1854" s="19"/>
      <c r="AM1854" s="19"/>
      <c r="AN1854" s="19" t="n">
        <v>61</v>
      </c>
      <c r="AO1854" s="19" t="n">
        <v>14</v>
      </c>
      <c r="AP1854" s="19"/>
      <c r="AQ1854" s="19"/>
      <c r="AR1854" s="19"/>
      <c r="AS1854" s="20" t="str">
        <f aca="false">HYPERLINK("http://www.openstreetmap.org/?mlat=36.0521&amp;mlon=43.5688&amp;zoom=12#map=12/36.0521/43.5688","Maplink1")</f>
        <v>Maplink1</v>
      </c>
      <c r="AT1854" s="20" t="str">
        <f aca="false">HYPERLINK("https://www.google.iq/maps/search/+36.0521,43.5688/@36.0521,43.5688,14z?hl=en","Maplink2")</f>
        <v>Maplink2</v>
      </c>
      <c r="AU1854" s="20" t="str">
        <f aca="false">HYPERLINK("http://www.bing.com/maps/?lvl=14&amp;sty=h&amp;cp=36.0521~43.5688&amp;sp=point.36.0521_43.5688","Maplink3")</f>
        <v>Maplink3</v>
      </c>
    </row>
    <row r="1855" customFormat="false" ht="15" hidden="false" customHeight="true" outlineLevel="0" collapsed="false">
      <c r="A1855" s="15" t="n">
        <v>11916</v>
      </c>
      <c r="B1855" s="16" t="s">
        <v>21</v>
      </c>
      <c r="C1855" s="16" t="s">
        <v>3636</v>
      </c>
      <c r="D1855" s="16" t="s">
        <v>3655</v>
      </c>
      <c r="E1855" s="17" t="s">
        <v>3656</v>
      </c>
      <c r="F1855" s="16" t="n">
        <v>36.11195077</v>
      </c>
      <c r="G1855" s="16" t="n">
        <v>43.59134026</v>
      </c>
      <c r="H1855" s="18" t="n">
        <v>46</v>
      </c>
      <c r="I1855" s="18" t="n">
        <v>276</v>
      </c>
      <c r="J1855" s="19"/>
      <c r="K1855" s="19"/>
      <c r="L1855" s="19"/>
      <c r="M1855" s="19"/>
      <c r="N1855" s="19"/>
      <c r="O1855" s="19"/>
      <c r="P1855" s="19" t="n">
        <v>46</v>
      </c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 t="n">
        <v>46</v>
      </c>
      <c r="AI1855" s="19"/>
      <c r="AJ1855" s="19"/>
      <c r="AK1855" s="19"/>
      <c r="AL1855" s="19"/>
      <c r="AM1855" s="19"/>
      <c r="AN1855" s="19" t="n">
        <v>34</v>
      </c>
      <c r="AO1855" s="19" t="n">
        <v>12</v>
      </c>
      <c r="AP1855" s="19"/>
      <c r="AQ1855" s="19"/>
      <c r="AR1855" s="19"/>
      <c r="AS1855" s="20" t="str">
        <f aca="false">HYPERLINK("http://www.openstreetmap.org/?mlat=36.112&amp;mlon=43.5913&amp;zoom=12#map=12/36.112/43.5913","Maplink1")</f>
        <v>Maplink1</v>
      </c>
      <c r="AT1855" s="20" t="str">
        <f aca="false">HYPERLINK("https://www.google.iq/maps/search/+36.112,43.5913/@36.112,43.5913,14z?hl=en","Maplink2")</f>
        <v>Maplink2</v>
      </c>
      <c r="AU1855" s="20" t="str">
        <f aca="false">HYPERLINK("http://www.bing.com/maps/?lvl=14&amp;sty=h&amp;cp=36.112~43.5913&amp;sp=point.36.112_43.5913","Maplink3")</f>
        <v>Maplink3</v>
      </c>
    </row>
    <row r="1856" customFormat="false" ht="15" hidden="false" customHeight="true" outlineLevel="0" collapsed="false">
      <c r="A1856" s="15" t="n">
        <v>11920</v>
      </c>
      <c r="B1856" s="16" t="s">
        <v>21</v>
      </c>
      <c r="C1856" s="16" t="s">
        <v>3636</v>
      </c>
      <c r="D1856" s="16" t="s">
        <v>3657</v>
      </c>
      <c r="E1856" s="17" t="s">
        <v>3658</v>
      </c>
      <c r="F1856" s="16" t="n">
        <v>36.12651096</v>
      </c>
      <c r="G1856" s="16" t="n">
        <v>43.71500218</v>
      </c>
      <c r="H1856" s="18" t="n">
        <v>14</v>
      </c>
      <c r="I1856" s="18" t="n">
        <v>84</v>
      </c>
      <c r="J1856" s="19"/>
      <c r="K1856" s="19"/>
      <c r="L1856" s="19"/>
      <c r="M1856" s="19"/>
      <c r="N1856" s="19"/>
      <c r="O1856" s="19"/>
      <c r="P1856" s="19" t="n">
        <v>14</v>
      </c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 t="n">
        <v>14</v>
      </c>
      <c r="AI1856" s="19"/>
      <c r="AJ1856" s="19"/>
      <c r="AK1856" s="19"/>
      <c r="AL1856" s="19"/>
      <c r="AM1856" s="19" t="n">
        <v>7</v>
      </c>
      <c r="AN1856" s="19" t="n">
        <v>7</v>
      </c>
      <c r="AO1856" s="19"/>
      <c r="AP1856" s="19"/>
      <c r="AQ1856" s="19"/>
      <c r="AR1856" s="19"/>
      <c r="AS1856" s="20" t="str">
        <f aca="false">HYPERLINK("http://www.openstreetmap.org/?mlat=36.1265&amp;mlon=43.715&amp;zoom=12#map=12/36.1265/43.715","Maplink1")</f>
        <v>Maplink1</v>
      </c>
      <c r="AT1856" s="20" t="str">
        <f aca="false">HYPERLINK("https://www.google.iq/maps/search/+36.1265,43.715/@36.1265,43.715,14z?hl=en","Maplink2")</f>
        <v>Maplink2</v>
      </c>
      <c r="AU1856" s="20" t="str">
        <f aca="false">HYPERLINK("http://www.bing.com/maps/?lvl=14&amp;sty=h&amp;cp=36.1265~43.715&amp;sp=point.36.1265_43.715","Maplink3")</f>
        <v>Maplink3</v>
      </c>
    </row>
    <row r="1857" customFormat="false" ht="15" hidden="false" customHeight="true" outlineLevel="0" collapsed="false">
      <c r="A1857" s="15" t="n">
        <v>12634</v>
      </c>
      <c r="B1857" s="16" t="s">
        <v>21</v>
      </c>
      <c r="C1857" s="16" t="s">
        <v>3636</v>
      </c>
      <c r="D1857" s="16" t="s">
        <v>3659</v>
      </c>
      <c r="E1857" s="17" t="s">
        <v>3660</v>
      </c>
      <c r="F1857" s="16" t="n">
        <v>36.0808609</v>
      </c>
      <c r="G1857" s="16" t="n">
        <v>43.58380394</v>
      </c>
      <c r="H1857" s="18" t="n">
        <v>96</v>
      </c>
      <c r="I1857" s="18" t="n">
        <v>576</v>
      </c>
      <c r="J1857" s="19"/>
      <c r="K1857" s="19"/>
      <c r="L1857" s="19"/>
      <c r="M1857" s="19"/>
      <c r="N1857" s="19"/>
      <c r="O1857" s="19"/>
      <c r="P1857" s="19" t="n">
        <v>96</v>
      </c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 t="n">
        <v>96</v>
      </c>
      <c r="AI1857" s="19"/>
      <c r="AJ1857" s="19"/>
      <c r="AK1857" s="19"/>
      <c r="AL1857" s="19"/>
      <c r="AM1857" s="19"/>
      <c r="AN1857" s="19" t="n">
        <v>63</v>
      </c>
      <c r="AO1857" s="19" t="n">
        <v>33</v>
      </c>
      <c r="AP1857" s="19"/>
      <c r="AQ1857" s="19"/>
      <c r="AR1857" s="19"/>
      <c r="AS1857" s="20" t="str">
        <f aca="false">HYPERLINK("http://www.openstreetmap.org/?mlat=36.0809&amp;mlon=43.5838&amp;zoom=12#map=12/36.0809/43.5838","Maplink1")</f>
        <v>Maplink1</v>
      </c>
      <c r="AT1857" s="20" t="str">
        <f aca="false">HYPERLINK("https://www.google.iq/maps/search/+36.0809,43.5838/@36.0809,43.5838,14z?hl=en","Maplink2")</f>
        <v>Maplink2</v>
      </c>
      <c r="AU1857" s="20" t="str">
        <f aca="false">HYPERLINK("http://www.bing.com/maps/?lvl=14&amp;sty=h&amp;cp=36.0809~43.5838&amp;sp=point.36.0809_43.5838","Maplink3")</f>
        <v>Maplink3</v>
      </c>
    </row>
    <row r="1858" customFormat="false" ht="15" hidden="false" customHeight="true" outlineLevel="0" collapsed="false">
      <c r="A1858" s="15" t="n">
        <v>11919</v>
      </c>
      <c r="B1858" s="16" t="s">
        <v>21</v>
      </c>
      <c r="C1858" s="16" t="s">
        <v>3636</v>
      </c>
      <c r="D1858" s="16" t="s">
        <v>3661</v>
      </c>
      <c r="E1858" s="17" t="s">
        <v>3662</v>
      </c>
      <c r="F1858" s="16" t="n">
        <v>36.09053256</v>
      </c>
      <c r="G1858" s="16" t="n">
        <v>43.63120455</v>
      </c>
      <c r="H1858" s="18" t="n">
        <v>13</v>
      </c>
      <c r="I1858" s="18" t="n">
        <v>78</v>
      </c>
      <c r="J1858" s="19"/>
      <c r="K1858" s="19"/>
      <c r="L1858" s="19"/>
      <c r="M1858" s="19"/>
      <c r="N1858" s="19"/>
      <c r="O1858" s="19"/>
      <c r="P1858" s="19" t="n">
        <v>13</v>
      </c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 t="n">
        <v>13</v>
      </c>
      <c r="AI1858" s="19"/>
      <c r="AJ1858" s="19"/>
      <c r="AK1858" s="19"/>
      <c r="AL1858" s="19"/>
      <c r="AM1858" s="19" t="n">
        <v>8</v>
      </c>
      <c r="AN1858" s="19" t="n">
        <v>5</v>
      </c>
      <c r="AO1858" s="19"/>
      <c r="AP1858" s="19"/>
      <c r="AQ1858" s="19"/>
      <c r="AR1858" s="19"/>
      <c r="AS1858" s="20" t="str">
        <f aca="false">HYPERLINK("http://www.openstreetmap.org/?mlat=36.0905&amp;mlon=43.6312&amp;zoom=12#map=12/36.0905/43.6312","Maplink1")</f>
        <v>Maplink1</v>
      </c>
      <c r="AT1858" s="20" t="str">
        <f aca="false">HYPERLINK("https://www.google.iq/maps/search/+36.0905,43.6312/@36.0905,43.6312,14z?hl=en","Maplink2")</f>
        <v>Maplink2</v>
      </c>
      <c r="AU1858" s="20" t="str">
        <f aca="false">HYPERLINK("http://www.bing.com/maps/?lvl=14&amp;sty=h&amp;cp=36.0905~43.6312&amp;sp=point.36.0905_43.6312","Maplink3")</f>
        <v>Maplink3</v>
      </c>
    </row>
    <row r="1859" customFormat="false" ht="15" hidden="false" customHeight="true" outlineLevel="0" collapsed="false">
      <c r="A1859" s="15" t="n">
        <v>29542</v>
      </c>
      <c r="B1859" s="16" t="s">
        <v>21</v>
      </c>
      <c r="C1859" s="16" t="s">
        <v>3636</v>
      </c>
      <c r="D1859" s="16" t="s">
        <v>3663</v>
      </c>
      <c r="E1859" s="17" t="s">
        <v>3664</v>
      </c>
      <c r="F1859" s="16" t="n">
        <v>36.241</v>
      </c>
      <c r="G1859" s="16" t="n">
        <v>43.7566</v>
      </c>
      <c r="H1859" s="18" t="n">
        <v>9</v>
      </c>
      <c r="I1859" s="18" t="n">
        <v>54</v>
      </c>
      <c r="J1859" s="19"/>
      <c r="K1859" s="19"/>
      <c r="L1859" s="19"/>
      <c r="M1859" s="19"/>
      <c r="N1859" s="19"/>
      <c r="O1859" s="19"/>
      <c r="P1859" s="19" t="n">
        <v>9</v>
      </c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 t="n">
        <v>9</v>
      </c>
      <c r="AI1859" s="19"/>
      <c r="AJ1859" s="19"/>
      <c r="AK1859" s="19"/>
      <c r="AL1859" s="19"/>
      <c r="AM1859" s="19" t="n">
        <v>7</v>
      </c>
      <c r="AN1859" s="19" t="n">
        <v>2</v>
      </c>
      <c r="AO1859" s="19"/>
      <c r="AP1859" s="19"/>
      <c r="AQ1859" s="19"/>
      <c r="AR1859" s="19"/>
      <c r="AS1859" s="20" t="str">
        <f aca="false">HYPERLINK("http://www.openstreetmap.org/?mlat=36.241&amp;mlon=43.7566&amp;zoom=12#map=12/36.241/43.7566","Maplink1")</f>
        <v>Maplink1</v>
      </c>
      <c r="AT1859" s="20" t="str">
        <f aca="false">HYPERLINK("https://www.google.iq/maps/search/+36.241,43.7566/@36.241,43.7566,14z?hl=en","Maplink2")</f>
        <v>Maplink2</v>
      </c>
      <c r="AU1859" s="20" t="str">
        <f aca="false">HYPERLINK("http://www.bing.com/maps/?lvl=14&amp;sty=h&amp;cp=36.241~43.7566&amp;sp=point.36.241_43.7566","Maplink3")</f>
        <v>Maplink3</v>
      </c>
    </row>
    <row r="1860" customFormat="false" ht="15" hidden="false" customHeight="true" outlineLevel="0" collapsed="false">
      <c r="A1860" s="15" t="n">
        <v>27225</v>
      </c>
      <c r="B1860" s="16" t="s">
        <v>21</v>
      </c>
      <c r="C1860" s="16" t="s">
        <v>3665</v>
      </c>
      <c r="D1860" s="16" t="s">
        <v>3666</v>
      </c>
      <c r="E1860" s="17" t="s">
        <v>3667</v>
      </c>
      <c r="F1860" s="16" t="n">
        <v>36.8351634</v>
      </c>
      <c r="G1860" s="16" t="n">
        <v>44.31333866</v>
      </c>
      <c r="H1860" s="18" t="n">
        <v>65</v>
      </c>
      <c r="I1860" s="18" t="n">
        <v>390</v>
      </c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 t="n">
        <v>65</v>
      </c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 t="n">
        <v>65</v>
      </c>
      <c r="AI1860" s="19"/>
      <c r="AJ1860" s="19"/>
      <c r="AK1860" s="19"/>
      <c r="AL1860" s="19"/>
      <c r="AM1860" s="19" t="n">
        <v>65</v>
      </c>
      <c r="AN1860" s="19"/>
      <c r="AO1860" s="19"/>
      <c r="AP1860" s="19"/>
      <c r="AQ1860" s="19"/>
      <c r="AR1860" s="19"/>
      <c r="AS1860" s="20" t="str">
        <f aca="false">HYPERLINK("http://www.openstreetmap.org/?mlat=36.8352&amp;mlon=44.3133&amp;zoom=12#map=12/36.8352/44.3133","Maplink1")</f>
        <v>Maplink1</v>
      </c>
      <c r="AT1860" s="20" t="str">
        <f aca="false">HYPERLINK("https://www.google.iq/maps/search/+36.8352,44.3133/@36.8352,44.3133,14z?hl=en","Maplink2")</f>
        <v>Maplink2</v>
      </c>
      <c r="AU1860" s="20" t="str">
        <f aca="false">HYPERLINK("http://www.bing.com/maps/?lvl=14&amp;sty=h&amp;cp=36.8352~44.3133&amp;sp=point.36.8352_44.3133","Maplink3")</f>
        <v>Maplink3</v>
      </c>
    </row>
    <row r="1861" customFormat="false" ht="15" hidden="false" customHeight="true" outlineLevel="0" collapsed="false">
      <c r="A1861" s="15" t="n">
        <v>23910</v>
      </c>
      <c r="B1861" s="16" t="s">
        <v>21</v>
      </c>
      <c r="C1861" s="16" t="s">
        <v>3668</v>
      </c>
      <c r="D1861" s="16" t="s">
        <v>3669</v>
      </c>
      <c r="E1861" s="17" t="s">
        <v>3670</v>
      </c>
      <c r="F1861" s="16" t="n">
        <v>36.34545</v>
      </c>
      <c r="G1861" s="16" t="n">
        <v>44.40804</v>
      </c>
      <c r="H1861" s="18" t="n">
        <v>63</v>
      </c>
      <c r="I1861" s="18" t="n">
        <v>378</v>
      </c>
      <c r="J1861" s="19" t="n">
        <v>63</v>
      </c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 t="n">
        <v>63</v>
      </c>
      <c r="AI1861" s="19"/>
      <c r="AJ1861" s="19"/>
      <c r="AK1861" s="19"/>
      <c r="AL1861" s="19" t="n">
        <v>23</v>
      </c>
      <c r="AM1861" s="19"/>
      <c r="AN1861" s="19"/>
      <c r="AO1861" s="19"/>
      <c r="AP1861" s="19" t="n">
        <v>40</v>
      </c>
      <c r="AQ1861" s="19"/>
      <c r="AR1861" s="19"/>
      <c r="AS1861" s="20" t="str">
        <f aca="false">HYPERLINK("http://www.openstreetmap.org/?mlat=36.3455&amp;mlon=44.408&amp;zoom=12#map=12/36.3455/44.408","Maplink1")</f>
        <v>Maplink1</v>
      </c>
      <c r="AT1861" s="20" t="str">
        <f aca="false">HYPERLINK("https://www.google.iq/maps/search/+36.3455,44.408/@36.3455,44.408,14z?hl=en","Maplink2")</f>
        <v>Maplink2</v>
      </c>
      <c r="AU1861" s="20" t="str">
        <f aca="false">HYPERLINK("http://www.bing.com/maps/?lvl=14&amp;sty=h&amp;cp=36.3455~44.408&amp;sp=point.36.3455_44.408","Maplink3")</f>
        <v>Maplink3</v>
      </c>
    </row>
    <row r="1862" customFormat="false" ht="15" hidden="false" customHeight="true" outlineLevel="0" collapsed="false">
      <c r="A1862" s="15" t="n">
        <v>23907</v>
      </c>
      <c r="B1862" s="16" t="s">
        <v>21</v>
      </c>
      <c r="C1862" s="16" t="s">
        <v>3668</v>
      </c>
      <c r="D1862" s="16" t="s">
        <v>3671</v>
      </c>
      <c r="E1862" s="17" t="s">
        <v>3672</v>
      </c>
      <c r="F1862" s="16" t="n">
        <v>36.40244339</v>
      </c>
      <c r="G1862" s="16" t="n">
        <v>44.3443616</v>
      </c>
      <c r="H1862" s="18" t="n">
        <v>712</v>
      </c>
      <c r="I1862" s="18" t="n">
        <v>4272</v>
      </c>
      <c r="J1862" s="19" t="n">
        <v>658</v>
      </c>
      <c r="K1862" s="19"/>
      <c r="L1862" s="19" t="n">
        <v>10</v>
      </c>
      <c r="M1862" s="19"/>
      <c r="N1862" s="19"/>
      <c r="O1862" s="19" t="n">
        <v>10</v>
      </c>
      <c r="P1862" s="19"/>
      <c r="Q1862" s="19"/>
      <c r="R1862" s="19"/>
      <c r="S1862" s="19"/>
      <c r="T1862" s="19"/>
      <c r="U1862" s="19"/>
      <c r="V1862" s="19" t="n">
        <v>20</v>
      </c>
      <c r="W1862" s="19"/>
      <c r="X1862" s="19" t="n">
        <v>14</v>
      </c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 t="n">
        <v>712</v>
      </c>
      <c r="AI1862" s="19"/>
      <c r="AJ1862" s="19"/>
      <c r="AK1862" s="19"/>
      <c r="AL1862" s="19" t="n">
        <v>325</v>
      </c>
      <c r="AM1862" s="19"/>
      <c r="AN1862" s="19" t="n">
        <v>12</v>
      </c>
      <c r="AO1862" s="19" t="n">
        <v>47</v>
      </c>
      <c r="AP1862" s="19" t="n">
        <v>278</v>
      </c>
      <c r="AQ1862" s="19" t="n">
        <v>50</v>
      </c>
      <c r="AR1862" s="19"/>
      <c r="AS1862" s="20" t="str">
        <f aca="false">HYPERLINK("http://www.openstreetmap.org/?mlat=36.4024&amp;mlon=44.3444&amp;zoom=12#map=12/36.4024/44.3444","Maplink1")</f>
        <v>Maplink1</v>
      </c>
      <c r="AT1862" s="20" t="str">
        <f aca="false">HYPERLINK("https://www.google.iq/maps/search/+36.4024,44.3444/@36.4024,44.3444,14z?hl=en","Maplink2")</f>
        <v>Maplink2</v>
      </c>
      <c r="AU1862" s="20" t="str">
        <f aca="false">HYPERLINK("http://www.bing.com/maps/?lvl=14&amp;sty=h&amp;cp=36.4024~44.3444&amp;sp=point.36.4024_44.3444","Maplink3")</f>
        <v>Maplink3</v>
      </c>
    </row>
    <row r="1863" customFormat="false" ht="15" hidden="false" customHeight="true" outlineLevel="0" collapsed="false">
      <c r="A1863" s="15" t="n">
        <v>23713</v>
      </c>
      <c r="B1863" s="16" t="s">
        <v>21</v>
      </c>
      <c r="C1863" s="16" t="s">
        <v>3668</v>
      </c>
      <c r="D1863" s="16" t="s">
        <v>3673</v>
      </c>
      <c r="E1863" s="17" t="s">
        <v>3674</v>
      </c>
      <c r="F1863" s="16" t="n">
        <v>36.39722204</v>
      </c>
      <c r="G1863" s="16" t="n">
        <v>44.34328685</v>
      </c>
      <c r="H1863" s="18" t="n">
        <v>333</v>
      </c>
      <c r="I1863" s="18" t="n">
        <v>1998</v>
      </c>
      <c r="J1863" s="19" t="n">
        <v>220</v>
      </c>
      <c r="K1863" s="19"/>
      <c r="L1863" s="19" t="n">
        <v>10</v>
      </c>
      <c r="M1863" s="19"/>
      <c r="N1863" s="19"/>
      <c r="O1863" s="19" t="n">
        <v>8</v>
      </c>
      <c r="P1863" s="19"/>
      <c r="Q1863" s="19"/>
      <c r="R1863" s="19"/>
      <c r="S1863" s="19"/>
      <c r="T1863" s="19"/>
      <c r="U1863" s="19"/>
      <c r="V1863" s="19" t="n">
        <v>30</v>
      </c>
      <c r="W1863" s="19"/>
      <c r="X1863" s="19" t="n">
        <v>65</v>
      </c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 t="n">
        <v>333</v>
      </c>
      <c r="AI1863" s="19"/>
      <c r="AJ1863" s="19"/>
      <c r="AK1863" s="19"/>
      <c r="AL1863" s="19" t="n">
        <v>103</v>
      </c>
      <c r="AM1863" s="19"/>
      <c r="AN1863" s="19" t="n">
        <v>60</v>
      </c>
      <c r="AO1863" s="19" t="n">
        <v>33</v>
      </c>
      <c r="AP1863" s="19" t="n">
        <v>80</v>
      </c>
      <c r="AQ1863" s="19" t="n">
        <v>57</v>
      </c>
      <c r="AR1863" s="19"/>
      <c r="AS1863" s="20" t="str">
        <f aca="false">HYPERLINK("http://www.openstreetmap.org/?mlat=36.3972&amp;mlon=44.3433&amp;zoom=12#map=12/36.3972/44.3433","Maplink1")</f>
        <v>Maplink1</v>
      </c>
      <c r="AT1863" s="20" t="str">
        <f aca="false">HYPERLINK("https://www.google.iq/maps/search/+36.3972,44.3433/@36.3972,44.3433,14z?hl=en","Maplink2")</f>
        <v>Maplink2</v>
      </c>
      <c r="AU1863" s="20" t="str">
        <f aca="false">HYPERLINK("http://www.bing.com/maps/?lvl=14&amp;sty=h&amp;cp=36.3972~44.3433&amp;sp=point.36.3972_44.3433","Maplink3")</f>
        <v>Maplink3</v>
      </c>
    </row>
    <row r="1864" customFormat="false" ht="15" hidden="false" customHeight="true" outlineLevel="0" collapsed="false">
      <c r="A1864" s="15" t="n">
        <v>27141</v>
      </c>
      <c r="B1864" s="16" t="s">
        <v>21</v>
      </c>
      <c r="C1864" s="16" t="s">
        <v>3668</v>
      </c>
      <c r="D1864" s="16" t="s">
        <v>3675</v>
      </c>
      <c r="E1864" s="17" t="s">
        <v>3676</v>
      </c>
      <c r="F1864" s="16" t="n">
        <v>36.4986544</v>
      </c>
      <c r="G1864" s="16" t="n">
        <v>44.35886476</v>
      </c>
      <c r="H1864" s="18" t="n">
        <v>80</v>
      </c>
      <c r="I1864" s="18" t="n">
        <v>480</v>
      </c>
      <c r="J1864" s="19" t="n">
        <v>69</v>
      </c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 t="n">
        <v>8</v>
      </c>
      <c r="W1864" s="19"/>
      <c r="X1864" s="19" t="n">
        <v>3</v>
      </c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 t="n">
        <v>80</v>
      </c>
      <c r="AI1864" s="19"/>
      <c r="AJ1864" s="19"/>
      <c r="AK1864" s="19"/>
      <c r="AL1864" s="19"/>
      <c r="AM1864" s="19"/>
      <c r="AN1864" s="19" t="n">
        <v>75</v>
      </c>
      <c r="AO1864" s="19"/>
      <c r="AP1864" s="19"/>
      <c r="AQ1864" s="19" t="n">
        <v>5</v>
      </c>
      <c r="AR1864" s="19"/>
      <c r="AS1864" s="20" t="str">
        <f aca="false">HYPERLINK("http://www.openstreetmap.org/?mlat=36.4987&amp;mlon=44.3589&amp;zoom=12#map=12/36.4987/44.3589","Maplink1")</f>
        <v>Maplink1</v>
      </c>
      <c r="AT1864" s="20" t="str">
        <f aca="false">HYPERLINK("https://www.google.iq/maps/search/+36.4987,44.3589/@36.4987,44.3589,14z?hl=en","Maplink2")</f>
        <v>Maplink2</v>
      </c>
      <c r="AU1864" s="20" t="str">
        <f aca="false">HYPERLINK("http://www.bing.com/maps/?lvl=14&amp;sty=h&amp;cp=36.4987~44.3589&amp;sp=point.36.4987_44.3589","Maplink3")</f>
        <v>Maplink3</v>
      </c>
    </row>
    <row r="1865" customFormat="false" ht="15" hidden="false" customHeight="true" outlineLevel="0" collapsed="false">
      <c r="A1865" s="15" t="n">
        <v>12172</v>
      </c>
      <c r="B1865" s="16" t="s">
        <v>21</v>
      </c>
      <c r="C1865" s="16" t="s">
        <v>3668</v>
      </c>
      <c r="D1865" s="16" t="s">
        <v>3677</v>
      </c>
      <c r="E1865" s="17" t="s">
        <v>3678</v>
      </c>
      <c r="F1865" s="16" t="n">
        <v>36.54982527</v>
      </c>
      <c r="G1865" s="16" t="n">
        <v>44.35329803</v>
      </c>
      <c r="H1865" s="18" t="n">
        <v>638</v>
      </c>
      <c r="I1865" s="18" t="n">
        <v>3828</v>
      </c>
      <c r="J1865" s="19" t="n">
        <v>582</v>
      </c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 t="n">
        <v>56</v>
      </c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 t="n">
        <v>638</v>
      </c>
      <c r="AI1865" s="19"/>
      <c r="AJ1865" s="19"/>
      <c r="AK1865" s="19"/>
      <c r="AL1865" s="19" t="n">
        <v>129</v>
      </c>
      <c r="AM1865" s="19" t="n">
        <v>21</v>
      </c>
      <c r="AN1865" s="19"/>
      <c r="AO1865" s="19" t="n">
        <v>421</v>
      </c>
      <c r="AP1865" s="19"/>
      <c r="AQ1865" s="19" t="n">
        <v>67</v>
      </c>
      <c r="AR1865" s="19"/>
      <c r="AS1865" s="20" t="str">
        <f aca="false">HYPERLINK("http://www.openstreetmap.org/?mlat=36.5498&amp;mlon=44.3533&amp;zoom=12#map=12/36.5498/44.3533","Maplink1")</f>
        <v>Maplink1</v>
      </c>
      <c r="AT1865" s="20" t="str">
        <f aca="false">HYPERLINK("https://www.google.iq/maps/search/+36.5498,44.3533/@36.5498,44.3533,14z?hl=en","Maplink2")</f>
        <v>Maplink2</v>
      </c>
      <c r="AU1865" s="20" t="str">
        <f aca="false">HYPERLINK("http://www.bing.com/maps/?lvl=14&amp;sty=h&amp;cp=36.5498~44.3533&amp;sp=point.36.5498_44.3533","Maplink3")</f>
        <v>Maplink3</v>
      </c>
    </row>
    <row r="1866" customFormat="false" ht="15" hidden="false" customHeight="true" outlineLevel="0" collapsed="false">
      <c r="A1866" s="15" t="n">
        <v>13372</v>
      </c>
      <c r="B1866" s="16" t="s">
        <v>21</v>
      </c>
      <c r="C1866" s="16" t="s">
        <v>3668</v>
      </c>
      <c r="D1866" s="16" t="s">
        <v>3679</v>
      </c>
      <c r="E1866" s="17" t="s">
        <v>3680</v>
      </c>
      <c r="F1866" s="16" t="n">
        <v>36.56590888</v>
      </c>
      <c r="G1866" s="16" t="n">
        <v>44.32914199</v>
      </c>
      <c r="H1866" s="18" t="n">
        <v>289</v>
      </c>
      <c r="I1866" s="18" t="n">
        <v>1734</v>
      </c>
      <c r="J1866" s="19" t="n">
        <v>235</v>
      </c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 t="n">
        <v>54</v>
      </c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 t="n">
        <v>289</v>
      </c>
      <c r="AI1866" s="19"/>
      <c r="AJ1866" s="19"/>
      <c r="AK1866" s="19"/>
      <c r="AL1866" s="19" t="n">
        <v>81</v>
      </c>
      <c r="AM1866" s="19" t="n">
        <v>31</v>
      </c>
      <c r="AN1866" s="19"/>
      <c r="AO1866" s="19"/>
      <c r="AP1866" s="19" t="n">
        <v>68</v>
      </c>
      <c r="AQ1866" s="19" t="n">
        <v>109</v>
      </c>
      <c r="AR1866" s="19"/>
      <c r="AS1866" s="20" t="str">
        <f aca="false">HYPERLINK("http://www.openstreetmap.org/?mlat=36.5659&amp;mlon=44.3291&amp;zoom=12#map=12/36.5659/44.3291","Maplink1")</f>
        <v>Maplink1</v>
      </c>
      <c r="AT1866" s="20" t="str">
        <f aca="false">HYPERLINK("https://www.google.iq/maps/search/+36.5659,44.3291/@36.5659,44.3291,14z?hl=en","Maplink2")</f>
        <v>Maplink2</v>
      </c>
      <c r="AU1866" s="20" t="str">
        <f aca="false">HYPERLINK("http://www.bing.com/maps/?lvl=14&amp;sty=h&amp;cp=36.5659~44.3291&amp;sp=point.36.5659_44.3291","Maplink3")</f>
        <v>Maplink3</v>
      </c>
    </row>
    <row r="1867" customFormat="false" ht="15" hidden="false" customHeight="true" outlineLevel="0" collapsed="false">
      <c r="A1867" s="15" t="n">
        <v>12079</v>
      </c>
      <c r="B1867" s="16" t="s">
        <v>21</v>
      </c>
      <c r="C1867" s="16" t="s">
        <v>3668</v>
      </c>
      <c r="D1867" s="16" t="s">
        <v>3681</v>
      </c>
      <c r="E1867" s="17" t="s">
        <v>3682</v>
      </c>
      <c r="F1867" s="16" t="n">
        <v>36.27947987</v>
      </c>
      <c r="G1867" s="16" t="n">
        <v>44.49731943</v>
      </c>
      <c r="H1867" s="18" t="n">
        <v>248</v>
      </c>
      <c r="I1867" s="18" t="n">
        <v>1488</v>
      </c>
      <c r="J1867" s="19" t="n">
        <v>248</v>
      </c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 t="n">
        <v>248</v>
      </c>
      <c r="AI1867" s="19"/>
      <c r="AJ1867" s="19"/>
      <c r="AK1867" s="19"/>
      <c r="AL1867" s="19" t="n">
        <v>110</v>
      </c>
      <c r="AM1867" s="19"/>
      <c r="AN1867" s="19"/>
      <c r="AO1867" s="19"/>
      <c r="AP1867" s="19" t="n">
        <v>138</v>
      </c>
      <c r="AQ1867" s="19"/>
      <c r="AR1867" s="19"/>
      <c r="AS1867" s="20" t="str">
        <f aca="false">HYPERLINK("http://www.openstreetmap.org/?mlat=36.2795&amp;mlon=44.4973&amp;zoom=12#map=12/36.2795/44.4973","Maplink1")</f>
        <v>Maplink1</v>
      </c>
      <c r="AT1867" s="20" t="str">
        <f aca="false">HYPERLINK("https://www.google.iq/maps/search/+36.2795,44.4973/@36.2795,44.4973,14z?hl=en","Maplink2")</f>
        <v>Maplink2</v>
      </c>
      <c r="AU1867" s="20" t="str">
        <f aca="false">HYPERLINK("http://www.bing.com/maps/?lvl=14&amp;sty=h&amp;cp=36.2795~44.4973&amp;sp=point.36.2795_44.4973","Maplink3")</f>
        <v>Maplink3</v>
      </c>
    </row>
    <row r="1868" customFormat="false" ht="15" hidden="false" customHeight="true" outlineLevel="0" collapsed="false">
      <c r="A1868" s="15" t="n">
        <v>25730</v>
      </c>
      <c r="B1868" s="16" t="s">
        <v>21</v>
      </c>
      <c r="C1868" s="16" t="s">
        <v>3668</v>
      </c>
      <c r="D1868" s="16" t="s">
        <v>3683</v>
      </c>
      <c r="E1868" s="17" t="s">
        <v>3684</v>
      </c>
      <c r="F1868" s="16" t="n">
        <v>36.33778528</v>
      </c>
      <c r="G1868" s="16" t="n">
        <v>44.16778024</v>
      </c>
      <c r="H1868" s="18" t="n">
        <v>40</v>
      </c>
      <c r="I1868" s="18" t="n">
        <v>240</v>
      </c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 t="n">
        <v>40</v>
      </c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 t="n">
        <v>40</v>
      </c>
      <c r="AI1868" s="19"/>
      <c r="AJ1868" s="19"/>
      <c r="AK1868" s="19"/>
      <c r="AL1868" s="19"/>
      <c r="AM1868" s="19"/>
      <c r="AN1868" s="19" t="n">
        <v>40</v>
      </c>
      <c r="AO1868" s="19"/>
      <c r="AP1868" s="19"/>
      <c r="AQ1868" s="19"/>
      <c r="AR1868" s="19"/>
      <c r="AS1868" s="20" t="str">
        <f aca="false">HYPERLINK("http://www.openstreetmap.org/?mlat=36.3378&amp;mlon=44.1678&amp;zoom=12#map=12/36.3378/44.1678","Maplink1")</f>
        <v>Maplink1</v>
      </c>
      <c r="AT1868" s="20" t="str">
        <f aca="false">HYPERLINK("https://www.google.iq/maps/search/+36.3378,44.1678/@36.3378,44.1678,14z?hl=en","Maplink2")</f>
        <v>Maplink2</v>
      </c>
      <c r="AU1868" s="20" t="str">
        <f aca="false">HYPERLINK("http://www.bing.com/maps/?lvl=14&amp;sty=h&amp;cp=36.3378~44.1678&amp;sp=point.36.3378_44.1678","Maplink3")</f>
        <v>Maplink3</v>
      </c>
    </row>
    <row r="1869" customFormat="false" ht="15" hidden="false" customHeight="true" outlineLevel="0" collapsed="false">
      <c r="A1869" s="15" t="n">
        <v>12090</v>
      </c>
      <c r="B1869" s="16" t="s">
        <v>21</v>
      </c>
      <c r="C1869" s="16" t="s">
        <v>3668</v>
      </c>
      <c r="D1869" s="16" t="s">
        <v>3685</v>
      </c>
      <c r="E1869" s="17" t="s">
        <v>3686</v>
      </c>
      <c r="F1869" s="16" t="n">
        <v>36.36694319</v>
      </c>
      <c r="G1869" s="16" t="n">
        <v>44.44794038</v>
      </c>
      <c r="H1869" s="18" t="n">
        <v>10</v>
      </c>
      <c r="I1869" s="18" t="n">
        <v>60</v>
      </c>
      <c r="J1869" s="19" t="n">
        <v>10</v>
      </c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 t="n">
        <v>10</v>
      </c>
      <c r="AI1869" s="19"/>
      <c r="AJ1869" s="19"/>
      <c r="AK1869" s="19"/>
      <c r="AL1869" s="19"/>
      <c r="AM1869" s="19"/>
      <c r="AN1869" s="19"/>
      <c r="AO1869" s="19"/>
      <c r="AP1869" s="19" t="n">
        <v>10</v>
      </c>
      <c r="AQ1869" s="19"/>
      <c r="AR1869" s="19"/>
      <c r="AS1869" s="20" t="str">
        <f aca="false">HYPERLINK("http://www.openstreetmap.org/?mlat=36.3669&amp;mlon=44.4479&amp;zoom=12#map=12/36.3669/44.4479","Maplink1")</f>
        <v>Maplink1</v>
      </c>
      <c r="AT1869" s="20" t="str">
        <f aca="false">HYPERLINK("https://www.google.iq/maps/search/+36.3669,44.4479/@36.3669,44.4479,14z?hl=en","Maplink2")</f>
        <v>Maplink2</v>
      </c>
      <c r="AU1869" s="20" t="str">
        <f aca="false">HYPERLINK("http://www.bing.com/maps/?lvl=14&amp;sty=h&amp;cp=36.3669~44.4479&amp;sp=point.36.3669_44.4479","Maplink3")</f>
        <v>Maplink3</v>
      </c>
    </row>
    <row r="1870" customFormat="false" ht="15" hidden="false" customHeight="true" outlineLevel="0" collapsed="false">
      <c r="A1870" s="15" t="n">
        <v>27143</v>
      </c>
      <c r="B1870" s="16" t="s">
        <v>21</v>
      </c>
      <c r="C1870" s="16" t="s">
        <v>3668</v>
      </c>
      <c r="D1870" s="16" t="s">
        <v>3492</v>
      </c>
      <c r="E1870" s="17" t="s">
        <v>3687</v>
      </c>
      <c r="F1870" s="16" t="n">
        <v>36.50489587</v>
      </c>
      <c r="G1870" s="16" t="n">
        <v>44.34878672</v>
      </c>
      <c r="H1870" s="18" t="n">
        <v>57</v>
      </c>
      <c r="I1870" s="18" t="n">
        <v>342</v>
      </c>
      <c r="J1870" s="19" t="n">
        <v>57</v>
      </c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 t="n">
        <v>57</v>
      </c>
      <c r="AI1870" s="19"/>
      <c r="AJ1870" s="19"/>
      <c r="AK1870" s="19"/>
      <c r="AL1870" s="19"/>
      <c r="AM1870" s="19"/>
      <c r="AN1870" s="19" t="n">
        <v>57</v>
      </c>
      <c r="AO1870" s="19"/>
      <c r="AP1870" s="19"/>
      <c r="AQ1870" s="19"/>
      <c r="AR1870" s="19"/>
      <c r="AS1870" s="20" t="str">
        <f aca="false">HYPERLINK("http://www.openstreetmap.org/?mlat=36.5049&amp;mlon=44.3488&amp;zoom=12#map=12/36.5049/44.3488","Maplink1")</f>
        <v>Maplink1</v>
      </c>
      <c r="AT1870" s="20" t="str">
        <f aca="false">HYPERLINK("https://www.google.iq/maps/search/+36.5049,44.3488/@36.5049,44.3488,14z?hl=en","Maplink2")</f>
        <v>Maplink2</v>
      </c>
      <c r="AU1870" s="20" t="str">
        <f aca="false">HYPERLINK("http://www.bing.com/maps/?lvl=14&amp;sty=h&amp;cp=36.5049~44.3488&amp;sp=point.36.5049_44.3488","Maplink3")</f>
        <v>Maplink3</v>
      </c>
    </row>
    <row r="1871" customFormat="false" ht="15" hidden="false" customHeight="true" outlineLevel="0" collapsed="false">
      <c r="A1871" s="15" t="n">
        <v>27142</v>
      </c>
      <c r="B1871" s="16" t="s">
        <v>21</v>
      </c>
      <c r="C1871" s="16" t="s">
        <v>3668</v>
      </c>
      <c r="D1871" s="16" t="s">
        <v>3688</v>
      </c>
      <c r="E1871" s="17" t="s">
        <v>3497</v>
      </c>
      <c r="F1871" s="16" t="n">
        <v>36.49727761</v>
      </c>
      <c r="G1871" s="16" t="n">
        <v>44.35462874</v>
      </c>
      <c r="H1871" s="18" t="n">
        <v>26</v>
      </c>
      <c r="I1871" s="18" t="n">
        <v>156</v>
      </c>
      <c r="J1871" s="19" t="n">
        <v>26</v>
      </c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 t="n">
        <v>26</v>
      </c>
      <c r="AI1871" s="19"/>
      <c r="AJ1871" s="19"/>
      <c r="AK1871" s="19"/>
      <c r="AL1871" s="19"/>
      <c r="AM1871" s="19"/>
      <c r="AN1871" s="19" t="n">
        <v>26</v>
      </c>
      <c r="AO1871" s="19"/>
      <c r="AP1871" s="19"/>
      <c r="AQ1871" s="19"/>
      <c r="AR1871" s="19"/>
      <c r="AS1871" s="20" t="str">
        <f aca="false">HYPERLINK("http://www.openstreetmap.org/?mlat=36.4973&amp;mlon=44.3546&amp;zoom=12#map=12/36.4973/44.3546","Maplink1")</f>
        <v>Maplink1</v>
      </c>
      <c r="AT1871" s="20" t="str">
        <f aca="false">HYPERLINK("https://www.google.iq/maps/search/+36.4973,44.3546/@36.4973,44.3546,14z?hl=en","Maplink2")</f>
        <v>Maplink2</v>
      </c>
      <c r="AU1871" s="20" t="str">
        <f aca="false">HYPERLINK("http://www.bing.com/maps/?lvl=14&amp;sty=h&amp;cp=36.4973~44.3546&amp;sp=point.36.4973_44.3546","Maplink3")</f>
        <v>Maplink3</v>
      </c>
    </row>
    <row r="1872" customFormat="false" ht="15" hidden="false" customHeight="true" outlineLevel="0" collapsed="false">
      <c r="A1872" s="15" t="n">
        <v>12155</v>
      </c>
      <c r="B1872" s="16" t="s">
        <v>21</v>
      </c>
      <c r="C1872" s="16" t="s">
        <v>3668</v>
      </c>
      <c r="D1872" s="16" t="s">
        <v>3689</v>
      </c>
      <c r="E1872" s="17" t="s">
        <v>3690</v>
      </c>
      <c r="F1872" s="16" t="n">
        <v>36.39762786</v>
      </c>
      <c r="G1872" s="16" t="n">
        <v>44.38588044</v>
      </c>
      <c r="H1872" s="18" t="n">
        <v>56</v>
      </c>
      <c r="I1872" s="18" t="n">
        <v>336</v>
      </c>
      <c r="J1872" s="19" t="n">
        <v>56</v>
      </c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 t="n">
        <v>56</v>
      </c>
      <c r="AI1872" s="19"/>
      <c r="AJ1872" s="19"/>
      <c r="AK1872" s="19"/>
      <c r="AL1872" s="19" t="n">
        <v>23</v>
      </c>
      <c r="AM1872" s="19"/>
      <c r="AN1872" s="19"/>
      <c r="AO1872" s="19"/>
      <c r="AP1872" s="19" t="n">
        <v>33</v>
      </c>
      <c r="AQ1872" s="19"/>
      <c r="AR1872" s="19"/>
      <c r="AS1872" s="20" t="str">
        <f aca="false">HYPERLINK("http://www.openstreetmap.org/?mlat=36.3976&amp;mlon=44.3859&amp;zoom=12#map=12/36.3976/44.3859","Maplink1")</f>
        <v>Maplink1</v>
      </c>
      <c r="AT1872" s="20" t="str">
        <f aca="false">HYPERLINK("https://www.google.iq/maps/search/+36.3976,44.3859/@36.3976,44.3859,14z?hl=en","Maplink2")</f>
        <v>Maplink2</v>
      </c>
      <c r="AU1872" s="20" t="str">
        <f aca="false">HYPERLINK("http://www.bing.com/maps/?lvl=14&amp;sty=h&amp;cp=36.3976~44.3859&amp;sp=point.36.3976_44.3859","Maplink3")</f>
        <v>Maplink3</v>
      </c>
    </row>
    <row r="1873" customFormat="false" ht="15" hidden="false" customHeight="true" outlineLevel="0" collapsed="false">
      <c r="A1873" s="15" t="n">
        <v>24910</v>
      </c>
      <c r="B1873" s="16" t="s">
        <v>21</v>
      </c>
      <c r="C1873" s="16" t="s">
        <v>3668</v>
      </c>
      <c r="D1873" s="16" t="s">
        <v>2977</v>
      </c>
      <c r="E1873" s="17" t="s">
        <v>2978</v>
      </c>
      <c r="F1873" s="16" t="n">
        <v>36.5084649</v>
      </c>
      <c r="G1873" s="16" t="n">
        <v>44.34439311</v>
      </c>
      <c r="H1873" s="18" t="n">
        <v>65</v>
      </c>
      <c r="I1873" s="18" t="n">
        <v>390</v>
      </c>
      <c r="J1873" s="19" t="n">
        <v>65</v>
      </c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 t="n">
        <v>65</v>
      </c>
      <c r="AI1873" s="19"/>
      <c r="AJ1873" s="19"/>
      <c r="AK1873" s="19"/>
      <c r="AL1873" s="19"/>
      <c r="AM1873" s="19"/>
      <c r="AN1873" s="19" t="n">
        <v>65</v>
      </c>
      <c r="AO1873" s="19"/>
      <c r="AP1873" s="19"/>
      <c r="AQ1873" s="19"/>
      <c r="AR1873" s="19"/>
      <c r="AS1873" s="20" t="str">
        <f aca="false">HYPERLINK("http://www.openstreetmap.org/?mlat=36.5085&amp;mlon=44.3444&amp;zoom=12#map=12/36.5085/44.3444","Maplink1")</f>
        <v>Maplink1</v>
      </c>
      <c r="AT1873" s="20" t="str">
        <f aca="false">HYPERLINK("https://www.google.iq/maps/search/+36.5085,44.3444/@36.5085,44.3444,14z?hl=en","Maplink2")</f>
        <v>Maplink2</v>
      </c>
      <c r="AU1873" s="20" t="str">
        <f aca="false">HYPERLINK("http://www.bing.com/maps/?lvl=14&amp;sty=h&amp;cp=36.5085~44.3444&amp;sp=point.36.5085_44.3444","Maplink3")</f>
        <v>Maplink3</v>
      </c>
    </row>
    <row r="1874" customFormat="false" ht="15" hidden="false" customHeight="true" outlineLevel="0" collapsed="false">
      <c r="A1874" s="15" t="n">
        <v>23698</v>
      </c>
      <c r="B1874" s="16" t="s">
        <v>21</v>
      </c>
      <c r="C1874" s="16" t="s">
        <v>3668</v>
      </c>
      <c r="D1874" s="16" t="s">
        <v>3691</v>
      </c>
      <c r="E1874" s="17" t="s">
        <v>3692</v>
      </c>
      <c r="F1874" s="16" t="n">
        <v>36.40302231</v>
      </c>
      <c r="G1874" s="16" t="n">
        <v>44.34575383</v>
      </c>
      <c r="H1874" s="18" t="n">
        <v>270</v>
      </c>
      <c r="I1874" s="18" t="n">
        <v>1620</v>
      </c>
      <c r="J1874" s="19" t="n">
        <v>193</v>
      </c>
      <c r="K1874" s="19"/>
      <c r="L1874" s="19" t="n">
        <v>6</v>
      </c>
      <c r="M1874" s="19"/>
      <c r="N1874" s="19"/>
      <c r="O1874" s="19" t="n">
        <v>16</v>
      </c>
      <c r="P1874" s="19"/>
      <c r="Q1874" s="19"/>
      <c r="R1874" s="19"/>
      <c r="S1874" s="19"/>
      <c r="T1874" s="19"/>
      <c r="U1874" s="19"/>
      <c r="V1874" s="19" t="n">
        <v>35</v>
      </c>
      <c r="W1874" s="19"/>
      <c r="X1874" s="19" t="n">
        <v>20</v>
      </c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 t="n">
        <v>270</v>
      </c>
      <c r="AI1874" s="19"/>
      <c r="AJ1874" s="19"/>
      <c r="AK1874" s="19"/>
      <c r="AL1874" s="19" t="n">
        <v>85</v>
      </c>
      <c r="AM1874" s="19"/>
      <c r="AN1874" s="19" t="n">
        <v>20</v>
      </c>
      <c r="AO1874" s="19" t="n">
        <v>57</v>
      </c>
      <c r="AP1874" s="19" t="n">
        <v>72</v>
      </c>
      <c r="AQ1874" s="19" t="n">
        <v>36</v>
      </c>
      <c r="AR1874" s="19"/>
      <c r="AS1874" s="20" t="str">
        <f aca="false">HYPERLINK("http://www.openstreetmap.org/?mlat=36.403&amp;mlon=44.3458&amp;zoom=12#map=12/36.403/44.3458","Maplink1")</f>
        <v>Maplink1</v>
      </c>
      <c r="AT1874" s="20" t="str">
        <f aca="false">HYPERLINK("https://www.google.iq/maps/search/+36.403,44.3458/@36.403,44.3458,14z?hl=en","Maplink2")</f>
        <v>Maplink2</v>
      </c>
      <c r="AU1874" s="20" t="str">
        <f aca="false">HYPERLINK("http://www.bing.com/maps/?lvl=14&amp;sty=h&amp;cp=36.403~44.3458&amp;sp=point.36.403_44.3458","Maplink3")</f>
        <v>Maplink3</v>
      </c>
    </row>
    <row r="1875" customFormat="false" ht="15" hidden="false" customHeight="true" outlineLevel="0" collapsed="false">
      <c r="A1875" s="15" t="n">
        <v>23741</v>
      </c>
      <c r="B1875" s="16" t="s">
        <v>21</v>
      </c>
      <c r="C1875" s="16" t="s">
        <v>3668</v>
      </c>
      <c r="D1875" s="16" t="s">
        <v>3693</v>
      </c>
      <c r="E1875" s="17" t="s">
        <v>3694</v>
      </c>
      <c r="F1875" s="16" t="n">
        <v>36.40365708</v>
      </c>
      <c r="G1875" s="16" t="n">
        <v>44.31839665</v>
      </c>
      <c r="H1875" s="18" t="n">
        <v>273</v>
      </c>
      <c r="I1875" s="18" t="n">
        <v>1638</v>
      </c>
      <c r="J1875" s="19" t="n">
        <v>203</v>
      </c>
      <c r="K1875" s="19"/>
      <c r="L1875" s="19" t="n">
        <v>6</v>
      </c>
      <c r="M1875" s="19"/>
      <c r="N1875" s="19"/>
      <c r="O1875" s="19" t="n">
        <v>21</v>
      </c>
      <c r="P1875" s="19"/>
      <c r="Q1875" s="19"/>
      <c r="R1875" s="19"/>
      <c r="S1875" s="19"/>
      <c r="T1875" s="19"/>
      <c r="U1875" s="19"/>
      <c r="V1875" s="19" t="n">
        <v>31</v>
      </c>
      <c r="W1875" s="19"/>
      <c r="X1875" s="19" t="n">
        <v>12</v>
      </c>
      <c r="Y1875" s="19"/>
      <c r="Z1875" s="19"/>
      <c r="AA1875" s="19"/>
      <c r="AB1875" s="19"/>
      <c r="AC1875" s="19"/>
      <c r="AD1875" s="19" t="n">
        <v>18</v>
      </c>
      <c r="AE1875" s="19"/>
      <c r="AF1875" s="19"/>
      <c r="AG1875" s="19"/>
      <c r="AH1875" s="19" t="n">
        <v>255</v>
      </c>
      <c r="AI1875" s="19"/>
      <c r="AJ1875" s="19"/>
      <c r="AK1875" s="19"/>
      <c r="AL1875" s="19" t="n">
        <v>68</v>
      </c>
      <c r="AM1875" s="19"/>
      <c r="AN1875" s="19" t="n">
        <v>12</v>
      </c>
      <c r="AO1875" s="19" t="n">
        <v>58</v>
      </c>
      <c r="AP1875" s="19" t="n">
        <v>95</v>
      </c>
      <c r="AQ1875" s="19" t="n">
        <v>40</v>
      </c>
      <c r="AR1875" s="19"/>
      <c r="AS1875" s="20" t="str">
        <f aca="false">HYPERLINK("http://www.openstreetmap.org/?mlat=36.4037&amp;mlon=44.3184&amp;zoom=12#map=12/36.4037/44.3184","Maplink1")</f>
        <v>Maplink1</v>
      </c>
      <c r="AT1875" s="20" t="str">
        <f aca="false">HYPERLINK("https://www.google.iq/maps/search/+36.4037,44.3184/@36.4037,44.3184,14z?hl=en","Maplink2")</f>
        <v>Maplink2</v>
      </c>
      <c r="AU1875" s="20" t="str">
        <f aca="false">HYPERLINK("http://www.bing.com/maps/?lvl=14&amp;sty=h&amp;cp=36.4037~44.3184&amp;sp=point.36.4037_44.3184","Maplink3")</f>
        <v>Maplink3</v>
      </c>
    </row>
    <row r="1876" customFormat="false" ht="15" hidden="false" customHeight="true" outlineLevel="0" collapsed="false">
      <c r="A1876" s="15" t="n">
        <v>12948</v>
      </c>
      <c r="B1876" s="16" t="s">
        <v>21</v>
      </c>
      <c r="C1876" s="16" t="s">
        <v>3668</v>
      </c>
      <c r="D1876" s="16" t="s">
        <v>3695</v>
      </c>
      <c r="E1876" s="17" t="s">
        <v>3696</v>
      </c>
      <c r="F1876" s="16" t="n">
        <v>36.41200523</v>
      </c>
      <c r="G1876" s="16" t="n">
        <v>44.30330577</v>
      </c>
      <c r="H1876" s="18" t="n">
        <v>155</v>
      </c>
      <c r="I1876" s="18" t="n">
        <v>930</v>
      </c>
      <c r="J1876" s="19" t="n">
        <v>108</v>
      </c>
      <c r="K1876" s="19"/>
      <c r="L1876" s="19" t="n">
        <v>5</v>
      </c>
      <c r="M1876" s="19"/>
      <c r="N1876" s="19"/>
      <c r="O1876" s="19" t="n">
        <v>17</v>
      </c>
      <c r="P1876" s="19"/>
      <c r="Q1876" s="19"/>
      <c r="R1876" s="19"/>
      <c r="S1876" s="19"/>
      <c r="T1876" s="19"/>
      <c r="U1876" s="19"/>
      <c r="V1876" s="19" t="n">
        <v>15</v>
      </c>
      <c r="W1876" s="19"/>
      <c r="X1876" s="19" t="n">
        <v>10</v>
      </c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 t="n">
        <v>155</v>
      </c>
      <c r="AI1876" s="19"/>
      <c r="AJ1876" s="19"/>
      <c r="AK1876" s="19"/>
      <c r="AL1876" s="19" t="n">
        <v>60</v>
      </c>
      <c r="AM1876" s="19"/>
      <c r="AN1876" s="19" t="n">
        <v>13</v>
      </c>
      <c r="AO1876" s="19" t="n">
        <v>22</v>
      </c>
      <c r="AP1876" s="19" t="n">
        <v>50</v>
      </c>
      <c r="AQ1876" s="19" t="n">
        <v>10</v>
      </c>
      <c r="AR1876" s="19"/>
      <c r="AS1876" s="20" t="str">
        <f aca="false">HYPERLINK("http://www.openstreetmap.org/?mlat=36.412&amp;mlon=44.3033&amp;zoom=12#map=12/36.412/44.3033","Maplink1")</f>
        <v>Maplink1</v>
      </c>
      <c r="AT1876" s="20" t="str">
        <f aca="false">HYPERLINK("https://www.google.iq/maps/search/+36.412,44.3033/@36.412,44.3033,14z?hl=en","Maplink2")</f>
        <v>Maplink2</v>
      </c>
      <c r="AU1876" s="20" t="str">
        <f aca="false">HYPERLINK("http://www.bing.com/maps/?lvl=14&amp;sty=h&amp;cp=36.412~44.3033&amp;sp=point.36.412_44.3033","Maplink3")</f>
        <v>Maplink3</v>
      </c>
    </row>
    <row r="1877" customFormat="false" ht="15" hidden="false" customHeight="true" outlineLevel="0" collapsed="false">
      <c r="A1877" s="15" t="n">
        <v>23783</v>
      </c>
      <c r="B1877" s="16" t="s">
        <v>21</v>
      </c>
      <c r="C1877" s="16" t="s">
        <v>3668</v>
      </c>
      <c r="D1877" s="16" t="s">
        <v>3697</v>
      </c>
      <c r="E1877" s="17" t="s">
        <v>3698</v>
      </c>
      <c r="F1877" s="16" t="n">
        <v>36.40911822</v>
      </c>
      <c r="G1877" s="16" t="n">
        <v>44.31242111</v>
      </c>
      <c r="H1877" s="18" t="n">
        <v>378</v>
      </c>
      <c r="I1877" s="18" t="n">
        <v>2268</v>
      </c>
      <c r="J1877" s="19" t="n">
        <v>323</v>
      </c>
      <c r="K1877" s="19"/>
      <c r="L1877" s="19" t="n">
        <v>16</v>
      </c>
      <c r="M1877" s="19"/>
      <c r="N1877" s="19"/>
      <c r="O1877" s="19" t="n">
        <v>8</v>
      </c>
      <c r="P1877" s="19"/>
      <c r="Q1877" s="19"/>
      <c r="R1877" s="19"/>
      <c r="S1877" s="19"/>
      <c r="T1877" s="19"/>
      <c r="U1877" s="19"/>
      <c r="V1877" s="19" t="n">
        <v>21</v>
      </c>
      <c r="W1877" s="19"/>
      <c r="X1877" s="19" t="n">
        <v>10</v>
      </c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 t="n">
        <v>378</v>
      </c>
      <c r="AI1877" s="19"/>
      <c r="AJ1877" s="19"/>
      <c r="AK1877" s="19"/>
      <c r="AL1877" s="19" t="n">
        <v>120</v>
      </c>
      <c r="AM1877" s="19"/>
      <c r="AN1877" s="19" t="n">
        <v>10</v>
      </c>
      <c r="AO1877" s="19" t="n">
        <v>45</v>
      </c>
      <c r="AP1877" s="19" t="n">
        <v>118</v>
      </c>
      <c r="AQ1877" s="19" t="n">
        <v>85</v>
      </c>
      <c r="AR1877" s="19"/>
      <c r="AS1877" s="20" t="str">
        <f aca="false">HYPERLINK("http://www.openstreetmap.org/?mlat=36.4091&amp;mlon=44.3124&amp;zoom=12#map=12/36.4091/44.3124","Maplink1")</f>
        <v>Maplink1</v>
      </c>
      <c r="AT1877" s="20" t="str">
        <f aca="false">HYPERLINK("https://www.google.iq/maps/search/+36.4091,44.3124/@36.4091,44.3124,14z?hl=en","Maplink2")</f>
        <v>Maplink2</v>
      </c>
      <c r="AU1877" s="20" t="str">
        <f aca="false">HYPERLINK("http://www.bing.com/maps/?lvl=14&amp;sty=h&amp;cp=36.4091~44.3124&amp;sp=point.36.4091_44.3124","Maplink3")</f>
        <v>Maplink3</v>
      </c>
    </row>
    <row r="1878" customFormat="false" ht="15" hidden="false" customHeight="true" outlineLevel="0" collapsed="false">
      <c r="A1878" s="15" t="n">
        <v>23784</v>
      </c>
      <c r="B1878" s="16" t="s">
        <v>21</v>
      </c>
      <c r="C1878" s="16" t="s">
        <v>3668</v>
      </c>
      <c r="D1878" s="16" t="s">
        <v>3699</v>
      </c>
      <c r="E1878" s="17" t="s">
        <v>3700</v>
      </c>
      <c r="F1878" s="16" t="n">
        <v>36.41671334</v>
      </c>
      <c r="G1878" s="16" t="n">
        <v>44.30464621</v>
      </c>
      <c r="H1878" s="18" t="n">
        <v>235</v>
      </c>
      <c r="I1878" s="18" t="n">
        <v>1410</v>
      </c>
      <c r="J1878" s="19" t="n">
        <v>210</v>
      </c>
      <c r="K1878" s="19"/>
      <c r="L1878" s="19" t="n">
        <v>5</v>
      </c>
      <c r="M1878" s="19"/>
      <c r="N1878" s="19"/>
      <c r="O1878" s="19" t="n">
        <v>5</v>
      </c>
      <c r="P1878" s="19"/>
      <c r="Q1878" s="19"/>
      <c r="R1878" s="19"/>
      <c r="S1878" s="19"/>
      <c r="T1878" s="19"/>
      <c r="U1878" s="19"/>
      <c r="V1878" s="19" t="n">
        <v>10</v>
      </c>
      <c r="W1878" s="19"/>
      <c r="X1878" s="19" t="n">
        <v>5</v>
      </c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 t="n">
        <v>235</v>
      </c>
      <c r="AI1878" s="19"/>
      <c r="AJ1878" s="19"/>
      <c r="AK1878" s="19"/>
      <c r="AL1878" s="19" t="n">
        <v>75</v>
      </c>
      <c r="AM1878" s="19"/>
      <c r="AN1878" s="19" t="n">
        <v>5</v>
      </c>
      <c r="AO1878" s="19" t="n">
        <v>20</v>
      </c>
      <c r="AP1878" s="19" t="n">
        <v>105</v>
      </c>
      <c r="AQ1878" s="19" t="n">
        <v>30</v>
      </c>
      <c r="AR1878" s="19"/>
      <c r="AS1878" s="20" t="str">
        <f aca="false">HYPERLINK("http://www.openstreetmap.org/?mlat=36.4167&amp;mlon=44.3046&amp;zoom=12#map=12/36.4167/44.3046","Maplink1")</f>
        <v>Maplink1</v>
      </c>
      <c r="AT1878" s="20" t="str">
        <f aca="false">HYPERLINK("https://www.google.iq/maps/search/+36.4167,44.3046/@36.4167,44.3046,14z?hl=en","Maplink2")</f>
        <v>Maplink2</v>
      </c>
      <c r="AU1878" s="20" t="str">
        <f aca="false">HYPERLINK("http://www.bing.com/maps/?lvl=14&amp;sty=h&amp;cp=36.4167~44.3046&amp;sp=point.36.4167_44.3046","Maplink3")</f>
        <v>Maplink3</v>
      </c>
    </row>
    <row r="1879" customFormat="false" ht="15" hidden="false" customHeight="true" outlineLevel="0" collapsed="false">
      <c r="A1879" s="15" t="n">
        <v>23742</v>
      </c>
      <c r="B1879" s="16" t="s">
        <v>21</v>
      </c>
      <c r="C1879" s="16" t="s">
        <v>3668</v>
      </c>
      <c r="D1879" s="16" t="s">
        <v>3701</v>
      </c>
      <c r="E1879" s="17" t="s">
        <v>2834</v>
      </c>
      <c r="F1879" s="16" t="n">
        <v>36.4049156</v>
      </c>
      <c r="G1879" s="16" t="n">
        <v>44.32085748</v>
      </c>
      <c r="H1879" s="18" t="n">
        <v>504</v>
      </c>
      <c r="I1879" s="18" t="n">
        <v>3024</v>
      </c>
      <c r="J1879" s="19" t="n">
        <v>454</v>
      </c>
      <c r="K1879" s="19"/>
      <c r="L1879" s="19" t="n">
        <v>5</v>
      </c>
      <c r="M1879" s="19"/>
      <c r="N1879" s="19"/>
      <c r="O1879" s="19" t="n">
        <v>7</v>
      </c>
      <c r="P1879" s="19"/>
      <c r="Q1879" s="19"/>
      <c r="R1879" s="19"/>
      <c r="S1879" s="19"/>
      <c r="T1879" s="19"/>
      <c r="U1879" s="19"/>
      <c r="V1879" s="19" t="n">
        <v>22</v>
      </c>
      <c r="W1879" s="19"/>
      <c r="X1879" s="19" t="n">
        <v>16</v>
      </c>
      <c r="Y1879" s="19"/>
      <c r="Z1879" s="19"/>
      <c r="AA1879" s="19"/>
      <c r="AB1879" s="19"/>
      <c r="AC1879" s="19"/>
      <c r="AD1879" s="19" t="n">
        <v>80</v>
      </c>
      <c r="AE1879" s="19"/>
      <c r="AF1879" s="19"/>
      <c r="AG1879" s="19"/>
      <c r="AH1879" s="19" t="n">
        <v>424</v>
      </c>
      <c r="AI1879" s="19"/>
      <c r="AJ1879" s="19"/>
      <c r="AK1879" s="19"/>
      <c r="AL1879" s="19" t="n">
        <v>207</v>
      </c>
      <c r="AM1879" s="19"/>
      <c r="AN1879" s="19" t="n">
        <v>16</v>
      </c>
      <c r="AO1879" s="19" t="n">
        <v>34</v>
      </c>
      <c r="AP1879" s="19" t="n">
        <v>172</v>
      </c>
      <c r="AQ1879" s="19" t="n">
        <v>75</v>
      </c>
      <c r="AR1879" s="19"/>
      <c r="AS1879" s="20" t="str">
        <f aca="false">HYPERLINK("http://www.openstreetmap.org/?mlat=36.4049&amp;mlon=44.3209&amp;zoom=12#map=12/36.4049/44.3209","Maplink1")</f>
        <v>Maplink1</v>
      </c>
      <c r="AT1879" s="20" t="str">
        <f aca="false">HYPERLINK("https://www.google.iq/maps/search/+36.4049,44.3209/@36.4049,44.3209,14z?hl=en","Maplink2")</f>
        <v>Maplink2</v>
      </c>
      <c r="AU1879" s="20" t="str">
        <f aca="false">HYPERLINK("http://www.bing.com/maps/?lvl=14&amp;sty=h&amp;cp=36.4049~44.3209&amp;sp=point.36.4049_44.3209","Maplink3")</f>
        <v>Maplink3</v>
      </c>
    </row>
    <row r="1880" customFormat="false" ht="15" hidden="false" customHeight="true" outlineLevel="0" collapsed="false">
      <c r="A1880" s="15" t="n">
        <v>27144</v>
      </c>
      <c r="B1880" s="16" t="s">
        <v>21</v>
      </c>
      <c r="C1880" s="16" t="s">
        <v>3668</v>
      </c>
      <c r="D1880" s="16" t="s">
        <v>3580</v>
      </c>
      <c r="E1880" s="17" t="s">
        <v>2937</v>
      </c>
      <c r="F1880" s="16" t="n">
        <v>36.50688657</v>
      </c>
      <c r="G1880" s="16" t="n">
        <v>44.34319262</v>
      </c>
      <c r="H1880" s="18" t="n">
        <v>47</v>
      </c>
      <c r="I1880" s="18" t="n">
        <v>282</v>
      </c>
      <c r="J1880" s="19" t="n">
        <v>47</v>
      </c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 t="n">
        <v>47</v>
      </c>
      <c r="AI1880" s="19"/>
      <c r="AJ1880" s="19"/>
      <c r="AK1880" s="19"/>
      <c r="AL1880" s="19"/>
      <c r="AM1880" s="19"/>
      <c r="AN1880" s="19" t="n">
        <v>47</v>
      </c>
      <c r="AO1880" s="19"/>
      <c r="AP1880" s="19"/>
      <c r="AQ1880" s="19"/>
      <c r="AR1880" s="19"/>
      <c r="AS1880" s="20" t="str">
        <f aca="false">HYPERLINK("http://www.openstreetmap.org/?mlat=36.5069&amp;mlon=44.3432&amp;zoom=12#map=12/36.5069/44.3432","Maplink1")</f>
        <v>Maplink1</v>
      </c>
      <c r="AT1880" s="20" t="str">
        <f aca="false">HYPERLINK("https://www.google.iq/maps/search/+36.5069,44.3432/@36.5069,44.3432,14z?hl=en","Maplink2")</f>
        <v>Maplink2</v>
      </c>
      <c r="AU1880" s="20" t="str">
        <f aca="false">HYPERLINK("http://www.bing.com/maps/?lvl=14&amp;sty=h&amp;cp=36.5069~44.3432&amp;sp=point.36.5069_44.3432","Maplink3")</f>
        <v>Maplink3</v>
      </c>
    </row>
    <row r="1881" customFormat="false" ht="15" hidden="false" customHeight="true" outlineLevel="0" collapsed="false">
      <c r="A1881" s="15" t="n">
        <v>12957</v>
      </c>
      <c r="B1881" s="16" t="s">
        <v>21</v>
      </c>
      <c r="C1881" s="16" t="s">
        <v>3668</v>
      </c>
      <c r="D1881" s="16" t="s">
        <v>3702</v>
      </c>
      <c r="E1881" s="17" t="s">
        <v>3703</v>
      </c>
      <c r="F1881" s="16" t="n">
        <v>36.38328748</v>
      </c>
      <c r="G1881" s="16" t="n">
        <v>44.37508245</v>
      </c>
      <c r="H1881" s="18" t="n">
        <v>219</v>
      </c>
      <c r="I1881" s="18" t="n">
        <v>1314</v>
      </c>
      <c r="J1881" s="19" t="n">
        <v>191</v>
      </c>
      <c r="K1881" s="19"/>
      <c r="L1881" s="19" t="n">
        <v>5</v>
      </c>
      <c r="M1881" s="19"/>
      <c r="N1881" s="19"/>
      <c r="O1881" s="19" t="n">
        <v>5</v>
      </c>
      <c r="P1881" s="19"/>
      <c r="Q1881" s="19"/>
      <c r="R1881" s="19"/>
      <c r="S1881" s="19"/>
      <c r="T1881" s="19"/>
      <c r="U1881" s="19"/>
      <c r="V1881" s="19" t="n">
        <v>8</v>
      </c>
      <c r="W1881" s="19"/>
      <c r="X1881" s="19" t="n">
        <v>10</v>
      </c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 t="n">
        <v>219</v>
      </c>
      <c r="AI1881" s="19"/>
      <c r="AJ1881" s="19"/>
      <c r="AK1881" s="19"/>
      <c r="AL1881" s="19" t="n">
        <v>55</v>
      </c>
      <c r="AM1881" s="19"/>
      <c r="AN1881" s="19" t="n">
        <v>10</v>
      </c>
      <c r="AO1881" s="19" t="n">
        <v>7</v>
      </c>
      <c r="AP1881" s="19" t="n">
        <v>121</v>
      </c>
      <c r="AQ1881" s="19" t="n">
        <v>26</v>
      </c>
      <c r="AR1881" s="19"/>
      <c r="AS1881" s="20" t="str">
        <f aca="false">HYPERLINK("http://www.openstreetmap.org/?mlat=36.3833&amp;mlon=44.3751&amp;zoom=12#map=12/36.3833/44.3751","Maplink1")</f>
        <v>Maplink1</v>
      </c>
      <c r="AT1881" s="20" t="str">
        <f aca="false">HYPERLINK("https://www.google.iq/maps/search/+36.3833,44.3751/@36.3833,44.3751,14z?hl=en","Maplink2")</f>
        <v>Maplink2</v>
      </c>
      <c r="AU1881" s="20" t="str">
        <f aca="false">HYPERLINK("http://www.bing.com/maps/?lvl=14&amp;sty=h&amp;cp=36.3833~44.3751&amp;sp=point.36.3833_44.3751","Maplink3")</f>
        <v>Maplink3</v>
      </c>
    </row>
    <row r="1882" customFormat="false" ht="15" hidden="false" customHeight="true" outlineLevel="0" collapsed="false">
      <c r="A1882" s="15" t="n">
        <v>27201</v>
      </c>
      <c r="B1882" s="16" t="s">
        <v>21</v>
      </c>
      <c r="C1882" s="16" t="s">
        <v>3704</v>
      </c>
      <c r="D1882" s="16" t="s">
        <v>3705</v>
      </c>
      <c r="E1882" s="17" t="s">
        <v>3706</v>
      </c>
      <c r="F1882" s="16" t="n">
        <v>36.57864443</v>
      </c>
      <c r="G1882" s="16" t="n">
        <v>44.54429889</v>
      </c>
      <c r="H1882" s="18" t="n">
        <v>14</v>
      </c>
      <c r="I1882" s="18" t="n">
        <v>84</v>
      </c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 t="n">
        <v>14</v>
      </c>
      <c r="W1882" s="19"/>
      <c r="X1882" s="19"/>
      <c r="Y1882" s="19"/>
      <c r="Z1882" s="19"/>
      <c r="AA1882" s="19"/>
      <c r="AB1882" s="19" t="n">
        <v>14</v>
      </c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 t="n">
        <v>14</v>
      </c>
      <c r="AO1882" s="19"/>
      <c r="AP1882" s="19"/>
      <c r="AQ1882" s="19"/>
      <c r="AR1882" s="19"/>
      <c r="AS1882" s="20" t="str">
        <f aca="false">HYPERLINK("http://www.openstreetmap.org/?mlat=36.5786&amp;mlon=44.5443&amp;zoom=12#map=12/36.5786/44.5443","Maplink1")</f>
        <v>Maplink1</v>
      </c>
      <c r="AT1882" s="20" t="str">
        <f aca="false">HYPERLINK("https://www.google.iq/maps/search/+36.5786,44.5443/@36.5786,44.5443,14z?hl=en","Maplink2")</f>
        <v>Maplink2</v>
      </c>
      <c r="AU1882" s="20" t="str">
        <f aca="false">HYPERLINK("http://www.bing.com/maps/?lvl=14&amp;sty=h&amp;cp=36.5786~44.5443&amp;sp=point.36.5786_44.5443","Maplink3")</f>
        <v>Maplink3</v>
      </c>
    </row>
    <row r="1883" customFormat="false" ht="15" hidden="false" customHeight="true" outlineLevel="0" collapsed="false">
      <c r="A1883" s="15" t="n">
        <v>12467</v>
      </c>
      <c r="B1883" s="16" t="s">
        <v>21</v>
      </c>
      <c r="C1883" s="16" t="s">
        <v>3704</v>
      </c>
      <c r="D1883" s="16" t="s">
        <v>3707</v>
      </c>
      <c r="E1883" s="17" t="s">
        <v>3708</v>
      </c>
      <c r="F1883" s="16" t="n">
        <v>36.59928333</v>
      </c>
      <c r="G1883" s="16" t="n">
        <v>44.50427682</v>
      </c>
      <c r="H1883" s="18" t="n">
        <v>51</v>
      </c>
      <c r="I1883" s="18" t="n">
        <v>306</v>
      </c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 t="n">
        <v>51</v>
      </c>
      <c r="W1883" s="19"/>
      <c r="X1883" s="19"/>
      <c r="Y1883" s="19"/>
      <c r="Z1883" s="19"/>
      <c r="AA1883" s="19"/>
      <c r="AB1883" s="19" t="n">
        <v>51</v>
      </c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 t="n">
        <v>51</v>
      </c>
      <c r="AO1883" s="19"/>
      <c r="AP1883" s="19"/>
      <c r="AQ1883" s="19"/>
      <c r="AR1883" s="19"/>
      <c r="AS1883" s="20" t="str">
        <f aca="false">HYPERLINK("http://www.openstreetmap.org/?mlat=36.5993&amp;mlon=44.5043&amp;zoom=12#map=12/36.5993/44.5043","Maplink1")</f>
        <v>Maplink1</v>
      </c>
      <c r="AT1883" s="20" t="str">
        <f aca="false">HYPERLINK("https://www.google.iq/maps/search/+36.5993,44.5043/@36.5993,44.5043,14z?hl=en","Maplink2")</f>
        <v>Maplink2</v>
      </c>
      <c r="AU1883" s="20" t="str">
        <f aca="false">HYPERLINK("http://www.bing.com/maps/?lvl=14&amp;sty=h&amp;cp=36.5993~44.5043&amp;sp=point.36.5993_44.5043","Maplink3")</f>
        <v>Maplink3</v>
      </c>
    </row>
    <row r="1884" customFormat="false" ht="15" hidden="false" customHeight="true" outlineLevel="0" collapsed="false">
      <c r="A1884" s="15" t="n">
        <v>12325</v>
      </c>
      <c r="B1884" s="16" t="s">
        <v>21</v>
      </c>
      <c r="C1884" s="16" t="s">
        <v>3704</v>
      </c>
      <c r="D1884" s="16" t="s">
        <v>3709</v>
      </c>
      <c r="E1884" s="17" t="s">
        <v>3710</v>
      </c>
      <c r="F1884" s="16" t="n">
        <v>36.61295297</v>
      </c>
      <c r="G1884" s="16" t="n">
        <v>44.4966043</v>
      </c>
      <c r="H1884" s="18" t="n">
        <v>16</v>
      </c>
      <c r="I1884" s="18" t="n">
        <v>96</v>
      </c>
      <c r="J1884" s="19" t="n">
        <v>16</v>
      </c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 t="n">
        <v>16</v>
      </c>
      <c r="AI1884" s="19"/>
      <c r="AJ1884" s="19"/>
      <c r="AK1884" s="19"/>
      <c r="AL1884" s="19"/>
      <c r="AM1884" s="19"/>
      <c r="AN1884" s="19"/>
      <c r="AO1884" s="19"/>
      <c r="AP1884" s="19" t="n">
        <v>16</v>
      </c>
      <c r="AQ1884" s="19"/>
      <c r="AR1884" s="19"/>
      <c r="AS1884" s="20" t="str">
        <f aca="false">HYPERLINK("http://www.openstreetmap.org/?mlat=36.613&amp;mlon=44.4966&amp;zoom=12#map=12/36.613/44.4966","Maplink1")</f>
        <v>Maplink1</v>
      </c>
      <c r="AT1884" s="20" t="str">
        <f aca="false">HYPERLINK("https://www.google.iq/maps/search/+36.613,44.4966/@36.613,44.4966,14z?hl=en","Maplink2")</f>
        <v>Maplink2</v>
      </c>
      <c r="AU1884" s="20" t="str">
        <f aca="false">HYPERLINK("http://www.bing.com/maps/?lvl=14&amp;sty=h&amp;cp=36.613~44.4966&amp;sp=point.36.613_44.4966","Maplink3")</f>
        <v>Maplink3</v>
      </c>
    </row>
    <row r="1885" customFormat="false" ht="15" hidden="false" customHeight="true" outlineLevel="0" collapsed="false">
      <c r="A1885" s="15" t="n">
        <v>24577</v>
      </c>
      <c r="B1885" s="16" t="s">
        <v>21</v>
      </c>
      <c r="C1885" s="16" t="s">
        <v>3704</v>
      </c>
      <c r="D1885" s="16" t="s">
        <v>3711</v>
      </c>
      <c r="E1885" s="17" t="s">
        <v>3712</v>
      </c>
      <c r="F1885" s="16" t="n">
        <v>36.66196054</v>
      </c>
      <c r="G1885" s="16" t="n">
        <v>44.54458647</v>
      </c>
      <c r="H1885" s="18" t="n">
        <v>30</v>
      </c>
      <c r="I1885" s="18" t="n">
        <v>180</v>
      </c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 t="n">
        <v>30</v>
      </c>
      <c r="W1885" s="19"/>
      <c r="X1885" s="19"/>
      <c r="Y1885" s="19"/>
      <c r="Z1885" s="19"/>
      <c r="AA1885" s="19"/>
      <c r="AB1885" s="19"/>
      <c r="AC1885" s="19"/>
      <c r="AD1885" s="19"/>
      <c r="AE1885" s="19" t="n">
        <v>30</v>
      </c>
      <c r="AF1885" s="19"/>
      <c r="AG1885" s="19"/>
      <c r="AH1885" s="19"/>
      <c r="AI1885" s="19"/>
      <c r="AJ1885" s="19"/>
      <c r="AK1885" s="19"/>
      <c r="AL1885" s="19"/>
      <c r="AM1885" s="19" t="n">
        <v>25</v>
      </c>
      <c r="AN1885" s="19"/>
      <c r="AO1885" s="19"/>
      <c r="AP1885" s="19"/>
      <c r="AQ1885" s="19" t="n">
        <v>5</v>
      </c>
      <c r="AR1885" s="19"/>
      <c r="AS1885" s="20" t="str">
        <f aca="false">HYPERLINK("http://www.openstreetmap.org/?mlat=36.662&amp;mlon=44.5446&amp;zoom=12#map=12/36.662/44.5446","Maplink1")</f>
        <v>Maplink1</v>
      </c>
      <c r="AT1885" s="20" t="str">
        <f aca="false">HYPERLINK("https://www.google.iq/maps/search/+36.662,44.5446/@36.662,44.5446,14z?hl=en","Maplink2")</f>
        <v>Maplink2</v>
      </c>
      <c r="AU1885" s="20" t="str">
        <f aca="false">HYPERLINK("http://www.bing.com/maps/?lvl=14&amp;sty=h&amp;cp=36.662~44.5446&amp;sp=point.36.662_44.5446","Maplink3")</f>
        <v>Maplink3</v>
      </c>
    </row>
    <row r="1886" customFormat="false" ht="15" hidden="false" customHeight="true" outlineLevel="0" collapsed="false">
      <c r="A1886" s="15" t="n">
        <v>27218</v>
      </c>
      <c r="B1886" s="16" t="s">
        <v>21</v>
      </c>
      <c r="C1886" s="16" t="s">
        <v>3704</v>
      </c>
      <c r="D1886" s="16" t="s">
        <v>3713</v>
      </c>
      <c r="E1886" s="17" t="s">
        <v>3714</v>
      </c>
      <c r="F1886" s="16" t="n">
        <v>36.66774927</v>
      </c>
      <c r="G1886" s="16" t="n">
        <v>44.53763738</v>
      </c>
      <c r="H1886" s="18" t="n">
        <v>110</v>
      </c>
      <c r="I1886" s="18" t="n">
        <v>660</v>
      </c>
      <c r="J1886" s="19" t="n">
        <v>50</v>
      </c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 t="n">
        <v>60</v>
      </c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 t="n">
        <v>110</v>
      </c>
      <c r="AI1886" s="19"/>
      <c r="AJ1886" s="19"/>
      <c r="AK1886" s="19"/>
      <c r="AL1886" s="19" t="n">
        <v>35</v>
      </c>
      <c r="AM1886" s="19" t="n">
        <v>60</v>
      </c>
      <c r="AN1886" s="19"/>
      <c r="AO1886" s="19"/>
      <c r="AP1886" s="19" t="n">
        <v>15</v>
      </c>
      <c r="AQ1886" s="19"/>
      <c r="AR1886" s="19"/>
      <c r="AS1886" s="20" t="str">
        <f aca="false">HYPERLINK("http://www.openstreetmap.org/?mlat=36.6677&amp;mlon=44.5376&amp;zoom=12#map=12/36.6677/44.5376","Maplink1")</f>
        <v>Maplink1</v>
      </c>
      <c r="AT1886" s="20" t="str">
        <f aca="false">HYPERLINK("https://www.google.iq/maps/search/+36.6677,44.5376/@36.6677,44.5376,14z?hl=en","Maplink2")</f>
        <v>Maplink2</v>
      </c>
      <c r="AU1886" s="20" t="str">
        <f aca="false">HYPERLINK("http://www.bing.com/maps/?lvl=14&amp;sty=h&amp;cp=36.6677~44.5376&amp;sp=point.36.6677_44.5376","Maplink3")</f>
        <v>Maplink3</v>
      </c>
    </row>
    <row r="1887" customFormat="false" ht="15" hidden="false" customHeight="true" outlineLevel="0" collapsed="false">
      <c r="A1887" s="15" t="n">
        <v>27200</v>
      </c>
      <c r="B1887" s="16" t="s">
        <v>21</v>
      </c>
      <c r="C1887" s="16" t="s">
        <v>3704</v>
      </c>
      <c r="D1887" s="16" t="s">
        <v>3715</v>
      </c>
      <c r="E1887" s="17" t="s">
        <v>3716</v>
      </c>
      <c r="F1887" s="16" t="n">
        <v>36.62170047</v>
      </c>
      <c r="G1887" s="16" t="n">
        <v>44.54485003</v>
      </c>
      <c r="H1887" s="18" t="n">
        <v>29</v>
      </c>
      <c r="I1887" s="18" t="n">
        <v>174</v>
      </c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 t="n">
        <v>29</v>
      </c>
      <c r="W1887" s="19"/>
      <c r="X1887" s="19"/>
      <c r="Y1887" s="19"/>
      <c r="Z1887" s="19"/>
      <c r="AA1887" s="19"/>
      <c r="AB1887" s="19" t="n">
        <v>29</v>
      </c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 t="n">
        <v>29</v>
      </c>
      <c r="AO1887" s="19"/>
      <c r="AP1887" s="19"/>
      <c r="AQ1887" s="19"/>
      <c r="AR1887" s="19"/>
      <c r="AS1887" s="20" t="str">
        <f aca="false">HYPERLINK("http://www.openstreetmap.org/?mlat=36.6217&amp;mlon=44.5449&amp;zoom=12#map=12/36.6217/44.5449","Maplink1")</f>
        <v>Maplink1</v>
      </c>
      <c r="AT1887" s="20" t="str">
        <f aca="false">HYPERLINK("https://www.google.iq/maps/search/+36.6217,44.5449/@36.6217,44.5449,14z?hl=en","Maplink2")</f>
        <v>Maplink2</v>
      </c>
      <c r="AU1887" s="20" t="str">
        <f aca="false">HYPERLINK("http://www.bing.com/maps/?lvl=14&amp;sty=h&amp;cp=36.6217~44.5449&amp;sp=point.36.6217_44.5449","Maplink3")</f>
        <v>Maplink3</v>
      </c>
    </row>
    <row r="1888" customFormat="false" ht="15" hidden="false" customHeight="true" outlineLevel="0" collapsed="false">
      <c r="A1888" s="15" t="n">
        <v>27198</v>
      </c>
      <c r="B1888" s="16" t="s">
        <v>21</v>
      </c>
      <c r="C1888" s="16" t="s">
        <v>3704</v>
      </c>
      <c r="D1888" s="16" t="s">
        <v>3717</v>
      </c>
      <c r="E1888" s="17" t="s">
        <v>3718</v>
      </c>
      <c r="F1888" s="16" t="n">
        <v>36.59525598</v>
      </c>
      <c r="G1888" s="16" t="n">
        <v>44.39529601</v>
      </c>
      <c r="H1888" s="18" t="n">
        <v>55</v>
      </c>
      <c r="I1888" s="18" t="n">
        <v>330</v>
      </c>
      <c r="J1888" s="19" t="n">
        <v>36</v>
      </c>
      <c r="K1888" s="19"/>
      <c r="L1888" s="19" t="n">
        <v>15</v>
      </c>
      <c r="M1888" s="19"/>
      <c r="N1888" s="19"/>
      <c r="O1888" s="19"/>
      <c r="P1888" s="19"/>
      <c r="Q1888" s="19"/>
      <c r="R1888" s="19"/>
      <c r="S1888" s="19"/>
      <c r="T1888" s="19"/>
      <c r="U1888" s="19"/>
      <c r="V1888" s="19" t="n">
        <v>4</v>
      </c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 t="n">
        <v>55</v>
      </c>
      <c r="AI1888" s="19"/>
      <c r="AJ1888" s="19"/>
      <c r="AK1888" s="19"/>
      <c r="AL1888" s="19" t="n">
        <v>15</v>
      </c>
      <c r="AM1888" s="19" t="n">
        <v>4</v>
      </c>
      <c r="AN1888" s="19"/>
      <c r="AO1888" s="19"/>
      <c r="AP1888" s="19" t="n">
        <v>26</v>
      </c>
      <c r="AQ1888" s="19" t="n">
        <v>10</v>
      </c>
      <c r="AR1888" s="19"/>
      <c r="AS1888" s="20" t="str">
        <f aca="false">HYPERLINK("http://www.openstreetmap.org/?mlat=36.5953&amp;mlon=44.3953&amp;zoom=12#map=12/36.5953/44.3953","Maplink1")</f>
        <v>Maplink1</v>
      </c>
      <c r="AT1888" s="20" t="str">
        <f aca="false">HYPERLINK("https://www.google.iq/maps/search/+36.5953,44.3953/@36.5953,44.3953,14z?hl=en","Maplink2")</f>
        <v>Maplink2</v>
      </c>
      <c r="AU1888" s="20" t="str">
        <f aca="false">HYPERLINK("http://www.bing.com/maps/?lvl=14&amp;sty=h&amp;cp=36.5953~44.3953&amp;sp=point.36.5953_44.3953","Maplink3")</f>
        <v>Maplink3</v>
      </c>
    </row>
    <row r="1889" customFormat="false" ht="15" hidden="false" customHeight="true" outlineLevel="0" collapsed="false">
      <c r="A1889" s="15" t="n">
        <v>27199</v>
      </c>
      <c r="B1889" s="16" t="s">
        <v>21</v>
      </c>
      <c r="C1889" s="16" t="s">
        <v>3704</v>
      </c>
      <c r="D1889" s="16" t="s">
        <v>3719</v>
      </c>
      <c r="E1889" s="17" t="s">
        <v>3720</v>
      </c>
      <c r="F1889" s="16" t="n">
        <v>36.60980868</v>
      </c>
      <c r="G1889" s="16" t="n">
        <v>44.40385499</v>
      </c>
      <c r="H1889" s="18" t="n">
        <v>45</v>
      </c>
      <c r="I1889" s="18" t="n">
        <v>270</v>
      </c>
      <c r="J1889" s="19" t="n">
        <v>23</v>
      </c>
      <c r="K1889" s="19"/>
      <c r="L1889" s="19" t="n">
        <v>15</v>
      </c>
      <c r="M1889" s="19"/>
      <c r="N1889" s="19"/>
      <c r="O1889" s="19"/>
      <c r="P1889" s="19"/>
      <c r="Q1889" s="19"/>
      <c r="R1889" s="19"/>
      <c r="S1889" s="19"/>
      <c r="T1889" s="19"/>
      <c r="U1889" s="19"/>
      <c r="V1889" s="19" t="n">
        <v>7</v>
      </c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 t="n">
        <v>45</v>
      </c>
      <c r="AI1889" s="19"/>
      <c r="AJ1889" s="19"/>
      <c r="AK1889" s="19"/>
      <c r="AL1889" s="19"/>
      <c r="AM1889" s="19" t="n">
        <v>7</v>
      </c>
      <c r="AN1889" s="19"/>
      <c r="AO1889" s="19"/>
      <c r="AP1889" s="19" t="n">
        <v>23</v>
      </c>
      <c r="AQ1889" s="19" t="n">
        <v>15</v>
      </c>
      <c r="AR1889" s="19"/>
      <c r="AS1889" s="20" t="str">
        <f aca="false">HYPERLINK("http://www.openstreetmap.org/?mlat=36.6098&amp;mlon=44.4039&amp;zoom=12#map=12/36.6098/44.4039","Maplink1")</f>
        <v>Maplink1</v>
      </c>
      <c r="AT1889" s="20" t="str">
        <f aca="false">HYPERLINK("https://www.google.iq/maps/search/+36.6098,44.4039/@36.6098,44.4039,14z?hl=en","Maplink2")</f>
        <v>Maplink2</v>
      </c>
      <c r="AU1889" s="20" t="str">
        <f aca="false">HYPERLINK("http://www.bing.com/maps/?lvl=14&amp;sty=h&amp;cp=36.6098~44.4039&amp;sp=point.36.6098_44.4039","Maplink3")</f>
        <v>Maplink3</v>
      </c>
    </row>
    <row r="1890" customFormat="false" ht="15" hidden="false" customHeight="true" outlineLevel="0" collapsed="false">
      <c r="A1890" s="15" t="n">
        <v>12277</v>
      </c>
      <c r="B1890" s="16" t="s">
        <v>21</v>
      </c>
      <c r="C1890" s="16" t="s">
        <v>3704</v>
      </c>
      <c r="D1890" s="16" t="s">
        <v>3721</v>
      </c>
      <c r="E1890" s="17" t="s">
        <v>3722</v>
      </c>
      <c r="F1890" s="16" t="n">
        <v>36.60876178</v>
      </c>
      <c r="G1890" s="16" t="n">
        <v>44.40508494</v>
      </c>
      <c r="H1890" s="18" t="n">
        <v>160</v>
      </c>
      <c r="I1890" s="18" t="n">
        <v>960</v>
      </c>
      <c r="J1890" s="19" t="n">
        <v>115</v>
      </c>
      <c r="K1890" s="19"/>
      <c r="L1890" s="19" t="n">
        <v>20</v>
      </c>
      <c r="M1890" s="19"/>
      <c r="N1890" s="19"/>
      <c r="O1890" s="19"/>
      <c r="P1890" s="19"/>
      <c r="Q1890" s="19"/>
      <c r="R1890" s="19"/>
      <c r="S1890" s="19"/>
      <c r="T1890" s="19"/>
      <c r="U1890" s="19"/>
      <c r="V1890" s="19" t="n">
        <v>25</v>
      </c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 t="n">
        <v>160</v>
      </c>
      <c r="AI1890" s="19"/>
      <c r="AJ1890" s="19"/>
      <c r="AK1890" s="19"/>
      <c r="AL1890" s="19" t="n">
        <v>28</v>
      </c>
      <c r="AM1890" s="19" t="n">
        <v>25</v>
      </c>
      <c r="AN1890" s="19" t="n">
        <v>12</v>
      </c>
      <c r="AO1890" s="19"/>
      <c r="AP1890" s="19" t="n">
        <v>53</v>
      </c>
      <c r="AQ1890" s="19" t="n">
        <v>42</v>
      </c>
      <c r="AR1890" s="19"/>
      <c r="AS1890" s="20" t="str">
        <f aca="false">HYPERLINK("http://www.openstreetmap.org/?mlat=36.6088&amp;mlon=44.4051&amp;zoom=12#map=12/36.6088/44.4051","Maplink1")</f>
        <v>Maplink1</v>
      </c>
      <c r="AT1890" s="20" t="str">
        <f aca="false">HYPERLINK("https://www.google.iq/maps/search/+36.6088,44.4051/@36.6088,44.4051,14z?hl=en","Maplink2")</f>
        <v>Maplink2</v>
      </c>
      <c r="AU1890" s="20" t="str">
        <f aca="false">HYPERLINK("http://www.bing.com/maps/?lvl=14&amp;sty=h&amp;cp=36.6088~44.4051&amp;sp=point.36.6088_44.4051","Maplink3")</f>
        <v>Maplink3</v>
      </c>
    </row>
    <row r="1891" customFormat="false" ht="15" hidden="false" customHeight="true" outlineLevel="0" collapsed="false">
      <c r="A1891" s="15" t="n">
        <v>12597</v>
      </c>
      <c r="B1891" s="16" t="s">
        <v>21</v>
      </c>
      <c r="C1891" s="16" t="s">
        <v>3704</v>
      </c>
      <c r="D1891" s="16" t="s">
        <v>3723</v>
      </c>
      <c r="E1891" s="17" t="s">
        <v>3724</v>
      </c>
      <c r="F1891" s="16" t="n">
        <v>36.61405134</v>
      </c>
      <c r="G1891" s="16" t="n">
        <v>44.52755388</v>
      </c>
      <c r="H1891" s="18" t="n">
        <v>274</v>
      </c>
      <c r="I1891" s="18" t="n">
        <v>1644</v>
      </c>
      <c r="J1891" s="19" t="n">
        <v>106</v>
      </c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 t="n">
        <v>74</v>
      </c>
      <c r="W1891" s="19"/>
      <c r="X1891" s="19" t="n">
        <v>94</v>
      </c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 t="n">
        <v>274</v>
      </c>
      <c r="AI1891" s="19"/>
      <c r="AJ1891" s="19"/>
      <c r="AK1891" s="19"/>
      <c r="AL1891" s="19" t="n">
        <v>28</v>
      </c>
      <c r="AM1891" s="19" t="n">
        <v>94</v>
      </c>
      <c r="AN1891" s="19" t="n">
        <v>74</v>
      </c>
      <c r="AO1891" s="19"/>
      <c r="AP1891" s="19" t="n">
        <v>78</v>
      </c>
      <c r="AQ1891" s="19"/>
      <c r="AR1891" s="19"/>
      <c r="AS1891" s="20" t="str">
        <f aca="false">HYPERLINK("http://www.openstreetmap.org/?mlat=36.6141&amp;mlon=44.5276&amp;zoom=12#map=12/36.6141/44.5276","Maplink1")</f>
        <v>Maplink1</v>
      </c>
      <c r="AT1891" s="20" t="str">
        <f aca="false">HYPERLINK("https://www.google.iq/maps/search/+36.6141,44.5276/@36.6141,44.5276,14z?hl=en","Maplink2")</f>
        <v>Maplink2</v>
      </c>
      <c r="AU1891" s="20" t="str">
        <f aca="false">HYPERLINK("http://www.bing.com/maps/?lvl=14&amp;sty=h&amp;cp=36.6141~44.5276&amp;sp=point.36.6141_44.5276","Maplink3")</f>
        <v>Maplink3</v>
      </c>
    </row>
    <row r="1892" customFormat="false" ht="15" hidden="false" customHeight="true" outlineLevel="0" collapsed="false">
      <c r="A1892" s="15" t="n">
        <v>13141</v>
      </c>
      <c r="B1892" s="16" t="s">
        <v>21</v>
      </c>
      <c r="C1892" s="16" t="s">
        <v>3704</v>
      </c>
      <c r="D1892" s="16" t="s">
        <v>3725</v>
      </c>
      <c r="E1892" s="17" t="s">
        <v>3726</v>
      </c>
      <c r="F1892" s="16" t="n">
        <v>36.65602365</v>
      </c>
      <c r="G1892" s="16" t="n">
        <v>44.54197216</v>
      </c>
      <c r="H1892" s="18" t="n">
        <v>780</v>
      </c>
      <c r="I1892" s="18" t="n">
        <v>4680</v>
      </c>
      <c r="J1892" s="19" t="n">
        <v>623</v>
      </c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 t="n">
        <v>23</v>
      </c>
      <c r="W1892" s="19"/>
      <c r="X1892" s="19" t="n">
        <v>134</v>
      </c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 t="n">
        <v>780</v>
      </c>
      <c r="AI1892" s="19"/>
      <c r="AJ1892" s="19"/>
      <c r="AK1892" s="19"/>
      <c r="AL1892" s="19" t="n">
        <v>390</v>
      </c>
      <c r="AM1892" s="19" t="n">
        <v>23</v>
      </c>
      <c r="AN1892" s="19" t="n">
        <v>134</v>
      </c>
      <c r="AO1892" s="19"/>
      <c r="AP1892" s="19" t="n">
        <v>135</v>
      </c>
      <c r="AQ1892" s="19" t="n">
        <v>98</v>
      </c>
      <c r="AR1892" s="19"/>
      <c r="AS1892" s="20" t="str">
        <f aca="false">HYPERLINK("http://www.openstreetmap.org/?mlat=36.656&amp;mlon=44.542&amp;zoom=12#map=12/36.656/44.542","Maplink1")</f>
        <v>Maplink1</v>
      </c>
      <c r="AT1892" s="20" t="str">
        <f aca="false">HYPERLINK("https://www.google.iq/maps/search/+36.656,44.542/@36.656,44.542,14z?hl=en","Maplink2")</f>
        <v>Maplink2</v>
      </c>
      <c r="AU1892" s="20" t="str">
        <f aca="false">HYPERLINK("http://www.bing.com/maps/?lvl=14&amp;sty=h&amp;cp=36.656~44.542&amp;sp=point.36.656_44.542","Maplink3")</f>
        <v>Maplink3</v>
      </c>
    </row>
    <row r="1893" customFormat="false" ht="15" hidden="false" customHeight="true" outlineLevel="0" collapsed="false">
      <c r="A1893" s="15" t="n">
        <v>27203</v>
      </c>
      <c r="B1893" s="16" t="s">
        <v>21</v>
      </c>
      <c r="C1893" s="16" t="s">
        <v>3704</v>
      </c>
      <c r="D1893" s="16" t="s">
        <v>3727</v>
      </c>
      <c r="E1893" s="17" t="s">
        <v>3728</v>
      </c>
      <c r="F1893" s="16" t="n">
        <v>36.65767833</v>
      </c>
      <c r="G1893" s="16" t="n">
        <v>44.54389125</v>
      </c>
      <c r="H1893" s="18" t="n">
        <v>75</v>
      </c>
      <c r="I1893" s="18" t="n">
        <v>450</v>
      </c>
      <c r="J1893" s="19" t="n">
        <v>34</v>
      </c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 t="n">
        <v>41</v>
      </c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 t="n">
        <v>75</v>
      </c>
      <c r="AI1893" s="19"/>
      <c r="AJ1893" s="19"/>
      <c r="AK1893" s="19"/>
      <c r="AL1893" s="19" t="n">
        <v>34</v>
      </c>
      <c r="AM1893" s="19" t="n">
        <v>41</v>
      </c>
      <c r="AN1893" s="19"/>
      <c r="AO1893" s="19"/>
      <c r="AP1893" s="19"/>
      <c r="AQ1893" s="19"/>
      <c r="AR1893" s="19"/>
      <c r="AS1893" s="20" t="str">
        <f aca="false">HYPERLINK("http://www.openstreetmap.org/?mlat=36.6577&amp;mlon=44.5439&amp;zoom=12#map=12/36.6577/44.5439","Maplink1")</f>
        <v>Maplink1</v>
      </c>
      <c r="AT1893" s="20" t="str">
        <f aca="false">HYPERLINK("https://www.google.iq/maps/search/+36.6577,44.5439/@36.6577,44.5439,14z?hl=en","Maplink2")</f>
        <v>Maplink2</v>
      </c>
      <c r="AU1893" s="20" t="str">
        <f aca="false">HYPERLINK("http://www.bing.com/maps/?lvl=14&amp;sty=h&amp;cp=36.6577~44.5439&amp;sp=point.36.6577_44.5439","Maplink3")</f>
        <v>Maplink3</v>
      </c>
    </row>
    <row r="1894" customFormat="false" ht="15" hidden="false" customHeight="true" outlineLevel="0" collapsed="false">
      <c r="A1894" s="15" t="n">
        <v>27204</v>
      </c>
      <c r="B1894" s="16" t="s">
        <v>21</v>
      </c>
      <c r="C1894" s="16" t="s">
        <v>3704</v>
      </c>
      <c r="D1894" s="16" t="s">
        <v>3729</v>
      </c>
      <c r="E1894" s="17" t="s">
        <v>3730</v>
      </c>
      <c r="F1894" s="16" t="n">
        <v>36.64947112</v>
      </c>
      <c r="G1894" s="16" t="n">
        <v>44.52883378</v>
      </c>
      <c r="H1894" s="18" t="n">
        <v>92</v>
      </c>
      <c r="I1894" s="18" t="n">
        <v>552</v>
      </c>
      <c r="J1894" s="19" t="n">
        <v>44</v>
      </c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 t="n">
        <v>48</v>
      </c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 t="n">
        <v>92</v>
      </c>
      <c r="AI1894" s="19"/>
      <c r="AJ1894" s="19"/>
      <c r="AK1894" s="19"/>
      <c r="AL1894" s="19"/>
      <c r="AM1894" s="19" t="n">
        <v>48</v>
      </c>
      <c r="AN1894" s="19"/>
      <c r="AO1894" s="19"/>
      <c r="AP1894" s="19" t="n">
        <v>44</v>
      </c>
      <c r="AQ1894" s="19"/>
      <c r="AR1894" s="19"/>
      <c r="AS1894" s="20" t="str">
        <f aca="false">HYPERLINK("http://www.openstreetmap.org/?mlat=36.6495&amp;mlon=44.5288&amp;zoom=12#map=12/36.6495/44.5288","Maplink1")</f>
        <v>Maplink1</v>
      </c>
      <c r="AT1894" s="20" t="str">
        <f aca="false">HYPERLINK("https://www.google.iq/maps/search/+36.6495,44.5288/@36.6495,44.5288,14z?hl=en","Maplink2")</f>
        <v>Maplink2</v>
      </c>
      <c r="AU1894" s="20" t="str">
        <f aca="false">HYPERLINK("http://www.bing.com/maps/?lvl=14&amp;sty=h&amp;cp=36.6495~44.5288&amp;sp=point.36.6495_44.5288","Maplink3")</f>
        <v>Maplink3</v>
      </c>
    </row>
    <row r="1895" customFormat="false" ht="15" hidden="false" customHeight="true" outlineLevel="0" collapsed="false">
      <c r="A1895" s="15" t="n">
        <v>27202</v>
      </c>
      <c r="B1895" s="16" t="s">
        <v>21</v>
      </c>
      <c r="C1895" s="16" t="s">
        <v>3704</v>
      </c>
      <c r="D1895" s="16" t="s">
        <v>3731</v>
      </c>
      <c r="E1895" s="17" t="s">
        <v>3732</v>
      </c>
      <c r="F1895" s="16" t="n">
        <v>36.65151827</v>
      </c>
      <c r="G1895" s="16" t="n">
        <v>44.54549605</v>
      </c>
      <c r="H1895" s="18" t="n">
        <v>90</v>
      </c>
      <c r="I1895" s="18" t="n">
        <v>540</v>
      </c>
      <c r="J1895" s="19" t="n">
        <v>46</v>
      </c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 t="n">
        <v>44</v>
      </c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 t="n">
        <v>90</v>
      </c>
      <c r="AI1895" s="19"/>
      <c r="AJ1895" s="19"/>
      <c r="AK1895" s="19"/>
      <c r="AL1895" s="19" t="n">
        <v>46</v>
      </c>
      <c r="AM1895" s="19" t="n">
        <v>44</v>
      </c>
      <c r="AN1895" s="19"/>
      <c r="AO1895" s="19"/>
      <c r="AP1895" s="19"/>
      <c r="AQ1895" s="19"/>
      <c r="AR1895" s="19"/>
      <c r="AS1895" s="20" t="str">
        <f aca="false">HYPERLINK("http://www.openstreetmap.org/?mlat=36.6515&amp;mlon=44.5455&amp;zoom=12#map=12/36.6515/44.5455","Maplink1")</f>
        <v>Maplink1</v>
      </c>
      <c r="AT1895" s="20" t="str">
        <f aca="false">HYPERLINK("https://www.google.iq/maps/search/+36.6515,44.5455/@36.6515,44.5455,14z?hl=en","Maplink2")</f>
        <v>Maplink2</v>
      </c>
      <c r="AU1895" s="20" t="str">
        <f aca="false">HYPERLINK("http://www.bing.com/maps/?lvl=14&amp;sty=h&amp;cp=36.6515~44.5455&amp;sp=point.36.6515_44.5455","Maplink3")</f>
        <v>Maplink3</v>
      </c>
    </row>
    <row r="1896" customFormat="false" ht="15" hidden="false" customHeight="true" outlineLevel="0" collapsed="false">
      <c r="A1896" s="15" t="n">
        <v>23744</v>
      </c>
      <c r="B1896" s="16" t="s">
        <v>22</v>
      </c>
      <c r="C1896" s="16" t="s">
        <v>3733</v>
      </c>
      <c r="D1896" s="16" t="s">
        <v>3734</v>
      </c>
      <c r="E1896" s="17" t="s">
        <v>3735</v>
      </c>
      <c r="F1896" s="16" t="n">
        <v>32.56744112</v>
      </c>
      <c r="G1896" s="16" t="n">
        <v>43.48485558</v>
      </c>
      <c r="H1896" s="18" t="n">
        <v>15</v>
      </c>
      <c r="I1896" s="18" t="n">
        <v>90</v>
      </c>
      <c r="J1896" s="19" t="n">
        <v>15</v>
      </c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 t="n">
        <v>15</v>
      </c>
      <c r="AI1896" s="19"/>
      <c r="AJ1896" s="19"/>
      <c r="AK1896" s="19"/>
      <c r="AL1896" s="19" t="n">
        <v>15</v>
      </c>
      <c r="AM1896" s="19"/>
      <c r="AN1896" s="19"/>
      <c r="AO1896" s="19"/>
      <c r="AP1896" s="19"/>
      <c r="AQ1896" s="19"/>
      <c r="AR1896" s="19"/>
      <c r="AS1896" s="20" t="str">
        <f aca="false">HYPERLINK("http://www.openstreetmap.org/?mlat=32.5674&amp;mlon=43.4849&amp;zoom=12#map=12/32.5674/43.4849","Maplink1")</f>
        <v>Maplink1</v>
      </c>
      <c r="AT1896" s="20" t="str">
        <f aca="false">HYPERLINK("https://www.google.iq/maps/search/+32.5674,43.4849/@32.5674,43.4849,14z?hl=en","Maplink2")</f>
        <v>Maplink2</v>
      </c>
      <c r="AU1896" s="20" t="str">
        <f aca="false">HYPERLINK("http://www.bing.com/maps/?lvl=14&amp;sty=h&amp;cp=32.5674~43.4849&amp;sp=point.32.5674_43.4849","Maplink3")</f>
        <v>Maplink3</v>
      </c>
    </row>
    <row r="1897" customFormat="false" ht="15" hidden="false" customHeight="true" outlineLevel="0" collapsed="false">
      <c r="A1897" s="15" t="n">
        <v>13994</v>
      </c>
      <c r="B1897" s="16" t="s">
        <v>22</v>
      </c>
      <c r="C1897" s="16" t="s">
        <v>3733</v>
      </c>
      <c r="D1897" s="16" t="s">
        <v>3736</v>
      </c>
      <c r="E1897" s="17" t="s">
        <v>3737</v>
      </c>
      <c r="F1897" s="16" t="n">
        <v>32.56712789</v>
      </c>
      <c r="G1897" s="16" t="n">
        <v>43.49542567</v>
      </c>
      <c r="H1897" s="18" t="n">
        <v>8</v>
      </c>
      <c r="I1897" s="18" t="n">
        <v>48</v>
      </c>
      <c r="J1897" s="19" t="n">
        <v>3</v>
      </c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 t="n">
        <v>5</v>
      </c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 t="n">
        <v>8</v>
      </c>
      <c r="AI1897" s="19"/>
      <c r="AJ1897" s="19"/>
      <c r="AK1897" s="19"/>
      <c r="AL1897" s="19" t="n">
        <v>3</v>
      </c>
      <c r="AM1897" s="19" t="n">
        <v>5</v>
      </c>
      <c r="AN1897" s="19"/>
      <c r="AO1897" s="19"/>
      <c r="AP1897" s="19"/>
      <c r="AQ1897" s="19"/>
      <c r="AR1897" s="19"/>
      <c r="AS1897" s="20" t="str">
        <f aca="false">HYPERLINK("http://www.openstreetmap.org/?mlat=32.5671&amp;mlon=43.4954&amp;zoom=12#map=12/32.5671/43.4954","Maplink1")</f>
        <v>Maplink1</v>
      </c>
      <c r="AT1897" s="20" t="str">
        <f aca="false">HYPERLINK("https://www.google.iq/maps/search/+32.5671,43.4954/@32.5671,43.4954,14z?hl=en","Maplink2")</f>
        <v>Maplink2</v>
      </c>
      <c r="AU1897" s="20" t="str">
        <f aca="false">HYPERLINK("http://www.bing.com/maps/?lvl=14&amp;sty=h&amp;cp=32.5671~43.4954&amp;sp=point.32.5671_43.4954","Maplink3")</f>
        <v>Maplink3</v>
      </c>
    </row>
    <row r="1898" customFormat="false" ht="15" hidden="false" customHeight="true" outlineLevel="0" collapsed="false">
      <c r="A1898" s="15" t="n">
        <v>23938</v>
      </c>
      <c r="B1898" s="16" t="s">
        <v>22</v>
      </c>
      <c r="C1898" s="16" t="s">
        <v>3733</v>
      </c>
      <c r="D1898" s="16" t="s">
        <v>445</v>
      </c>
      <c r="E1898" s="17" t="s">
        <v>3738</v>
      </c>
      <c r="F1898" s="16" t="n">
        <v>32.57087125</v>
      </c>
      <c r="G1898" s="16" t="n">
        <v>43.48535154</v>
      </c>
      <c r="H1898" s="18" t="n">
        <v>5</v>
      </c>
      <c r="I1898" s="18" t="n">
        <v>30</v>
      </c>
      <c r="J1898" s="19" t="n">
        <v>5</v>
      </c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 t="n">
        <v>5</v>
      </c>
      <c r="AI1898" s="19"/>
      <c r="AJ1898" s="19"/>
      <c r="AK1898" s="19"/>
      <c r="AL1898" s="19" t="n">
        <v>5</v>
      </c>
      <c r="AM1898" s="19"/>
      <c r="AN1898" s="19"/>
      <c r="AO1898" s="19"/>
      <c r="AP1898" s="19"/>
      <c r="AQ1898" s="19"/>
      <c r="AR1898" s="19"/>
      <c r="AS1898" s="20" t="str">
        <f aca="false">HYPERLINK("http://www.openstreetmap.org/?mlat=32.5709&amp;mlon=43.4854&amp;zoom=12#map=12/32.5709/43.4854","Maplink1")</f>
        <v>Maplink1</v>
      </c>
      <c r="AT1898" s="20" t="str">
        <f aca="false">HYPERLINK("https://www.google.iq/maps/search/+32.5709,43.4854/@32.5709,43.4854,14z?hl=en","Maplink2")</f>
        <v>Maplink2</v>
      </c>
      <c r="AU1898" s="20" t="str">
        <f aca="false">HYPERLINK("http://www.bing.com/maps/?lvl=14&amp;sty=h&amp;cp=32.5709~43.4854&amp;sp=point.32.5709_43.4854","Maplink3")</f>
        <v>Maplink3</v>
      </c>
    </row>
    <row r="1899" customFormat="false" ht="15" hidden="false" customHeight="true" outlineLevel="0" collapsed="false">
      <c r="A1899" s="15" t="n">
        <v>26004</v>
      </c>
      <c r="B1899" s="16" t="s">
        <v>22</v>
      </c>
      <c r="C1899" s="16" t="s">
        <v>3739</v>
      </c>
      <c r="D1899" s="16" t="s">
        <v>3740</v>
      </c>
      <c r="E1899" s="17" t="s">
        <v>3741</v>
      </c>
      <c r="F1899" s="16" t="n">
        <v>32.52402567</v>
      </c>
      <c r="G1899" s="16" t="n">
        <v>44.11644397</v>
      </c>
      <c r="H1899" s="18" t="n">
        <v>14</v>
      </c>
      <c r="I1899" s="18" t="n">
        <v>84</v>
      </c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 t="n">
        <v>14</v>
      </c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 t="n">
        <v>14</v>
      </c>
      <c r="AH1899" s="19"/>
      <c r="AI1899" s="19"/>
      <c r="AJ1899" s="19"/>
      <c r="AK1899" s="19"/>
      <c r="AL1899" s="19"/>
      <c r="AM1899" s="19" t="n">
        <v>14</v>
      </c>
      <c r="AN1899" s="19"/>
      <c r="AO1899" s="19"/>
      <c r="AP1899" s="19"/>
      <c r="AQ1899" s="19"/>
      <c r="AR1899" s="19"/>
      <c r="AS1899" s="20" t="str">
        <f aca="false">HYPERLINK("http://www.openstreetmap.org/?mlat=32.524&amp;mlon=44.1164&amp;zoom=12#map=12/32.524/44.1164","Maplink1")</f>
        <v>Maplink1</v>
      </c>
      <c r="AT1899" s="20" t="str">
        <f aca="false">HYPERLINK("https://www.google.iq/maps/search/+32.524,44.1164/@32.524,44.1164,14z?hl=en","Maplink2")</f>
        <v>Maplink2</v>
      </c>
      <c r="AU1899" s="20" t="str">
        <f aca="false">HYPERLINK("http://www.bing.com/maps/?lvl=14&amp;sty=h&amp;cp=32.524~44.1164&amp;sp=point.32.524_44.1164","Maplink3")</f>
        <v>Maplink3</v>
      </c>
    </row>
    <row r="1900" customFormat="false" ht="15" hidden="false" customHeight="true" outlineLevel="0" collapsed="false">
      <c r="A1900" s="15" t="n">
        <v>26001</v>
      </c>
      <c r="B1900" s="16" t="s">
        <v>22</v>
      </c>
      <c r="C1900" s="16" t="s">
        <v>3739</v>
      </c>
      <c r="D1900" s="16" t="s">
        <v>3742</v>
      </c>
      <c r="E1900" s="17" t="s">
        <v>3743</v>
      </c>
      <c r="F1900" s="16" t="n">
        <v>32.53472701</v>
      </c>
      <c r="G1900" s="16" t="n">
        <v>44.10629651</v>
      </c>
      <c r="H1900" s="18" t="n">
        <v>40</v>
      </c>
      <c r="I1900" s="18" t="n">
        <v>240</v>
      </c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 t="n">
        <v>40</v>
      </c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 t="n">
        <v>40</v>
      </c>
      <c r="AH1900" s="19"/>
      <c r="AI1900" s="19"/>
      <c r="AJ1900" s="19"/>
      <c r="AK1900" s="19"/>
      <c r="AL1900" s="19"/>
      <c r="AM1900" s="19" t="n">
        <v>40</v>
      </c>
      <c r="AN1900" s="19"/>
      <c r="AO1900" s="19"/>
      <c r="AP1900" s="19"/>
      <c r="AQ1900" s="19"/>
      <c r="AR1900" s="19"/>
      <c r="AS1900" s="20" t="str">
        <f aca="false">HYPERLINK("http://www.openstreetmap.org/?mlat=32.5347&amp;mlon=44.1063&amp;zoom=12#map=12/32.5347/44.1063","Maplink1")</f>
        <v>Maplink1</v>
      </c>
      <c r="AT1900" s="20" t="str">
        <f aca="false">HYPERLINK("https://www.google.iq/maps/search/+32.5347,44.1063/@32.5347,44.1063,14z?hl=en","Maplink2")</f>
        <v>Maplink2</v>
      </c>
      <c r="AU1900" s="20" t="str">
        <f aca="false">HYPERLINK("http://www.bing.com/maps/?lvl=14&amp;sty=h&amp;cp=32.5347~44.1063&amp;sp=point.32.5347_44.1063","Maplink3")</f>
        <v>Maplink3</v>
      </c>
    </row>
    <row r="1901" customFormat="false" ht="15" hidden="false" customHeight="true" outlineLevel="0" collapsed="false">
      <c r="A1901" s="15" t="n">
        <v>25999</v>
      </c>
      <c r="B1901" s="16" t="s">
        <v>22</v>
      </c>
      <c r="C1901" s="16" t="s">
        <v>3739</v>
      </c>
      <c r="D1901" s="16" t="s">
        <v>3744</v>
      </c>
      <c r="E1901" s="17" t="s">
        <v>3745</v>
      </c>
      <c r="F1901" s="16" t="n">
        <v>32.51399023</v>
      </c>
      <c r="G1901" s="16" t="n">
        <v>44.20698546</v>
      </c>
      <c r="H1901" s="18" t="n">
        <v>25</v>
      </c>
      <c r="I1901" s="18" t="n">
        <v>150</v>
      </c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 t="n">
        <v>25</v>
      </c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 t="n">
        <v>23</v>
      </c>
      <c r="AH1901" s="19" t="n">
        <v>2</v>
      </c>
      <c r="AI1901" s="19"/>
      <c r="AJ1901" s="19"/>
      <c r="AK1901" s="19"/>
      <c r="AL1901" s="19"/>
      <c r="AM1901" s="19" t="n">
        <v>25</v>
      </c>
      <c r="AN1901" s="19"/>
      <c r="AO1901" s="19"/>
      <c r="AP1901" s="19"/>
      <c r="AQ1901" s="19"/>
      <c r="AR1901" s="19"/>
      <c r="AS1901" s="20" t="str">
        <f aca="false">HYPERLINK("http://www.openstreetmap.org/?mlat=32.514&amp;mlon=44.207&amp;zoom=12#map=12/32.514/44.207","Maplink1")</f>
        <v>Maplink1</v>
      </c>
      <c r="AT1901" s="20" t="str">
        <f aca="false">HYPERLINK("https://www.google.iq/maps/search/+32.514,44.207/@32.514,44.207,14z?hl=en","Maplink2")</f>
        <v>Maplink2</v>
      </c>
      <c r="AU1901" s="20" t="str">
        <f aca="false">HYPERLINK("http://www.bing.com/maps/?lvl=14&amp;sty=h&amp;cp=32.514~44.207&amp;sp=point.32.514_44.207","Maplink3")</f>
        <v>Maplink3</v>
      </c>
    </row>
    <row r="1902" customFormat="false" ht="15" hidden="false" customHeight="true" outlineLevel="0" collapsed="false">
      <c r="A1902" s="15" t="n">
        <v>27336</v>
      </c>
      <c r="B1902" s="16" t="s">
        <v>22</v>
      </c>
      <c r="C1902" s="16" t="s">
        <v>3739</v>
      </c>
      <c r="D1902" s="16" t="s">
        <v>3746</v>
      </c>
      <c r="E1902" s="17" t="s">
        <v>3747</v>
      </c>
      <c r="F1902" s="16" t="n">
        <v>32.48855211</v>
      </c>
      <c r="G1902" s="16" t="n">
        <v>44.14730078</v>
      </c>
      <c r="H1902" s="18" t="n">
        <v>54</v>
      </c>
      <c r="I1902" s="18" t="n">
        <v>324</v>
      </c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 t="n">
        <v>54</v>
      </c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 t="n">
        <v>54</v>
      </c>
      <c r="AH1902" s="19"/>
      <c r="AI1902" s="19"/>
      <c r="AJ1902" s="19"/>
      <c r="AK1902" s="19"/>
      <c r="AL1902" s="19"/>
      <c r="AM1902" s="19" t="n">
        <v>54</v>
      </c>
      <c r="AN1902" s="19"/>
      <c r="AO1902" s="19"/>
      <c r="AP1902" s="19"/>
      <c r="AQ1902" s="19"/>
      <c r="AR1902" s="19"/>
      <c r="AS1902" s="20" t="str">
        <f aca="false">HYPERLINK("http://www.openstreetmap.org/?mlat=32.4886&amp;mlon=44.1473&amp;zoom=12#map=12/32.4886/44.1473","Maplink1")</f>
        <v>Maplink1</v>
      </c>
      <c r="AT1902" s="20" t="str">
        <f aca="false">HYPERLINK("https://www.google.iq/maps/search/+32.4886,44.1473/@32.4886,44.1473,14z?hl=en","Maplink2")</f>
        <v>Maplink2</v>
      </c>
      <c r="AU1902" s="20" t="str">
        <f aca="false">HYPERLINK("http://www.bing.com/maps/?lvl=14&amp;sty=h&amp;cp=32.4886~44.1473&amp;sp=point.32.4886_44.1473","Maplink3")</f>
        <v>Maplink3</v>
      </c>
    </row>
    <row r="1903" customFormat="false" ht="15" hidden="false" customHeight="true" outlineLevel="0" collapsed="false">
      <c r="A1903" s="15" t="n">
        <v>26003</v>
      </c>
      <c r="B1903" s="16" t="s">
        <v>22</v>
      </c>
      <c r="C1903" s="16" t="s">
        <v>3739</v>
      </c>
      <c r="D1903" s="16" t="s">
        <v>3748</v>
      </c>
      <c r="E1903" s="17" t="s">
        <v>3749</v>
      </c>
      <c r="F1903" s="16" t="n">
        <v>32.50833051</v>
      </c>
      <c r="G1903" s="16" t="n">
        <v>44.13011611</v>
      </c>
      <c r="H1903" s="18" t="n">
        <v>37</v>
      </c>
      <c r="I1903" s="18" t="n">
        <v>222</v>
      </c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 t="n">
        <v>37</v>
      </c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 t="n">
        <v>37</v>
      </c>
      <c r="AH1903" s="19"/>
      <c r="AI1903" s="19"/>
      <c r="AJ1903" s="19"/>
      <c r="AK1903" s="19"/>
      <c r="AL1903" s="19"/>
      <c r="AM1903" s="19" t="n">
        <v>37</v>
      </c>
      <c r="AN1903" s="19"/>
      <c r="AO1903" s="19"/>
      <c r="AP1903" s="19"/>
      <c r="AQ1903" s="19"/>
      <c r="AR1903" s="19"/>
      <c r="AS1903" s="20" t="str">
        <f aca="false">HYPERLINK("http://www.openstreetmap.org/?mlat=32.5083&amp;mlon=44.1301&amp;zoom=12#map=12/32.5083/44.1301","Maplink1")</f>
        <v>Maplink1</v>
      </c>
      <c r="AT1903" s="20" t="str">
        <f aca="false">HYPERLINK("https://www.google.iq/maps/search/+32.5083,44.1301/@32.5083,44.1301,14z?hl=en","Maplink2")</f>
        <v>Maplink2</v>
      </c>
      <c r="AU1903" s="20" t="str">
        <f aca="false">HYPERLINK("http://www.bing.com/maps/?lvl=14&amp;sty=h&amp;cp=32.5083~44.1301&amp;sp=point.32.5083_44.1301","Maplink3")</f>
        <v>Maplink3</v>
      </c>
    </row>
    <row r="1904" customFormat="false" ht="15" hidden="false" customHeight="true" outlineLevel="0" collapsed="false">
      <c r="A1904" s="15" t="n">
        <v>13947</v>
      </c>
      <c r="B1904" s="16" t="s">
        <v>22</v>
      </c>
      <c r="C1904" s="16" t="s">
        <v>3739</v>
      </c>
      <c r="D1904" s="16" t="s">
        <v>3750</v>
      </c>
      <c r="E1904" s="17" t="s">
        <v>3751</v>
      </c>
      <c r="F1904" s="16" t="n">
        <v>32.50944015</v>
      </c>
      <c r="G1904" s="16" t="n">
        <v>44.20272712</v>
      </c>
      <c r="H1904" s="18" t="n">
        <v>20</v>
      </c>
      <c r="I1904" s="18" t="n">
        <v>120</v>
      </c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 t="n">
        <v>20</v>
      </c>
      <c r="W1904" s="19"/>
      <c r="X1904" s="19"/>
      <c r="Y1904" s="19"/>
      <c r="Z1904" s="19"/>
      <c r="AA1904" s="19"/>
      <c r="AB1904" s="19"/>
      <c r="AC1904" s="19" t="n">
        <v>20</v>
      </c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 t="n">
        <v>20</v>
      </c>
      <c r="AN1904" s="19"/>
      <c r="AO1904" s="19"/>
      <c r="AP1904" s="19"/>
      <c r="AQ1904" s="19"/>
      <c r="AR1904" s="19"/>
      <c r="AS1904" s="20" t="str">
        <f aca="false">HYPERLINK("http://www.openstreetmap.org/?mlat=32.5094&amp;mlon=44.2027&amp;zoom=12#map=12/32.5094/44.2027","Maplink1")</f>
        <v>Maplink1</v>
      </c>
      <c r="AT1904" s="20" t="str">
        <f aca="false">HYPERLINK("https://www.google.iq/maps/search/+32.5094,44.2027/@32.5094,44.2027,14z?hl=en","Maplink2")</f>
        <v>Maplink2</v>
      </c>
      <c r="AU1904" s="20" t="str">
        <f aca="false">HYPERLINK("http://www.bing.com/maps/?lvl=14&amp;sty=h&amp;cp=32.5094~44.2027&amp;sp=point.32.5094_44.2027","Maplink3")</f>
        <v>Maplink3</v>
      </c>
    </row>
    <row r="1905" customFormat="false" ht="15" hidden="false" customHeight="true" outlineLevel="0" collapsed="false">
      <c r="A1905" s="15" t="n">
        <v>26013</v>
      </c>
      <c r="B1905" s="16" t="s">
        <v>22</v>
      </c>
      <c r="C1905" s="16" t="s">
        <v>3739</v>
      </c>
      <c r="D1905" s="16" t="s">
        <v>2339</v>
      </c>
      <c r="E1905" s="17" t="s">
        <v>3752</v>
      </c>
      <c r="F1905" s="16" t="n">
        <v>32.53620478</v>
      </c>
      <c r="G1905" s="16" t="n">
        <v>44.10291625</v>
      </c>
      <c r="H1905" s="18" t="n">
        <v>26</v>
      </c>
      <c r="I1905" s="18" t="n">
        <v>156</v>
      </c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 t="n">
        <v>26</v>
      </c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 t="n">
        <v>26</v>
      </c>
      <c r="AH1905" s="19"/>
      <c r="AI1905" s="19"/>
      <c r="AJ1905" s="19"/>
      <c r="AK1905" s="19"/>
      <c r="AL1905" s="19"/>
      <c r="AM1905" s="19"/>
      <c r="AN1905" s="19" t="n">
        <v>26</v>
      </c>
      <c r="AO1905" s="19"/>
      <c r="AP1905" s="19"/>
      <c r="AQ1905" s="19"/>
      <c r="AR1905" s="19"/>
      <c r="AS1905" s="20" t="str">
        <f aca="false">HYPERLINK("http://www.openstreetmap.org/?mlat=32.5362&amp;mlon=44.1029&amp;zoom=12#map=12/32.5362/44.1029","Maplink1")</f>
        <v>Maplink1</v>
      </c>
      <c r="AT1905" s="20" t="str">
        <f aca="false">HYPERLINK("https://www.google.iq/maps/search/+32.5362,44.1029/@32.5362,44.1029,14z?hl=en","Maplink2")</f>
        <v>Maplink2</v>
      </c>
      <c r="AU1905" s="20" t="str">
        <f aca="false">HYPERLINK("http://www.bing.com/maps/?lvl=14&amp;sty=h&amp;cp=32.5362~44.1029&amp;sp=point.32.5362_44.1029","Maplink3")</f>
        <v>Maplink3</v>
      </c>
    </row>
    <row r="1906" customFormat="false" ht="15" hidden="false" customHeight="true" outlineLevel="0" collapsed="false">
      <c r="A1906" s="15" t="n">
        <v>26008</v>
      </c>
      <c r="B1906" s="16" t="s">
        <v>22</v>
      </c>
      <c r="C1906" s="16" t="s">
        <v>3739</v>
      </c>
      <c r="D1906" s="16" t="s">
        <v>3753</v>
      </c>
      <c r="E1906" s="17" t="s">
        <v>3754</v>
      </c>
      <c r="F1906" s="16" t="n">
        <v>32.58814723</v>
      </c>
      <c r="G1906" s="16" t="n">
        <v>44.13437462</v>
      </c>
      <c r="H1906" s="18" t="n">
        <v>30</v>
      </c>
      <c r="I1906" s="18" t="n">
        <v>180</v>
      </c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 t="n">
        <v>30</v>
      </c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 t="n">
        <v>30</v>
      </c>
      <c r="AI1906" s="19"/>
      <c r="AJ1906" s="19"/>
      <c r="AK1906" s="19"/>
      <c r="AL1906" s="19"/>
      <c r="AM1906" s="19" t="n">
        <v>30</v>
      </c>
      <c r="AN1906" s="19"/>
      <c r="AO1906" s="19"/>
      <c r="AP1906" s="19"/>
      <c r="AQ1906" s="19"/>
      <c r="AR1906" s="19"/>
      <c r="AS1906" s="20" t="str">
        <f aca="false">HYPERLINK("http://www.openstreetmap.org/?mlat=32.5881&amp;mlon=44.1344&amp;zoom=12#map=12/32.5881/44.1344","Maplink1")</f>
        <v>Maplink1</v>
      </c>
      <c r="AT1906" s="20" t="str">
        <f aca="false">HYPERLINK("https://www.google.iq/maps/search/+32.5881,44.1344/@32.5881,44.1344,14z?hl=en","Maplink2")</f>
        <v>Maplink2</v>
      </c>
      <c r="AU1906" s="20" t="str">
        <f aca="false">HYPERLINK("http://www.bing.com/maps/?lvl=14&amp;sty=h&amp;cp=32.5881~44.1344&amp;sp=point.32.5881_44.1344","Maplink3")</f>
        <v>Maplink3</v>
      </c>
    </row>
    <row r="1907" customFormat="false" ht="15" hidden="false" customHeight="true" outlineLevel="0" collapsed="false">
      <c r="A1907" s="15" t="n">
        <v>26012</v>
      </c>
      <c r="B1907" s="16" t="s">
        <v>22</v>
      </c>
      <c r="C1907" s="16" t="s">
        <v>3739</v>
      </c>
      <c r="D1907" s="16" t="s">
        <v>3755</v>
      </c>
      <c r="E1907" s="17" t="s">
        <v>3756</v>
      </c>
      <c r="F1907" s="16" t="n">
        <v>32.4056242</v>
      </c>
      <c r="G1907" s="16" t="n">
        <v>44.19985757</v>
      </c>
      <c r="H1907" s="18" t="n">
        <v>14</v>
      </c>
      <c r="I1907" s="18" t="n">
        <v>84</v>
      </c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 t="n">
        <v>14</v>
      </c>
      <c r="W1907" s="19"/>
      <c r="X1907" s="19"/>
      <c r="Y1907" s="19"/>
      <c r="Z1907" s="19"/>
      <c r="AA1907" s="19"/>
      <c r="AB1907" s="19"/>
      <c r="AC1907" s="19"/>
      <c r="AD1907" s="19"/>
      <c r="AE1907" s="19" t="n">
        <v>2</v>
      </c>
      <c r="AF1907" s="19"/>
      <c r="AG1907" s="19" t="n">
        <v>12</v>
      </c>
      <c r="AH1907" s="19"/>
      <c r="AI1907" s="19"/>
      <c r="AJ1907" s="19"/>
      <c r="AK1907" s="19"/>
      <c r="AL1907" s="19"/>
      <c r="AM1907" s="19" t="n">
        <v>14</v>
      </c>
      <c r="AN1907" s="19"/>
      <c r="AO1907" s="19"/>
      <c r="AP1907" s="19"/>
      <c r="AQ1907" s="19"/>
      <c r="AR1907" s="19"/>
      <c r="AS1907" s="20" t="str">
        <f aca="false">HYPERLINK("http://www.openstreetmap.org/?mlat=32.4056&amp;mlon=44.1999&amp;zoom=12#map=12/32.4056/44.1999","Maplink1")</f>
        <v>Maplink1</v>
      </c>
      <c r="AT1907" s="20" t="str">
        <f aca="false">HYPERLINK("https://www.google.iq/maps/search/+32.4056,44.1999/@32.4056,44.1999,14z?hl=en","Maplink2")</f>
        <v>Maplink2</v>
      </c>
      <c r="AU1907" s="20" t="str">
        <f aca="false">HYPERLINK("http://www.bing.com/maps/?lvl=14&amp;sty=h&amp;cp=32.4056~44.1999&amp;sp=point.32.4056_44.1999","Maplink3")</f>
        <v>Maplink3</v>
      </c>
    </row>
    <row r="1908" customFormat="false" ht="15" hidden="false" customHeight="true" outlineLevel="0" collapsed="false">
      <c r="A1908" s="15" t="n">
        <v>24198</v>
      </c>
      <c r="B1908" s="16" t="s">
        <v>22</v>
      </c>
      <c r="C1908" s="16" t="s">
        <v>3739</v>
      </c>
      <c r="D1908" s="16" t="s">
        <v>2745</v>
      </c>
      <c r="E1908" s="17" t="s">
        <v>3757</v>
      </c>
      <c r="F1908" s="16" t="n">
        <v>32.5547560304</v>
      </c>
      <c r="G1908" s="16" t="n">
        <v>44.222328281</v>
      </c>
      <c r="H1908" s="18" t="n">
        <v>85</v>
      </c>
      <c r="I1908" s="18" t="n">
        <v>510</v>
      </c>
      <c r="J1908" s="19" t="n">
        <v>6</v>
      </c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 t="n">
        <v>76</v>
      </c>
      <c r="W1908" s="19"/>
      <c r="X1908" s="19" t="n">
        <v>3</v>
      </c>
      <c r="Y1908" s="19"/>
      <c r="Z1908" s="19"/>
      <c r="AA1908" s="19"/>
      <c r="AB1908" s="19"/>
      <c r="AC1908" s="19"/>
      <c r="AD1908" s="19"/>
      <c r="AE1908" s="19" t="n">
        <v>5</v>
      </c>
      <c r="AF1908" s="19"/>
      <c r="AG1908" s="19"/>
      <c r="AH1908" s="19" t="n">
        <v>66</v>
      </c>
      <c r="AI1908" s="19"/>
      <c r="AJ1908" s="19" t="n">
        <v>14</v>
      </c>
      <c r="AK1908" s="19"/>
      <c r="AL1908" s="19" t="n">
        <v>6</v>
      </c>
      <c r="AM1908" s="19" t="n">
        <v>79</v>
      </c>
      <c r="AN1908" s="19"/>
      <c r="AO1908" s="19"/>
      <c r="AP1908" s="19"/>
      <c r="AQ1908" s="19"/>
      <c r="AR1908" s="19"/>
      <c r="AS1908" s="20" t="str">
        <f aca="false">HYPERLINK("http://www.openstreetmap.org/?mlat=32.5548&amp;mlon=44.2223&amp;zoom=12#map=12/32.5548/44.2223","Maplink1")</f>
        <v>Maplink1</v>
      </c>
      <c r="AT1908" s="20" t="str">
        <f aca="false">HYPERLINK("https://www.google.iq/maps/search/+32.5548,44.2223/@32.5548,44.2223,14z?hl=en","Maplink2")</f>
        <v>Maplink2</v>
      </c>
      <c r="AU1908" s="20" t="str">
        <f aca="false">HYPERLINK("http://www.bing.com/maps/?lvl=14&amp;sty=h&amp;cp=32.5548~44.2223&amp;sp=point.32.5548_44.2223","Maplink3")</f>
        <v>Maplink3</v>
      </c>
    </row>
    <row r="1909" customFormat="false" ht="15" hidden="false" customHeight="true" outlineLevel="0" collapsed="false">
      <c r="A1909" s="15" t="n">
        <v>27334</v>
      </c>
      <c r="B1909" s="16" t="s">
        <v>22</v>
      </c>
      <c r="C1909" s="16" t="s">
        <v>3739</v>
      </c>
      <c r="D1909" s="16" t="s">
        <v>3758</v>
      </c>
      <c r="E1909" s="17" t="s">
        <v>3759</v>
      </c>
      <c r="F1909" s="16" t="n">
        <v>32.52742348</v>
      </c>
      <c r="G1909" s="16" t="n">
        <v>44.21489672</v>
      </c>
      <c r="H1909" s="18" t="n">
        <v>17</v>
      </c>
      <c r="I1909" s="18" t="n">
        <v>102</v>
      </c>
      <c r="J1909" s="19" t="n">
        <v>1</v>
      </c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 t="n">
        <v>16</v>
      </c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 t="n">
        <v>17</v>
      </c>
      <c r="AI1909" s="19"/>
      <c r="AJ1909" s="19"/>
      <c r="AK1909" s="19"/>
      <c r="AL1909" s="19" t="n">
        <v>1</v>
      </c>
      <c r="AM1909" s="19" t="n">
        <v>16</v>
      </c>
      <c r="AN1909" s="19"/>
      <c r="AO1909" s="19"/>
      <c r="AP1909" s="19"/>
      <c r="AQ1909" s="19"/>
      <c r="AR1909" s="19"/>
      <c r="AS1909" s="20" t="str">
        <f aca="false">HYPERLINK("http://www.openstreetmap.org/?mlat=32.5274&amp;mlon=44.2149&amp;zoom=12#map=12/32.5274/44.2149","Maplink1")</f>
        <v>Maplink1</v>
      </c>
      <c r="AT1909" s="20" t="str">
        <f aca="false">HYPERLINK("https://www.google.iq/maps/search/+32.5274,44.2149/@32.5274,44.2149,14z?hl=en","Maplink2")</f>
        <v>Maplink2</v>
      </c>
      <c r="AU1909" s="20" t="str">
        <f aca="false">HYPERLINK("http://www.bing.com/maps/?lvl=14&amp;sty=h&amp;cp=32.5274~44.2149&amp;sp=point.32.5274_44.2149","Maplink3")</f>
        <v>Maplink3</v>
      </c>
    </row>
    <row r="1910" customFormat="false" ht="15" hidden="false" customHeight="true" outlineLevel="0" collapsed="false">
      <c r="A1910" s="15" t="n">
        <v>25995</v>
      </c>
      <c r="B1910" s="16" t="s">
        <v>22</v>
      </c>
      <c r="C1910" s="16" t="s">
        <v>3739</v>
      </c>
      <c r="D1910" s="16" t="s">
        <v>3760</v>
      </c>
      <c r="E1910" s="17" t="s">
        <v>3761</v>
      </c>
      <c r="F1910" s="16" t="n">
        <v>32.50035517</v>
      </c>
      <c r="G1910" s="16" t="n">
        <v>44.1377838</v>
      </c>
      <c r="H1910" s="18" t="n">
        <v>125</v>
      </c>
      <c r="I1910" s="18" t="n">
        <v>750</v>
      </c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 t="n">
        <v>125</v>
      </c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 t="n">
        <v>119</v>
      </c>
      <c r="AH1910" s="19"/>
      <c r="AI1910" s="19"/>
      <c r="AJ1910" s="19" t="n">
        <v>6</v>
      </c>
      <c r="AK1910" s="19"/>
      <c r="AL1910" s="19"/>
      <c r="AM1910" s="19" t="n">
        <v>125</v>
      </c>
      <c r="AN1910" s="19"/>
      <c r="AO1910" s="19"/>
      <c r="AP1910" s="19"/>
      <c r="AQ1910" s="19"/>
      <c r="AR1910" s="19"/>
      <c r="AS1910" s="20" t="str">
        <f aca="false">HYPERLINK("http://www.openstreetmap.org/?mlat=32.5004&amp;mlon=44.1378&amp;zoom=12#map=12/32.5004/44.1378","Maplink1")</f>
        <v>Maplink1</v>
      </c>
      <c r="AT1910" s="20" t="str">
        <f aca="false">HYPERLINK("https://www.google.iq/maps/search/+32.5004,44.1378/@32.5004,44.1378,14z?hl=en","Maplink2")</f>
        <v>Maplink2</v>
      </c>
      <c r="AU1910" s="20" t="str">
        <f aca="false">HYPERLINK("http://www.bing.com/maps/?lvl=14&amp;sty=h&amp;cp=32.5004~44.1378&amp;sp=point.32.5004_44.1378","Maplink3")</f>
        <v>Maplink3</v>
      </c>
    </row>
    <row r="1911" customFormat="false" ht="15" hidden="false" customHeight="true" outlineLevel="0" collapsed="false">
      <c r="A1911" s="15" t="n">
        <v>25058</v>
      </c>
      <c r="B1911" s="16" t="s">
        <v>22</v>
      </c>
      <c r="C1911" s="16" t="s">
        <v>3739</v>
      </c>
      <c r="D1911" s="16" t="s">
        <v>3762</v>
      </c>
      <c r="E1911" s="17" t="s">
        <v>3763</v>
      </c>
      <c r="F1911" s="16" t="n">
        <v>32.40282163</v>
      </c>
      <c r="G1911" s="16" t="n">
        <v>44.20276383</v>
      </c>
      <c r="H1911" s="18" t="n">
        <v>235</v>
      </c>
      <c r="I1911" s="18" t="n">
        <v>1410</v>
      </c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 t="n">
        <v>235</v>
      </c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 t="n">
        <v>235</v>
      </c>
      <c r="AH1911" s="19"/>
      <c r="AI1911" s="19"/>
      <c r="AJ1911" s="19"/>
      <c r="AK1911" s="19"/>
      <c r="AL1911" s="19"/>
      <c r="AM1911" s="19" t="n">
        <v>235</v>
      </c>
      <c r="AN1911" s="19"/>
      <c r="AO1911" s="19"/>
      <c r="AP1911" s="19"/>
      <c r="AQ1911" s="19"/>
      <c r="AR1911" s="19"/>
      <c r="AS1911" s="20" t="str">
        <f aca="false">HYPERLINK("http://www.openstreetmap.org/?mlat=32.4028&amp;mlon=44.2028&amp;zoom=12#map=12/32.4028/44.2028","Maplink1")</f>
        <v>Maplink1</v>
      </c>
      <c r="AT1911" s="20" t="str">
        <f aca="false">HYPERLINK("https://www.google.iq/maps/search/+32.4028,44.2028/@32.4028,44.2028,14z?hl=en","Maplink2")</f>
        <v>Maplink2</v>
      </c>
      <c r="AU1911" s="20" t="str">
        <f aca="false">HYPERLINK("http://www.bing.com/maps/?lvl=14&amp;sty=h&amp;cp=32.4028~44.2028&amp;sp=point.32.4028_44.2028","Maplink3")</f>
        <v>Maplink3</v>
      </c>
    </row>
    <row r="1912" customFormat="false" ht="15" hidden="false" customHeight="true" outlineLevel="0" collapsed="false">
      <c r="A1912" s="15" t="n">
        <v>26011</v>
      </c>
      <c r="B1912" s="16" t="s">
        <v>22</v>
      </c>
      <c r="C1912" s="16" t="s">
        <v>3739</v>
      </c>
      <c r="D1912" s="16" t="s">
        <v>3764</v>
      </c>
      <c r="E1912" s="17" t="s">
        <v>3765</v>
      </c>
      <c r="F1912" s="16" t="n">
        <v>32.36605186</v>
      </c>
      <c r="G1912" s="16" t="n">
        <v>44.22833106</v>
      </c>
      <c r="H1912" s="18" t="n">
        <v>25</v>
      </c>
      <c r="I1912" s="18" t="n">
        <v>150</v>
      </c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 t="n">
        <v>25</v>
      </c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 t="n">
        <v>25</v>
      </c>
      <c r="AH1912" s="19"/>
      <c r="AI1912" s="19"/>
      <c r="AJ1912" s="19"/>
      <c r="AK1912" s="19"/>
      <c r="AL1912" s="19"/>
      <c r="AM1912" s="19"/>
      <c r="AN1912" s="19" t="n">
        <v>25</v>
      </c>
      <c r="AO1912" s="19"/>
      <c r="AP1912" s="19"/>
      <c r="AQ1912" s="19"/>
      <c r="AR1912" s="19"/>
      <c r="AS1912" s="20" t="str">
        <f aca="false">HYPERLINK("http://www.openstreetmap.org/?mlat=32.3661&amp;mlon=44.2283&amp;zoom=12#map=12/32.3661/44.2283","Maplink1")</f>
        <v>Maplink1</v>
      </c>
      <c r="AT1912" s="20" t="str">
        <f aca="false">HYPERLINK("https://www.google.iq/maps/search/+32.3661,44.2283/@32.3661,44.2283,14z?hl=en","Maplink2")</f>
        <v>Maplink2</v>
      </c>
      <c r="AU1912" s="20" t="str">
        <f aca="false">HYPERLINK("http://www.bing.com/maps/?lvl=14&amp;sty=h&amp;cp=32.3661~44.2283&amp;sp=point.32.3661_44.2283","Maplink3")</f>
        <v>Maplink3</v>
      </c>
    </row>
    <row r="1913" customFormat="false" ht="15" hidden="false" customHeight="true" outlineLevel="0" collapsed="false">
      <c r="A1913" s="15" t="n">
        <v>25494</v>
      </c>
      <c r="B1913" s="16" t="s">
        <v>22</v>
      </c>
      <c r="C1913" s="16" t="s">
        <v>3739</v>
      </c>
      <c r="D1913" s="16" t="s">
        <v>3766</v>
      </c>
      <c r="E1913" s="17" t="s">
        <v>3767</v>
      </c>
      <c r="F1913" s="16" t="n">
        <v>32.47103192</v>
      </c>
      <c r="G1913" s="16" t="n">
        <v>44.15798645</v>
      </c>
      <c r="H1913" s="18" t="n">
        <v>32</v>
      </c>
      <c r="I1913" s="18" t="n">
        <v>192</v>
      </c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 t="n">
        <v>32</v>
      </c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 t="n">
        <v>32</v>
      </c>
      <c r="AI1913" s="19"/>
      <c r="AJ1913" s="19"/>
      <c r="AK1913" s="19"/>
      <c r="AL1913" s="19"/>
      <c r="AM1913" s="19" t="n">
        <v>32</v>
      </c>
      <c r="AN1913" s="19"/>
      <c r="AO1913" s="19"/>
      <c r="AP1913" s="19"/>
      <c r="AQ1913" s="19"/>
      <c r="AR1913" s="19"/>
      <c r="AS1913" s="20" t="str">
        <f aca="false">HYPERLINK("http://www.openstreetmap.org/?mlat=32.471&amp;mlon=44.158&amp;zoom=12#map=12/32.471/44.158","Maplink1")</f>
        <v>Maplink1</v>
      </c>
      <c r="AT1913" s="20" t="str">
        <f aca="false">HYPERLINK("https://www.google.iq/maps/search/+32.471,44.158/@32.471,44.158,14z?hl=en","Maplink2")</f>
        <v>Maplink2</v>
      </c>
      <c r="AU1913" s="20" t="str">
        <f aca="false">HYPERLINK("http://www.bing.com/maps/?lvl=14&amp;sty=h&amp;cp=32.471~44.158&amp;sp=point.32.471_44.158","Maplink3")</f>
        <v>Maplink3</v>
      </c>
    </row>
    <row r="1914" customFormat="false" ht="15" hidden="false" customHeight="true" outlineLevel="0" collapsed="false">
      <c r="A1914" s="15" t="n">
        <v>25845</v>
      </c>
      <c r="B1914" s="16" t="s">
        <v>22</v>
      </c>
      <c r="C1914" s="16" t="s">
        <v>3739</v>
      </c>
      <c r="D1914" s="16" t="s">
        <v>3768</v>
      </c>
      <c r="E1914" s="17" t="s">
        <v>1988</v>
      </c>
      <c r="F1914" s="16" t="n">
        <v>32.557553323</v>
      </c>
      <c r="G1914" s="16" t="n">
        <v>44.2247571889</v>
      </c>
      <c r="H1914" s="18" t="n">
        <v>33</v>
      </c>
      <c r="I1914" s="18" t="n">
        <v>198</v>
      </c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 t="n">
        <v>33</v>
      </c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 t="n">
        <v>4</v>
      </c>
      <c r="AH1914" s="19" t="n">
        <v>29</v>
      </c>
      <c r="AI1914" s="19"/>
      <c r="AJ1914" s="19"/>
      <c r="AK1914" s="19"/>
      <c r="AL1914" s="19"/>
      <c r="AM1914" s="19" t="n">
        <v>33</v>
      </c>
      <c r="AN1914" s="19"/>
      <c r="AO1914" s="19"/>
      <c r="AP1914" s="19"/>
      <c r="AQ1914" s="19"/>
      <c r="AR1914" s="19"/>
      <c r="AS1914" s="20" t="str">
        <f aca="false">HYPERLINK("http://www.openstreetmap.org/?mlat=32.5576&amp;mlon=44.2248&amp;zoom=12#map=12/32.5576/44.2248","Maplink1")</f>
        <v>Maplink1</v>
      </c>
      <c r="AT1914" s="20" t="str">
        <f aca="false">HYPERLINK("https://www.google.iq/maps/search/+32.5576,44.2248/@32.5576,44.2248,14z?hl=en","Maplink2")</f>
        <v>Maplink2</v>
      </c>
      <c r="AU1914" s="20" t="str">
        <f aca="false">HYPERLINK("http://www.bing.com/maps/?lvl=14&amp;sty=h&amp;cp=32.5576~44.2248&amp;sp=point.32.5576_44.2248","Maplink3")</f>
        <v>Maplink3</v>
      </c>
    </row>
    <row r="1915" customFormat="false" ht="15" hidden="false" customHeight="true" outlineLevel="0" collapsed="false">
      <c r="A1915" s="15" t="n">
        <v>14098</v>
      </c>
      <c r="B1915" s="16" t="s">
        <v>22</v>
      </c>
      <c r="C1915" s="16" t="s">
        <v>3739</v>
      </c>
      <c r="D1915" s="16" t="s">
        <v>3769</v>
      </c>
      <c r="E1915" s="17" t="s">
        <v>3770</v>
      </c>
      <c r="F1915" s="16" t="n">
        <v>32.58663065</v>
      </c>
      <c r="G1915" s="16" t="n">
        <v>44.14787083</v>
      </c>
      <c r="H1915" s="18" t="n">
        <v>22</v>
      </c>
      <c r="I1915" s="18" t="n">
        <v>132</v>
      </c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 t="n">
        <v>22</v>
      </c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 t="n">
        <v>22</v>
      </c>
      <c r="AI1915" s="19"/>
      <c r="AJ1915" s="19"/>
      <c r="AK1915" s="19"/>
      <c r="AL1915" s="19"/>
      <c r="AM1915" s="19" t="n">
        <v>22</v>
      </c>
      <c r="AN1915" s="19"/>
      <c r="AO1915" s="19"/>
      <c r="AP1915" s="19"/>
      <c r="AQ1915" s="19"/>
      <c r="AR1915" s="19"/>
      <c r="AS1915" s="20" t="str">
        <f aca="false">HYPERLINK("http://www.openstreetmap.org/?mlat=32.5866&amp;mlon=44.1479&amp;zoom=12#map=12/32.5866/44.1479","Maplink1")</f>
        <v>Maplink1</v>
      </c>
      <c r="AT1915" s="20" t="str">
        <f aca="false">HYPERLINK("https://www.google.iq/maps/search/+32.5866,44.1479/@32.5866,44.1479,14z?hl=en","Maplink2")</f>
        <v>Maplink2</v>
      </c>
      <c r="AU1915" s="20" t="str">
        <f aca="false">HYPERLINK("http://www.bing.com/maps/?lvl=14&amp;sty=h&amp;cp=32.5866~44.1479&amp;sp=point.32.5866_44.1479","Maplink3")</f>
        <v>Maplink3</v>
      </c>
    </row>
    <row r="1916" customFormat="false" ht="15" hidden="false" customHeight="true" outlineLevel="0" collapsed="false">
      <c r="A1916" s="15" t="n">
        <v>14106</v>
      </c>
      <c r="B1916" s="16" t="s">
        <v>22</v>
      </c>
      <c r="C1916" s="16" t="s">
        <v>3739</v>
      </c>
      <c r="D1916" s="16" t="s">
        <v>3771</v>
      </c>
      <c r="E1916" s="17" t="s">
        <v>3772</v>
      </c>
      <c r="F1916" s="16" t="n">
        <v>32.58523783</v>
      </c>
      <c r="G1916" s="16" t="n">
        <v>44.15783524</v>
      </c>
      <c r="H1916" s="18" t="n">
        <v>45</v>
      </c>
      <c r="I1916" s="18" t="n">
        <v>270</v>
      </c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 t="n">
        <v>45</v>
      </c>
      <c r="W1916" s="19"/>
      <c r="X1916" s="19"/>
      <c r="Y1916" s="19"/>
      <c r="Z1916" s="19"/>
      <c r="AA1916" s="19"/>
      <c r="AB1916" s="19"/>
      <c r="AC1916" s="19" t="n">
        <v>4</v>
      </c>
      <c r="AD1916" s="19"/>
      <c r="AE1916" s="19"/>
      <c r="AF1916" s="19"/>
      <c r="AG1916" s="19"/>
      <c r="AH1916" s="19" t="n">
        <v>41</v>
      </c>
      <c r="AI1916" s="19"/>
      <c r="AJ1916" s="19"/>
      <c r="AK1916" s="19"/>
      <c r="AL1916" s="19"/>
      <c r="AM1916" s="19" t="n">
        <v>45</v>
      </c>
      <c r="AN1916" s="19"/>
      <c r="AO1916" s="19"/>
      <c r="AP1916" s="19"/>
      <c r="AQ1916" s="19"/>
      <c r="AR1916" s="19"/>
      <c r="AS1916" s="20" t="str">
        <f aca="false">HYPERLINK("http://www.openstreetmap.org/?mlat=32.5852&amp;mlon=44.1578&amp;zoom=12#map=12/32.5852/44.1578","Maplink1")</f>
        <v>Maplink1</v>
      </c>
      <c r="AT1916" s="20" t="str">
        <f aca="false">HYPERLINK("https://www.google.iq/maps/search/+32.5852,44.1578/@32.5852,44.1578,14z?hl=en","Maplink2")</f>
        <v>Maplink2</v>
      </c>
      <c r="AU1916" s="20" t="str">
        <f aca="false">HYPERLINK("http://www.bing.com/maps/?lvl=14&amp;sty=h&amp;cp=32.5852~44.1578&amp;sp=point.32.5852_44.1578","Maplink3")</f>
        <v>Maplink3</v>
      </c>
    </row>
    <row r="1917" customFormat="false" ht="15" hidden="false" customHeight="true" outlineLevel="0" collapsed="false">
      <c r="A1917" s="15" t="n">
        <v>25553</v>
      </c>
      <c r="B1917" s="16" t="s">
        <v>22</v>
      </c>
      <c r="C1917" s="16" t="s">
        <v>3739</v>
      </c>
      <c r="D1917" s="16" t="s">
        <v>3773</v>
      </c>
      <c r="E1917" s="17" t="s">
        <v>3774</v>
      </c>
      <c r="F1917" s="16" t="n">
        <v>32.5485116802</v>
      </c>
      <c r="G1917" s="16" t="n">
        <v>44.243368702</v>
      </c>
      <c r="H1917" s="18" t="n">
        <v>4</v>
      </c>
      <c r="I1917" s="18" t="n">
        <v>24</v>
      </c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 t="n">
        <v>4</v>
      </c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 t="n">
        <v>4</v>
      </c>
      <c r="AI1917" s="19"/>
      <c r="AJ1917" s="19"/>
      <c r="AK1917" s="19"/>
      <c r="AL1917" s="19"/>
      <c r="AM1917" s="19" t="n">
        <v>4</v>
      </c>
      <c r="AN1917" s="19"/>
      <c r="AO1917" s="19"/>
      <c r="AP1917" s="19"/>
      <c r="AQ1917" s="19"/>
      <c r="AR1917" s="19"/>
      <c r="AS1917" s="20" t="str">
        <f aca="false">HYPERLINK("http://www.openstreetmap.org/?mlat=32.5485&amp;mlon=44.2434&amp;zoom=12#map=12/32.5485/44.2434","Maplink1")</f>
        <v>Maplink1</v>
      </c>
      <c r="AT1917" s="20" t="str">
        <f aca="false">HYPERLINK("https://www.google.iq/maps/search/+32.5485,44.2434/@32.5485,44.2434,14z?hl=en","Maplink2")</f>
        <v>Maplink2</v>
      </c>
      <c r="AU1917" s="20" t="str">
        <f aca="false">HYPERLINK("http://www.bing.com/maps/?lvl=14&amp;sty=h&amp;cp=32.5485~44.2434&amp;sp=point.32.5485_44.2434","Maplink3")</f>
        <v>Maplink3</v>
      </c>
    </row>
    <row r="1918" customFormat="false" ht="15" hidden="false" customHeight="true" outlineLevel="0" collapsed="false">
      <c r="A1918" s="15" t="n">
        <v>14323</v>
      </c>
      <c r="B1918" s="16" t="s">
        <v>22</v>
      </c>
      <c r="C1918" s="16" t="s">
        <v>3739</v>
      </c>
      <c r="D1918" s="16" t="s">
        <v>3775</v>
      </c>
      <c r="E1918" s="17" t="s">
        <v>3776</v>
      </c>
      <c r="F1918" s="16" t="n">
        <v>32.5364572</v>
      </c>
      <c r="G1918" s="16" t="n">
        <v>44.21771321</v>
      </c>
      <c r="H1918" s="18" t="n">
        <v>68</v>
      </c>
      <c r="I1918" s="18" t="n">
        <v>408</v>
      </c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 t="n">
        <v>68</v>
      </c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 t="n">
        <v>11</v>
      </c>
      <c r="AH1918" s="19" t="n">
        <v>57</v>
      </c>
      <c r="AI1918" s="19"/>
      <c r="AJ1918" s="19"/>
      <c r="AK1918" s="19"/>
      <c r="AL1918" s="19"/>
      <c r="AM1918" s="19" t="n">
        <v>68</v>
      </c>
      <c r="AN1918" s="19"/>
      <c r="AO1918" s="19"/>
      <c r="AP1918" s="19"/>
      <c r="AQ1918" s="19"/>
      <c r="AR1918" s="19"/>
      <c r="AS1918" s="20" t="str">
        <f aca="false">HYPERLINK("http://www.openstreetmap.org/?mlat=32.5365&amp;mlon=44.2177&amp;zoom=12#map=12/32.5365/44.2177","Maplink1")</f>
        <v>Maplink1</v>
      </c>
      <c r="AT1918" s="20" t="str">
        <f aca="false">HYPERLINK("https://www.google.iq/maps/search/+32.5365,44.2177/@32.5365,44.2177,14z?hl=en","Maplink2")</f>
        <v>Maplink2</v>
      </c>
      <c r="AU1918" s="20" t="str">
        <f aca="false">HYPERLINK("http://www.bing.com/maps/?lvl=14&amp;sty=h&amp;cp=32.5365~44.2177&amp;sp=point.32.5365_44.2177","Maplink3")</f>
        <v>Maplink3</v>
      </c>
    </row>
    <row r="1919" customFormat="false" ht="15" hidden="false" customHeight="true" outlineLevel="0" collapsed="false">
      <c r="A1919" s="15" t="n">
        <v>14097</v>
      </c>
      <c r="B1919" s="16" t="s">
        <v>22</v>
      </c>
      <c r="C1919" s="16" t="s">
        <v>3739</v>
      </c>
      <c r="D1919" s="16" t="s">
        <v>3777</v>
      </c>
      <c r="E1919" s="17" t="s">
        <v>3778</v>
      </c>
      <c r="F1919" s="16" t="n">
        <v>32.49990335</v>
      </c>
      <c r="G1919" s="16" t="n">
        <v>44.19694344</v>
      </c>
      <c r="H1919" s="18" t="n">
        <v>30</v>
      </c>
      <c r="I1919" s="18" t="n">
        <v>180</v>
      </c>
      <c r="J1919" s="19" t="n">
        <v>4</v>
      </c>
      <c r="K1919" s="19"/>
      <c r="L1919" s="19" t="n">
        <v>1</v>
      </c>
      <c r="M1919" s="19"/>
      <c r="N1919" s="19"/>
      <c r="O1919" s="19"/>
      <c r="P1919" s="19"/>
      <c r="Q1919" s="19"/>
      <c r="R1919" s="19" t="n">
        <v>1</v>
      </c>
      <c r="S1919" s="19"/>
      <c r="T1919" s="19"/>
      <c r="U1919" s="19"/>
      <c r="V1919" s="19" t="n">
        <v>24</v>
      </c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 t="n">
        <v>30</v>
      </c>
      <c r="AI1919" s="19"/>
      <c r="AJ1919" s="19"/>
      <c r="AK1919" s="19"/>
      <c r="AL1919" s="19"/>
      <c r="AM1919" s="19" t="n">
        <v>30</v>
      </c>
      <c r="AN1919" s="19"/>
      <c r="AO1919" s="19"/>
      <c r="AP1919" s="19"/>
      <c r="AQ1919" s="19"/>
      <c r="AR1919" s="19"/>
      <c r="AS1919" s="20" t="str">
        <f aca="false">HYPERLINK("http://www.openstreetmap.org/?mlat=32.4999&amp;mlon=44.1969&amp;zoom=12#map=12/32.4999/44.1969","Maplink1")</f>
        <v>Maplink1</v>
      </c>
      <c r="AT1919" s="20" t="str">
        <f aca="false">HYPERLINK("https://www.google.iq/maps/search/+32.4999,44.1969/@32.4999,44.1969,14z?hl=en","Maplink2")</f>
        <v>Maplink2</v>
      </c>
      <c r="AU1919" s="20" t="str">
        <f aca="false">HYPERLINK("http://www.bing.com/maps/?lvl=14&amp;sty=h&amp;cp=32.4999~44.1969&amp;sp=point.32.4999_44.1969","Maplink3")</f>
        <v>Maplink3</v>
      </c>
    </row>
    <row r="1920" customFormat="false" ht="15" hidden="false" customHeight="true" outlineLevel="0" collapsed="false">
      <c r="A1920" s="15" t="n">
        <v>21235</v>
      </c>
      <c r="B1920" s="16" t="s">
        <v>22</v>
      </c>
      <c r="C1920" s="16" t="s">
        <v>3739</v>
      </c>
      <c r="D1920" s="16" t="s">
        <v>3779</v>
      </c>
      <c r="E1920" s="17" t="s">
        <v>3780</v>
      </c>
      <c r="F1920" s="16" t="n">
        <v>32.5461282</v>
      </c>
      <c r="G1920" s="16" t="n">
        <v>44.22265777</v>
      </c>
      <c r="H1920" s="18" t="n">
        <v>9</v>
      </c>
      <c r="I1920" s="18" t="n">
        <v>54</v>
      </c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 t="n">
        <v>9</v>
      </c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 t="n">
        <v>9</v>
      </c>
      <c r="AI1920" s="19"/>
      <c r="AJ1920" s="19"/>
      <c r="AK1920" s="19"/>
      <c r="AL1920" s="19"/>
      <c r="AM1920" s="19" t="n">
        <v>9</v>
      </c>
      <c r="AN1920" s="19"/>
      <c r="AO1920" s="19"/>
      <c r="AP1920" s="19"/>
      <c r="AQ1920" s="19"/>
      <c r="AR1920" s="19"/>
      <c r="AS1920" s="20" t="str">
        <f aca="false">HYPERLINK("http://www.openstreetmap.org/?mlat=32.5461&amp;mlon=44.2227&amp;zoom=12#map=12/32.5461/44.2227","Maplink1")</f>
        <v>Maplink1</v>
      </c>
      <c r="AT1920" s="20" t="str">
        <f aca="false">HYPERLINK("https://www.google.iq/maps/search/+32.5461,44.2227/@32.5461,44.2227,14z?hl=en","Maplink2")</f>
        <v>Maplink2</v>
      </c>
      <c r="AU1920" s="20" t="str">
        <f aca="false">HYPERLINK("http://www.bing.com/maps/?lvl=14&amp;sty=h&amp;cp=32.5461~44.2227&amp;sp=point.32.5461_44.2227","Maplink3")</f>
        <v>Maplink3</v>
      </c>
    </row>
    <row r="1921" customFormat="false" ht="15" hidden="false" customHeight="true" outlineLevel="0" collapsed="false">
      <c r="A1921" s="15" t="n">
        <v>13807</v>
      </c>
      <c r="B1921" s="16" t="s">
        <v>22</v>
      </c>
      <c r="C1921" s="16" t="s">
        <v>3739</v>
      </c>
      <c r="D1921" s="16" t="s">
        <v>3781</v>
      </c>
      <c r="E1921" s="17" t="s">
        <v>3782</v>
      </c>
      <c r="F1921" s="16" t="n">
        <v>32.54414194</v>
      </c>
      <c r="G1921" s="16" t="n">
        <v>44.21767917</v>
      </c>
      <c r="H1921" s="18" t="n">
        <v>13</v>
      </c>
      <c r="I1921" s="18" t="n">
        <v>78</v>
      </c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 t="n">
        <v>13</v>
      </c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 t="n">
        <v>11</v>
      </c>
      <c r="AI1921" s="19"/>
      <c r="AJ1921" s="19" t="n">
        <v>2</v>
      </c>
      <c r="AK1921" s="19"/>
      <c r="AL1921" s="19"/>
      <c r="AM1921" s="19" t="n">
        <v>13</v>
      </c>
      <c r="AN1921" s="19"/>
      <c r="AO1921" s="19"/>
      <c r="AP1921" s="19"/>
      <c r="AQ1921" s="19"/>
      <c r="AR1921" s="19"/>
      <c r="AS1921" s="20" t="str">
        <f aca="false">HYPERLINK("http://www.openstreetmap.org/?mlat=32.5441&amp;mlon=44.2177&amp;zoom=12#map=12/32.5441/44.2177","Maplink1")</f>
        <v>Maplink1</v>
      </c>
      <c r="AT1921" s="20" t="str">
        <f aca="false">HYPERLINK("https://www.google.iq/maps/search/+32.5441,44.2177/@32.5441,44.2177,14z?hl=en","Maplink2")</f>
        <v>Maplink2</v>
      </c>
      <c r="AU1921" s="20" t="str">
        <f aca="false">HYPERLINK("http://www.bing.com/maps/?lvl=14&amp;sty=h&amp;cp=32.5441~44.2177&amp;sp=point.32.5441_44.2177","Maplink3")</f>
        <v>Maplink3</v>
      </c>
    </row>
    <row r="1922" customFormat="false" ht="15" hidden="false" customHeight="true" outlineLevel="0" collapsed="false">
      <c r="A1922" s="15" t="n">
        <v>26009</v>
      </c>
      <c r="B1922" s="16" t="s">
        <v>22</v>
      </c>
      <c r="C1922" s="16" t="s">
        <v>3739</v>
      </c>
      <c r="D1922" s="16" t="s">
        <v>3783</v>
      </c>
      <c r="E1922" s="17" t="s">
        <v>3784</v>
      </c>
      <c r="F1922" s="16" t="n">
        <v>32.36674097</v>
      </c>
      <c r="G1922" s="16" t="n">
        <v>44.22868646</v>
      </c>
      <c r="H1922" s="18" t="n">
        <v>1595</v>
      </c>
      <c r="I1922" s="18" t="n">
        <v>9570</v>
      </c>
      <c r="J1922" s="19" t="n">
        <v>2</v>
      </c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 t="n">
        <v>1593</v>
      </c>
      <c r="W1922" s="19"/>
      <c r="X1922" s="19"/>
      <c r="Y1922" s="19"/>
      <c r="Z1922" s="19"/>
      <c r="AA1922" s="19"/>
      <c r="AB1922" s="19"/>
      <c r="AC1922" s="19" t="n">
        <v>32</v>
      </c>
      <c r="AD1922" s="19"/>
      <c r="AE1922" s="19"/>
      <c r="AF1922" s="19"/>
      <c r="AG1922" s="19" t="n">
        <v>1450</v>
      </c>
      <c r="AH1922" s="19" t="n">
        <v>113</v>
      </c>
      <c r="AI1922" s="19"/>
      <c r="AJ1922" s="19"/>
      <c r="AK1922" s="19"/>
      <c r="AL1922" s="19"/>
      <c r="AM1922" s="19"/>
      <c r="AN1922" s="19" t="n">
        <v>1593</v>
      </c>
      <c r="AO1922" s="19"/>
      <c r="AP1922" s="19"/>
      <c r="AQ1922" s="19" t="n">
        <v>2</v>
      </c>
      <c r="AR1922" s="19"/>
      <c r="AS1922" s="20" t="str">
        <f aca="false">HYPERLINK("http://www.openstreetmap.org/?mlat=32.3667&amp;mlon=44.2287&amp;zoom=12#map=12/32.3667/44.2287","Maplink1")</f>
        <v>Maplink1</v>
      </c>
      <c r="AT1922" s="20" t="str">
        <f aca="false">HYPERLINK("https://www.google.iq/maps/search/+32.3667,44.2287/@32.3667,44.2287,14z?hl=en","Maplink2")</f>
        <v>Maplink2</v>
      </c>
      <c r="AU1922" s="20" t="str">
        <f aca="false">HYPERLINK("http://www.bing.com/maps/?lvl=14&amp;sty=h&amp;cp=32.3667~44.2287&amp;sp=point.32.3667_44.2287","Maplink3")</f>
        <v>Maplink3</v>
      </c>
    </row>
    <row r="1923" customFormat="false" ht="15" hidden="false" customHeight="true" outlineLevel="0" collapsed="false">
      <c r="A1923" s="15" t="n">
        <v>14298</v>
      </c>
      <c r="B1923" s="16" t="s">
        <v>22</v>
      </c>
      <c r="C1923" s="16" t="s">
        <v>3739</v>
      </c>
      <c r="D1923" s="16" t="s">
        <v>3785</v>
      </c>
      <c r="E1923" s="17" t="s">
        <v>3786</v>
      </c>
      <c r="F1923" s="16" t="n">
        <v>32.550767879</v>
      </c>
      <c r="G1923" s="16" t="n">
        <v>44.2491788696</v>
      </c>
      <c r="H1923" s="18" t="n">
        <v>35</v>
      </c>
      <c r="I1923" s="18" t="n">
        <v>210</v>
      </c>
      <c r="J1923" s="19"/>
      <c r="K1923" s="19"/>
      <c r="L1923" s="19" t="n">
        <v>10</v>
      </c>
      <c r="M1923" s="19"/>
      <c r="N1923" s="19"/>
      <c r="O1923" s="19"/>
      <c r="P1923" s="19"/>
      <c r="Q1923" s="19"/>
      <c r="R1923" s="19"/>
      <c r="S1923" s="19"/>
      <c r="T1923" s="19"/>
      <c r="U1923" s="19"/>
      <c r="V1923" s="19" t="n">
        <v>25</v>
      </c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 t="n">
        <v>35</v>
      </c>
      <c r="AI1923" s="19"/>
      <c r="AJ1923" s="19"/>
      <c r="AK1923" s="19"/>
      <c r="AL1923" s="19"/>
      <c r="AM1923" s="19" t="n">
        <v>25</v>
      </c>
      <c r="AN1923" s="19" t="n">
        <v>10</v>
      </c>
      <c r="AO1923" s="19"/>
      <c r="AP1923" s="19"/>
      <c r="AQ1923" s="19"/>
      <c r="AR1923" s="19"/>
      <c r="AS1923" s="20" t="str">
        <f aca="false">HYPERLINK("http://www.openstreetmap.org/?mlat=32.5508&amp;mlon=44.2492&amp;zoom=12#map=12/32.5508/44.2492","Maplink1")</f>
        <v>Maplink1</v>
      </c>
      <c r="AT1923" s="20" t="str">
        <f aca="false">HYPERLINK("https://www.google.iq/maps/search/+32.5508,44.2492/@32.5508,44.2492,14z?hl=en","Maplink2")</f>
        <v>Maplink2</v>
      </c>
      <c r="AU1923" s="20" t="str">
        <f aca="false">HYPERLINK("http://www.bing.com/maps/?lvl=14&amp;sty=h&amp;cp=32.5508~44.2492&amp;sp=point.32.5508_44.2492","Maplink3")</f>
        <v>Maplink3</v>
      </c>
    </row>
    <row r="1924" customFormat="false" ht="15" hidden="false" customHeight="true" outlineLevel="0" collapsed="false">
      <c r="A1924" s="15" t="n">
        <v>24522</v>
      </c>
      <c r="B1924" s="16" t="s">
        <v>22</v>
      </c>
      <c r="C1924" s="16" t="s">
        <v>3739</v>
      </c>
      <c r="D1924" s="16" t="s">
        <v>3787</v>
      </c>
      <c r="E1924" s="17" t="s">
        <v>3788</v>
      </c>
      <c r="F1924" s="16" t="n">
        <v>32.5471158838</v>
      </c>
      <c r="G1924" s="16" t="n">
        <v>44.226733055</v>
      </c>
      <c r="H1924" s="18" t="n">
        <v>29</v>
      </c>
      <c r="I1924" s="18" t="n">
        <v>174</v>
      </c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 t="n">
        <v>29</v>
      </c>
      <c r="W1924" s="19"/>
      <c r="X1924" s="19"/>
      <c r="Y1924" s="19"/>
      <c r="Z1924" s="19"/>
      <c r="AA1924" s="19"/>
      <c r="AB1924" s="19"/>
      <c r="AC1924" s="19" t="n">
        <v>6</v>
      </c>
      <c r="AD1924" s="19"/>
      <c r="AE1924" s="19"/>
      <c r="AF1924" s="19"/>
      <c r="AG1924" s="19"/>
      <c r="AH1924" s="19" t="n">
        <v>23</v>
      </c>
      <c r="AI1924" s="19"/>
      <c r="AJ1924" s="19"/>
      <c r="AK1924" s="19"/>
      <c r="AL1924" s="19"/>
      <c r="AM1924" s="19" t="n">
        <v>29</v>
      </c>
      <c r="AN1924" s="19"/>
      <c r="AO1924" s="19"/>
      <c r="AP1924" s="19"/>
      <c r="AQ1924" s="19"/>
      <c r="AR1924" s="19"/>
      <c r="AS1924" s="20" t="str">
        <f aca="false">HYPERLINK("http://www.openstreetmap.org/?mlat=32.5471&amp;mlon=44.2267&amp;zoom=12#map=12/32.5471/44.2267","Maplink1")</f>
        <v>Maplink1</v>
      </c>
      <c r="AT1924" s="20" t="str">
        <f aca="false">HYPERLINK("https://www.google.iq/maps/search/+32.5471,44.2267/@32.5471,44.2267,14z?hl=en","Maplink2")</f>
        <v>Maplink2</v>
      </c>
      <c r="AU1924" s="20" t="str">
        <f aca="false">HYPERLINK("http://www.bing.com/maps/?lvl=14&amp;sty=h&amp;cp=32.5471~44.2267&amp;sp=point.32.5471_44.2267","Maplink3")</f>
        <v>Maplink3</v>
      </c>
    </row>
    <row r="1925" customFormat="false" ht="15" hidden="false" customHeight="true" outlineLevel="0" collapsed="false">
      <c r="A1925" s="15" t="n">
        <v>26000</v>
      </c>
      <c r="B1925" s="16" t="s">
        <v>22</v>
      </c>
      <c r="C1925" s="16" t="s">
        <v>3739</v>
      </c>
      <c r="D1925" s="16" t="s">
        <v>3789</v>
      </c>
      <c r="E1925" s="17" t="s">
        <v>3790</v>
      </c>
      <c r="F1925" s="16" t="n">
        <v>32.55613972</v>
      </c>
      <c r="G1925" s="16" t="n">
        <v>44.07431267</v>
      </c>
      <c r="H1925" s="18" t="n">
        <v>25</v>
      </c>
      <c r="I1925" s="18" t="n">
        <v>150</v>
      </c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 t="n">
        <v>25</v>
      </c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 t="n">
        <v>25</v>
      </c>
      <c r="AI1925" s="19"/>
      <c r="AJ1925" s="19"/>
      <c r="AK1925" s="19"/>
      <c r="AL1925" s="19"/>
      <c r="AM1925" s="19" t="n">
        <v>25</v>
      </c>
      <c r="AN1925" s="19"/>
      <c r="AO1925" s="19"/>
      <c r="AP1925" s="19"/>
      <c r="AQ1925" s="19"/>
      <c r="AR1925" s="19"/>
      <c r="AS1925" s="20" t="str">
        <f aca="false">HYPERLINK("http://www.openstreetmap.org/?mlat=32.5561&amp;mlon=44.0743&amp;zoom=12#map=12/32.5561/44.0743","Maplink1")</f>
        <v>Maplink1</v>
      </c>
      <c r="AT1925" s="20" t="str">
        <f aca="false">HYPERLINK("https://www.google.iq/maps/search/+32.5561,44.0743/@32.5561,44.0743,14z?hl=en","Maplink2")</f>
        <v>Maplink2</v>
      </c>
      <c r="AU1925" s="20" t="str">
        <f aca="false">HYPERLINK("http://www.bing.com/maps/?lvl=14&amp;sty=h&amp;cp=32.5561~44.0743&amp;sp=point.32.5561_44.0743","Maplink3")</f>
        <v>Maplink3</v>
      </c>
    </row>
    <row r="1926" customFormat="false" ht="15" hidden="false" customHeight="true" outlineLevel="0" collapsed="false">
      <c r="A1926" s="15" t="n">
        <v>25485</v>
      </c>
      <c r="B1926" s="16" t="s">
        <v>22</v>
      </c>
      <c r="C1926" s="16" t="s">
        <v>3739</v>
      </c>
      <c r="D1926" s="16" t="s">
        <v>3791</v>
      </c>
      <c r="E1926" s="17" t="s">
        <v>3792</v>
      </c>
      <c r="F1926" s="16" t="n">
        <v>32.57096458</v>
      </c>
      <c r="G1926" s="16" t="n">
        <v>44.20046987</v>
      </c>
      <c r="H1926" s="18" t="n">
        <v>25</v>
      </c>
      <c r="I1926" s="18" t="n">
        <v>150</v>
      </c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 t="n">
        <v>25</v>
      </c>
      <c r="W1926" s="19"/>
      <c r="X1926" s="19"/>
      <c r="Y1926" s="19"/>
      <c r="Z1926" s="19"/>
      <c r="AA1926" s="19"/>
      <c r="AB1926" s="19"/>
      <c r="AC1926" s="19" t="n">
        <v>8</v>
      </c>
      <c r="AD1926" s="19"/>
      <c r="AE1926" s="19"/>
      <c r="AF1926" s="19"/>
      <c r="AG1926" s="19"/>
      <c r="AH1926" s="19" t="n">
        <v>17</v>
      </c>
      <c r="AI1926" s="19"/>
      <c r="AJ1926" s="19"/>
      <c r="AK1926" s="19"/>
      <c r="AL1926" s="19"/>
      <c r="AM1926" s="19" t="n">
        <v>25</v>
      </c>
      <c r="AN1926" s="19"/>
      <c r="AO1926" s="19"/>
      <c r="AP1926" s="19"/>
      <c r="AQ1926" s="19"/>
      <c r="AR1926" s="19"/>
      <c r="AS1926" s="20" t="str">
        <f aca="false">HYPERLINK("http://www.openstreetmap.org/?mlat=32.571&amp;mlon=44.2005&amp;zoom=12#map=12/32.571/44.2005","Maplink1")</f>
        <v>Maplink1</v>
      </c>
      <c r="AT1926" s="20" t="str">
        <f aca="false">HYPERLINK("https://www.google.iq/maps/search/+32.571,44.2005/@32.571,44.2005,14z?hl=en","Maplink2")</f>
        <v>Maplink2</v>
      </c>
      <c r="AU1926" s="20" t="str">
        <f aca="false">HYPERLINK("http://www.bing.com/maps/?lvl=14&amp;sty=h&amp;cp=32.571~44.2005&amp;sp=point.32.571_44.2005","Maplink3")</f>
        <v>Maplink3</v>
      </c>
    </row>
    <row r="1927" customFormat="false" ht="15" hidden="false" customHeight="true" outlineLevel="0" collapsed="false">
      <c r="A1927" s="15" t="n">
        <v>25996</v>
      </c>
      <c r="B1927" s="16" t="s">
        <v>22</v>
      </c>
      <c r="C1927" s="16" t="s">
        <v>3739</v>
      </c>
      <c r="D1927" s="16" t="s">
        <v>3793</v>
      </c>
      <c r="E1927" s="17" t="s">
        <v>3794</v>
      </c>
      <c r="F1927" s="16" t="n">
        <v>32.54106235</v>
      </c>
      <c r="G1927" s="16" t="n">
        <v>44.09692101</v>
      </c>
      <c r="H1927" s="18" t="n">
        <v>44</v>
      </c>
      <c r="I1927" s="18" t="n">
        <v>264</v>
      </c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 t="n">
        <v>44</v>
      </c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 t="n">
        <v>44</v>
      </c>
      <c r="AH1927" s="19"/>
      <c r="AI1927" s="19"/>
      <c r="AJ1927" s="19"/>
      <c r="AK1927" s="19"/>
      <c r="AL1927" s="19"/>
      <c r="AM1927" s="19" t="n">
        <v>44</v>
      </c>
      <c r="AN1927" s="19"/>
      <c r="AO1927" s="19"/>
      <c r="AP1927" s="19"/>
      <c r="AQ1927" s="19"/>
      <c r="AR1927" s="19"/>
      <c r="AS1927" s="20" t="str">
        <f aca="false">HYPERLINK("http://www.openstreetmap.org/?mlat=32.5411&amp;mlon=44.0969&amp;zoom=12#map=12/32.5411/44.0969","Maplink1")</f>
        <v>Maplink1</v>
      </c>
      <c r="AT1927" s="20" t="str">
        <f aca="false">HYPERLINK("https://www.google.iq/maps/search/+32.5411,44.0969/@32.5411,44.0969,14z?hl=en","Maplink2")</f>
        <v>Maplink2</v>
      </c>
      <c r="AU1927" s="20" t="str">
        <f aca="false">HYPERLINK("http://www.bing.com/maps/?lvl=14&amp;sty=h&amp;cp=32.5411~44.0969&amp;sp=point.32.5411_44.0969","Maplink3")</f>
        <v>Maplink3</v>
      </c>
    </row>
    <row r="1928" customFormat="false" ht="15" hidden="false" customHeight="true" outlineLevel="0" collapsed="false">
      <c r="A1928" s="15" t="n">
        <v>26002</v>
      </c>
      <c r="B1928" s="16" t="s">
        <v>22</v>
      </c>
      <c r="C1928" s="16" t="s">
        <v>3739</v>
      </c>
      <c r="D1928" s="16" t="s">
        <v>3795</v>
      </c>
      <c r="E1928" s="17" t="s">
        <v>3796</v>
      </c>
      <c r="F1928" s="16" t="n">
        <v>32.54297028</v>
      </c>
      <c r="G1928" s="16" t="n">
        <v>44.09393295</v>
      </c>
      <c r="H1928" s="18" t="n">
        <v>41</v>
      </c>
      <c r="I1928" s="18" t="n">
        <v>246</v>
      </c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 t="n">
        <v>41</v>
      </c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 t="n">
        <v>41</v>
      </c>
      <c r="AH1928" s="19"/>
      <c r="AI1928" s="19"/>
      <c r="AJ1928" s="19"/>
      <c r="AK1928" s="19"/>
      <c r="AL1928" s="19"/>
      <c r="AM1928" s="19" t="n">
        <v>41</v>
      </c>
      <c r="AN1928" s="19"/>
      <c r="AO1928" s="19"/>
      <c r="AP1928" s="19"/>
      <c r="AQ1928" s="19"/>
      <c r="AR1928" s="19"/>
      <c r="AS1928" s="20" t="str">
        <f aca="false">HYPERLINK("http://www.openstreetmap.org/?mlat=32.543&amp;mlon=44.0939&amp;zoom=12#map=12/32.543/44.0939","Maplink1")</f>
        <v>Maplink1</v>
      </c>
      <c r="AT1928" s="20" t="str">
        <f aca="false">HYPERLINK("https://www.google.iq/maps/search/+32.543,44.0939/@32.543,44.0939,14z?hl=en","Maplink2")</f>
        <v>Maplink2</v>
      </c>
      <c r="AU1928" s="20" t="str">
        <f aca="false">HYPERLINK("http://www.bing.com/maps/?lvl=14&amp;sty=h&amp;cp=32.543~44.0939&amp;sp=point.32.543_44.0939","Maplink3")</f>
        <v>Maplink3</v>
      </c>
    </row>
    <row r="1929" customFormat="false" ht="15" hidden="false" customHeight="true" outlineLevel="0" collapsed="false">
      <c r="A1929" s="15" t="n">
        <v>22785</v>
      </c>
      <c r="B1929" s="16" t="s">
        <v>22</v>
      </c>
      <c r="C1929" s="16" t="s">
        <v>3739</v>
      </c>
      <c r="D1929" s="16" t="s">
        <v>3797</v>
      </c>
      <c r="E1929" s="17" t="s">
        <v>3798</v>
      </c>
      <c r="F1929" s="16" t="n">
        <v>32.542093154</v>
      </c>
      <c r="G1929" s="16" t="n">
        <v>44.2412549537</v>
      </c>
      <c r="H1929" s="18" t="n">
        <v>40</v>
      </c>
      <c r="I1929" s="18" t="n">
        <v>240</v>
      </c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 t="n">
        <v>40</v>
      </c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 t="n">
        <v>17</v>
      </c>
      <c r="AH1929" s="19" t="n">
        <v>23</v>
      </c>
      <c r="AI1929" s="19"/>
      <c r="AJ1929" s="19"/>
      <c r="AK1929" s="19"/>
      <c r="AL1929" s="19"/>
      <c r="AM1929" s="19" t="n">
        <v>40</v>
      </c>
      <c r="AN1929" s="19"/>
      <c r="AO1929" s="19"/>
      <c r="AP1929" s="19"/>
      <c r="AQ1929" s="19"/>
      <c r="AR1929" s="19"/>
      <c r="AS1929" s="20" t="str">
        <f aca="false">HYPERLINK("http://www.openstreetmap.org/?mlat=32.5421&amp;mlon=44.2413&amp;zoom=12#map=12/32.5421/44.2413","Maplink1")</f>
        <v>Maplink1</v>
      </c>
      <c r="AT1929" s="20" t="str">
        <f aca="false">HYPERLINK("https://www.google.iq/maps/search/+32.5421,44.2413/@32.5421,44.2413,14z?hl=en","Maplink2")</f>
        <v>Maplink2</v>
      </c>
      <c r="AU1929" s="20" t="str">
        <f aca="false">HYPERLINK("http://www.bing.com/maps/?lvl=14&amp;sty=h&amp;cp=32.5421~44.2413&amp;sp=point.32.5421_44.2413","Maplink3")</f>
        <v>Maplink3</v>
      </c>
    </row>
    <row r="1930" customFormat="false" ht="15" hidden="false" customHeight="true" outlineLevel="0" collapsed="false">
      <c r="A1930" s="15" t="n">
        <v>23743</v>
      </c>
      <c r="B1930" s="16" t="s">
        <v>22</v>
      </c>
      <c r="C1930" s="16" t="s">
        <v>3739</v>
      </c>
      <c r="D1930" s="16" t="s">
        <v>3799</v>
      </c>
      <c r="E1930" s="17" t="s">
        <v>3800</v>
      </c>
      <c r="F1930" s="16" t="n">
        <v>32.613395364</v>
      </c>
      <c r="G1930" s="16" t="n">
        <v>44.2374802474</v>
      </c>
      <c r="H1930" s="18" t="n">
        <v>10</v>
      </c>
      <c r="I1930" s="18" t="n">
        <v>60</v>
      </c>
      <c r="J1930" s="19" t="n">
        <v>2</v>
      </c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 t="n">
        <v>8</v>
      </c>
      <c r="W1930" s="19"/>
      <c r="X1930" s="19"/>
      <c r="Y1930" s="19"/>
      <c r="Z1930" s="19"/>
      <c r="AA1930" s="19"/>
      <c r="AB1930" s="19"/>
      <c r="AC1930" s="19" t="n">
        <v>2</v>
      </c>
      <c r="AD1930" s="19"/>
      <c r="AE1930" s="19"/>
      <c r="AF1930" s="19"/>
      <c r="AG1930" s="19"/>
      <c r="AH1930" s="19" t="n">
        <v>8</v>
      </c>
      <c r="AI1930" s="19"/>
      <c r="AJ1930" s="19"/>
      <c r="AK1930" s="19"/>
      <c r="AL1930" s="19" t="n">
        <v>2</v>
      </c>
      <c r="AM1930" s="19" t="n">
        <v>8</v>
      </c>
      <c r="AN1930" s="19"/>
      <c r="AO1930" s="19"/>
      <c r="AP1930" s="19"/>
      <c r="AQ1930" s="19"/>
      <c r="AR1930" s="19"/>
      <c r="AS1930" s="20" t="str">
        <f aca="false">HYPERLINK("http://www.openstreetmap.org/?mlat=32.6134&amp;mlon=44.2375&amp;zoom=12#map=12/32.6134/44.2375","Maplink1")</f>
        <v>Maplink1</v>
      </c>
      <c r="AT1930" s="20" t="str">
        <f aca="false">HYPERLINK("https://www.google.iq/maps/search/+32.6134,44.2375/@32.6134,44.2375,14z?hl=en","Maplink2")</f>
        <v>Maplink2</v>
      </c>
      <c r="AU1930" s="20" t="str">
        <f aca="false">HYPERLINK("http://www.bing.com/maps/?lvl=14&amp;sty=h&amp;cp=32.6134~44.2375&amp;sp=point.32.6134_44.2375","Maplink3")</f>
        <v>Maplink3</v>
      </c>
    </row>
    <row r="1931" customFormat="false" ht="15" hidden="false" customHeight="true" outlineLevel="0" collapsed="false">
      <c r="A1931" s="15" t="n">
        <v>25994</v>
      </c>
      <c r="B1931" s="16" t="s">
        <v>22</v>
      </c>
      <c r="C1931" s="16" t="s">
        <v>3739</v>
      </c>
      <c r="D1931" s="16" t="s">
        <v>3801</v>
      </c>
      <c r="E1931" s="17" t="s">
        <v>3802</v>
      </c>
      <c r="F1931" s="16" t="n">
        <v>32.46566419</v>
      </c>
      <c r="G1931" s="16" t="n">
        <v>44.16123267</v>
      </c>
      <c r="H1931" s="18" t="n">
        <v>250</v>
      </c>
      <c r="I1931" s="18" t="n">
        <v>1500</v>
      </c>
      <c r="J1931" s="19" t="n">
        <v>2</v>
      </c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 t="n">
        <v>248</v>
      </c>
      <c r="W1931" s="19"/>
      <c r="X1931" s="19"/>
      <c r="Y1931" s="19"/>
      <c r="Z1931" s="19"/>
      <c r="AA1931" s="19"/>
      <c r="AB1931" s="19"/>
      <c r="AC1931" s="19"/>
      <c r="AD1931" s="19"/>
      <c r="AE1931" s="19" t="n">
        <v>8</v>
      </c>
      <c r="AF1931" s="19"/>
      <c r="AG1931" s="19" t="n">
        <v>242</v>
      </c>
      <c r="AH1931" s="19"/>
      <c r="AI1931" s="19"/>
      <c r="AJ1931" s="19"/>
      <c r="AK1931" s="19"/>
      <c r="AL1931" s="19"/>
      <c r="AM1931" s="19" t="n">
        <v>250</v>
      </c>
      <c r="AN1931" s="19"/>
      <c r="AO1931" s="19"/>
      <c r="AP1931" s="19"/>
      <c r="AQ1931" s="19"/>
      <c r="AR1931" s="19"/>
      <c r="AS1931" s="20" t="str">
        <f aca="false">HYPERLINK("http://www.openstreetmap.org/?mlat=32.4657&amp;mlon=44.1612&amp;zoom=12#map=12/32.4657/44.1612","Maplink1")</f>
        <v>Maplink1</v>
      </c>
      <c r="AT1931" s="20" t="str">
        <f aca="false">HYPERLINK("https://www.google.iq/maps/search/+32.4657,44.1612/@32.4657,44.1612,14z?hl=en","Maplink2")</f>
        <v>Maplink2</v>
      </c>
      <c r="AU1931" s="20" t="str">
        <f aca="false">HYPERLINK("http://www.bing.com/maps/?lvl=14&amp;sty=h&amp;cp=32.4657~44.1612&amp;sp=point.32.4657_44.1612","Maplink3")</f>
        <v>Maplink3</v>
      </c>
    </row>
    <row r="1932" customFormat="false" ht="15" hidden="false" customHeight="true" outlineLevel="0" collapsed="false">
      <c r="A1932" s="15" t="n">
        <v>25486</v>
      </c>
      <c r="B1932" s="16" t="s">
        <v>22</v>
      </c>
      <c r="C1932" s="16" t="s">
        <v>3739</v>
      </c>
      <c r="D1932" s="16" t="s">
        <v>3803</v>
      </c>
      <c r="E1932" s="17" t="s">
        <v>3804</v>
      </c>
      <c r="F1932" s="16" t="n">
        <v>32.55407022</v>
      </c>
      <c r="G1932" s="16" t="n">
        <v>44.21077752</v>
      </c>
      <c r="H1932" s="18" t="n">
        <v>24</v>
      </c>
      <c r="I1932" s="18" t="n">
        <v>144</v>
      </c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 t="n">
        <v>24</v>
      </c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 t="n">
        <v>15</v>
      </c>
      <c r="AH1932" s="19" t="n">
        <v>9</v>
      </c>
      <c r="AI1932" s="19"/>
      <c r="AJ1932" s="19"/>
      <c r="AK1932" s="19"/>
      <c r="AL1932" s="19"/>
      <c r="AM1932" s="19" t="n">
        <v>24</v>
      </c>
      <c r="AN1932" s="19"/>
      <c r="AO1932" s="19"/>
      <c r="AP1932" s="19"/>
      <c r="AQ1932" s="19"/>
      <c r="AR1932" s="19"/>
      <c r="AS1932" s="20" t="str">
        <f aca="false">HYPERLINK("http://www.openstreetmap.org/?mlat=32.5541&amp;mlon=44.2108&amp;zoom=12#map=12/32.5541/44.2108","Maplink1")</f>
        <v>Maplink1</v>
      </c>
      <c r="AT1932" s="20" t="str">
        <f aca="false">HYPERLINK("https://www.google.iq/maps/search/+32.5541,44.2108/@32.5541,44.2108,14z?hl=en","Maplink2")</f>
        <v>Maplink2</v>
      </c>
      <c r="AU1932" s="20" t="str">
        <f aca="false">HYPERLINK("http://www.bing.com/maps/?lvl=14&amp;sty=h&amp;cp=32.5541~44.2108&amp;sp=point.32.5541_44.2108","Maplink3")</f>
        <v>Maplink3</v>
      </c>
    </row>
    <row r="1933" customFormat="false" ht="15" hidden="false" customHeight="true" outlineLevel="0" collapsed="false">
      <c r="A1933" s="15" t="n">
        <v>25489</v>
      </c>
      <c r="B1933" s="16" t="s">
        <v>22</v>
      </c>
      <c r="C1933" s="16" t="s">
        <v>3739</v>
      </c>
      <c r="D1933" s="16" t="s">
        <v>3805</v>
      </c>
      <c r="E1933" s="17" t="s">
        <v>3402</v>
      </c>
      <c r="F1933" s="16" t="n">
        <v>32.55913725</v>
      </c>
      <c r="G1933" s="16" t="n">
        <v>44.20478898</v>
      </c>
      <c r="H1933" s="18" t="n">
        <v>38</v>
      </c>
      <c r="I1933" s="18" t="n">
        <v>228</v>
      </c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 t="n">
        <v>38</v>
      </c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 t="n">
        <v>38</v>
      </c>
      <c r="AH1933" s="19"/>
      <c r="AI1933" s="19"/>
      <c r="AJ1933" s="19"/>
      <c r="AK1933" s="19"/>
      <c r="AL1933" s="19"/>
      <c r="AM1933" s="19" t="n">
        <v>38</v>
      </c>
      <c r="AN1933" s="19"/>
      <c r="AO1933" s="19"/>
      <c r="AP1933" s="19"/>
      <c r="AQ1933" s="19"/>
      <c r="AR1933" s="19"/>
      <c r="AS1933" s="20" t="str">
        <f aca="false">HYPERLINK("http://www.openstreetmap.org/?mlat=32.5591&amp;mlon=44.2048&amp;zoom=12#map=12/32.5591/44.2048","Maplink1")</f>
        <v>Maplink1</v>
      </c>
      <c r="AT1933" s="20" t="str">
        <f aca="false">HYPERLINK("https://www.google.iq/maps/search/+32.5591,44.2048/@32.5591,44.2048,14z?hl=en","Maplink2")</f>
        <v>Maplink2</v>
      </c>
      <c r="AU1933" s="20" t="str">
        <f aca="false">HYPERLINK("http://www.bing.com/maps/?lvl=14&amp;sty=h&amp;cp=32.5591~44.2048&amp;sp=point.32.5591_44.2048","Maplink3")</f>
        <v>Maplink3</v>
      </c>
    </row>
    <row r="1934" customFormat="false" ht="15" hidden="false" customHeight="true" outlineLevel="0" collapsed="false">
      <c r="A1934" s="15" t="n">
        <v>27335</v>
      </c>
      <c r="B1934" s="16" t="s">
        <v>22</v>
      </c>
      <c r="C1934" s="16" t="s">
        <v>3739</v>
      </c>
      <c r="D1934" s="16" t="s">
        <v>3806</v>
      </c>
      <c r="E1934" s="17" t="s">
        <v>3807</v>
      </c>
      <c r="F1934" s="16" t="n">
        <v>32.54998606</v>
      </c>
      <c r="G1934" s="16" t="n">
        <v>44.08365665</v>
      </c>
      <c r="H1934" s="18" t="n">
        <v>122</v>
      </c>
      <c r="I1934" s="18" t="n">
        <v>732</v>
      </c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 t="n">
        <v>122</v>
      </c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 t="n">
        <v>122</v>
      </c>
      <c r="AH1934" s="19"/>
      <c r="AI1934" s="19"/>
      <c r="AJ1934" s="19"/>
      <c r="AK1934" s="19"/>
      <c r="AL1934" s="19"/>
      <c r="AM1934" s="19" t="n">
        <v>122</v>
      </c>
      <c r="AN1934" s="19"/>
      <c r="AO1934" s="19"/>
      <c r="AP1934" s="19"/>
      <c r="AQ1934" s="19"/>
      <c r="AR1934" s="19"/>
      <c r="AS1934" s="20" t="str">
        <f aca="false">HYPERLINK("http://www.openstreetmap.org/?mlat=32.55&amp;mlon=44.0837&amp;zoom=12#map=12/32.55/44.0837","Maplink1")</f>
        <v>Maplink1</v>
      </c>
      <c r="AT1934" s="20" t="str">
        <f aca="false">HYPERLINK("https://www.google.iq/maps/search/+32.55,44.0837/@32.55,44.0837,14z?hl=en","Maplink2")</f>
        <v>Maplink2</v>
      </c>
      <c r="AU1934" s="20" t="str">
        <f aca="false">HYPERLINK("http://www.bing.com/maps/?lvl=14&amp;sty=h&amp;cp=32.55~44.0837&amp;sp=point.32.55_44.0837","Maplink3")</f>
        <v>Maplink3</v>
      </c>
    </row>
    <row r="1935" customFormat="false" ht="15" hidden="false" customHeight="true" outlineLevel="0" collapsed="false">
      <c r="A1935" s="15" t="n">
        <v>25997</v>
      </c>
      <c r="B1935" s="16" t="s">
        <v>22</v>
      </c>
      <c r="C1935" s="16" t="s">
        <v>3739</v>
      </c>
      <c r="D1935" s="16" t="s">
        <v>3808</v>
      </c>
      <c r="E1935" s="17" t="s">
        <v>3809</v>
      </c>
      <c r="F1935" s="16" t="n">
        <v>32.53189158</v>
      </c>
      <c r="G1935" s="16" t="n">
        <v>44.2254958</v>
      </c>
      <c r="H1935" s="18" t="n">
        <v>28</v>
      </c>
      <c r="I1935" s="18" t="n">
        <v>168</v>
      </c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 t="n">
        <v>28</v>
      </c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 t="n">
        <v>28</v>
      </c>
      <c r="AI1935" s="19"/>
      <c r="AJ1935" s="19"/>
      <c r="AK1935" s="19"/>
      <c r="AL1935" s="19"/>
      <c r="AM1935" s="19" t="n">
        <v>28</v>
      </c>
      <c r="AN1935" s="19"/>
      <c r="AO1935" s="19"/>
      <c r="AP1935" s="19"/>
      <c r="AQ1935" s="19"/>
      <c r="AR1935" s="19"/>
      <c r="AS1935" s="20" t="str">
        <f aca="false">HYPERLINK("http://www.openstreetmap.org/?mlat=32.5319&amp;mlon=44.2255&amp;zoom=12#map=12/32.5319/44.2255","Maplink1")</f>
        <v>Maplink1</v>
      </c>
      <c r="AT1935" s="20" t="str">
        <f aca="false">HYPERLINK("https://www.google.iq/maps/search/+32.5319,44.2255/@32.5319,44.2255,14z?hl=en","Maplink2")</f>
        <v>Maplink2</v>
      </c>
      <c r="AU1935" s="20" t="str">
        <f aca="false">HYPERLINK("http://www.bing.com/maps/?lvl=14&amp;sty=h&amp;cp=32.5319~44.2255&amp;sp=point.32.5319_44.2255","Maplink3")</f>
        <v>Maplink3</v>
      </c>
    </row>
    <row r="1936" customFormat="false" ht="15" hidden="false" customHeight="true" outlineLevel="0" collapsed="false">
      <c r="A1936" s="15" t="n">
        <v>13985</v>
      </c>
      <c r="B1936" s="16" t="s">
        <v>22</v>
      </c>
      <c r="C1936" s="16" t="s">
        <v>3739</v>
      </c>
      <c r="D1936" s="16" t="s">
        <v>3810</v>
      </c>
      <c r="E1936" s="17" t="s">
        <v>3811</v>
      </c>
      <c r="F1936" s="16" t="n">
        <v>32.56254424</v>
      </c>
      <c r="G1936" s="16" t="n">
        <v>44.06491572</v>
      </c>
      <c r="H1936" s="18" t="n">
        <v>160</v>
      </c>
      <c r="I1936" s="18" t="n">
        <v>960</v>
      </c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 t="n">
        <v>160</v>
      </c>
      <c r="W1936" s="19"/>
      <c r="X1936" s="19"/>
      <c r="Y1936" s="19"/>
      <c r="Z1936" s="19"/>
      <c r="AA1936" s="19"/>
      <c r="AB1936" s="19"/>
      <c r="AC1936" s="19"/>
      <c r="AD1936" s="19"/>
      <c r="AE1936" s="19" t="n">
        <v>6</v>
      </c>
      <c r="AF1936" s="19"/>
      <c r="AG1936" s="19" t="n">
        <v>154</v>
      </c>
      <c r="AH1936" s="19"/>
      <c r="AI1936" s="19"/>
      <c r="AJ1936" s="19"/>
      <c r="AK1936" s="19"/>
      <c r="AL1936" s="19"/>
      <c r="AM1936" s="19" t="n">
        <v>160</v>
      </c>
      <c r="AN1936" s="19"/>
      <c r="AO1936" s="19"/>
      <c r="AP1936" s="19"/>
      <c r="AQ1936" s="19"/>
      <c r="AR1936" s="19"/>
      <c r="AS1936" s="20" t="str">
        <f aca="false">HYPERLINK("http://www.openstreetmap.org/?mlat=32.5625&amp;mlon=44.0649&amp;zoom=12#map=12/32.5625/44.0649","Maplink1")</f>
        <v>Maplink1</v>
      </c>
      <c r="AT1936" s="20" t="str">
        <f aca="false">HYPERLINK("https://www.google.iq/maps/search/+32.5625,44.0649/@32.5625,44.0649,14z?hl=en","Maplink2")</f>
        <v>Maplink2</v>
      </c>
      <c r="AU1936" s="20" t="str">
        <f aca="false">HYPERLINK("http://www.bing.com/maps/?lvl=14&amp;sty=h&amp;cp=32.5625~44.0649&amp;sp=point.32.5625_44.0649","Maplink3")</f>
        <v>Maplink3</v>
      </c>
    </row>
    <row r="1937" customFormat="false" ht="15" hidden="false" customHeight="true" outlineLevel="0" collapsed="false">
      <c r="A1937" s="15" t="n">
        <v>25975</v>
      </c>
      <c r="B1937" s="16" t="s">
        <v>22</v>
      </c>
      <c r="C1937" s="16" t="s">
        <v>3739</v>
      </c>
      <c r="D1937" s="16" t="s">
        <v>3812</v>
      </c>
      <c r="E1937" s="17" t="s">
        <v>3813</v>
      </c>
      <c r="F1937" s="16" t="n">
        <v>32.52459518</v>
      </c>
      <c r="G1937" s="16" t="n">
        <v>44.10406038</v>
      </c>
      <c r="H1937" s="18" t="n">
        <v>1300</v>
      </c>
      <c r="I1937" s="18" t="n">
        <v>7800</v>
      </c>
      <c r="J1937" s="19" t="n">
        <v>9</v>
      </c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 t="n">
        <v>1291</v>
      </c>
      <c r="W1937" s="19"/>
      <c r="X1937" s="19"/>
      <c r="Y1937" s="19"/>
      <c r="Z1937" s="19"/>
      <c r="AA1937" s="19"/>
      <c r="AB1937" s="19" t="n">
        <v>1300</v>
      </c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 t="n">
        <v>9</v>
      </c>
      <c r="AM1937" s="19" t="n">
        <v>1291</v>
      </c>
      <c r="AN1937" s="19"/>
      <c r="AO1937" s="19"/>
      <c r="AP1937" s="19"/>
      <c r="AQ1937" s="19"/>
      <c r="AR1937" s="19"/>
      <c r="AS1937" s="20" t="str">
        <f aca="false">HYPERLINK("http://www.openstreetmap.org/?mlat=32.5246&amp;mlon=44.1041&amp;zoom=12#map=12/32.5246/44.1041","Maplink1")</f>
        <v>Maplink1</v>
      </c>
      <c r="AT1937" s="20" t="str">
        <f aca="false">HYPERLINK("https://www.google.iq/maps/search/+32.5246,44.1041/@32.5246,44.1041,14z?hl=en","Maplink2")</f>
        <v>Maplink2</v>
      </c>
      <c r="AU1937" s="20" t="str">
        <f aca="false">HYPERLINK("http://www.bing.com/maps/?lvl=14&amp;sty=h&amp;cp=32.5246~44.1041&amp;sp=point.32.5246_44.1041","Maplink3")</f>
        <v>Maplink3</v>
      </c>
    </row>
    <row r="1938" customFormat="false" ht="15" hidden="false" customHeight="true" outlineLevel="0" collapsed="false">
      <c r="A1938" s="15" t="n">
        <v>26005</v>
      </c>
      <c r="B1938" s="16" t="s">
        <v>22</v>
      </c>
      <c r="C1938" s="16" t="s">
        <v>3739</v>
      </c>
      <c r="D1938" s="16" t="s">
        <v>3814</v>
      </c>
      <c r="E1938" s="17" t="s">
        <v>3815</v>
      </c>
      <c r="F1938" s="16" t="n">
        <v>32.49350339</v>
      </c>
      <c r="G1938" s="16" t="n">
        <v>44.23698102</v>
      </c>
      <c r="H1938" s="18" t="n">
        <v>11</v>
      </c>
      <c r="I1938" s="18" t="n">
        <v>66</v>
      </c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 t="n">
        <v>11</v>
      </c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 t="n">
        <v>11</v>
      </c>
      <c r="AI1938" s="19"/>
      <c r="AJ1938" s="19"/>
      <c r="AK1938" s="19"/>
      <c r="AL1938" s="19"/>
      <c r="AM1938" s="19" t="n">
        <v>11</v>
      </c>
      <c r="AN1938" s="19"/>
      <c r="AO1938" s="19"/>
      <c r="AP1938" s="19"/>
      <c r="AQ1938" s="19"/>
      <c r="AR1938" s="19"/>
      <c r="AS1938" s="20" t="str">
        <f aca="false">HYPERLINK("http://www.openstreetmap.org/?mlat=32.4935&amp;mlon=44.237&amp;zoom=12#map=12/32.4935/44.237","Maplink1")</f>
        <v>Maplink1</v>
      </c>
      <c r="AT1938" s="20" t="str">
        <f aca="false">HYPERLINK("https://www.google.iq/maps/search/+32.4935,44.237/@32.4935,44.237,14z?hl=en","Maplink2")</f>
        <v>Maplink2</v>
      </c>
      <c r="AU1938" s="20" t="str">
        <f aca="false">HYPERLINK("http://www.bing.com/maps/?lvl=14&amp;sty=h&amp;cp=32.4935~44.237&amp;sp=point.32.4935_44.237","Maplink3")</f>
        <v>Maplink3</v>
      </c>
    </row>
    <row r="1939" customFormat="false" ht="15" hidden="false" customHeight="true" outlineLevel="0" collapsed="false">
      <c r="A1939" s="15" t="n">
        <v>25545</v>
      </c>
      <c r="B1939" s="16" t="s">
        <v>22</v>
      </c>
      <c r="C1939" s="16" t="s">
        <v>3739</v>
      </c>
      <c r="D1939" s="16" t="s">
        <v>3816</v>
      </c>
      <c r="E1939" s="17" t="s">
        <v>3817</v>
      </c>
      <c r="F1939" s="16" t="n">
        <v>32.52605845</v>
      </c>
      <c r="G1939" s="16" t="n">
        <v>44.22075885</v>
      </c>
      <c r="H1939" s="18" t="n">
        <v>18</v>
      </c>
      <c r="I1939" s="18" t="n">
        <v>108</v>
      </c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 t="n">
        <v>18</v>
      </c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 t="n">
        <v>18</v>
      </c>
      <c r="AI1939" s="19"/>
      <c r="AJ1939" s="19"/>
      <c r="AK1939" s="19"/>
      <c r="AL1939" s="19"/>
      <c r="AM1939" s="19" t="n">
        <v>18</v>
      </c>
      <c r="AN1939" s="19"/>
      <c r="AO1939" s="19"/>
      <c r="AP1939" s="19"/>
      <c r="AQ1939" s="19"/>
      <c r="AR1939" s="19"/>
      <c r="AS1939" s="20" t="str">
        <f aca="false">HYPERLINK("http://www.openstreetmap.org/?mlat=32.5261&amp;mlon=44.2208&amp;zoom=12#map=12/32.5261/44.2208","Maplink1")</f>
        <v>Maplink1</v>
      </c>
      <c r="AT1939" s="20" t="str">
        <f aca="false">HYPERLINK("https://www.google.iq/maps/search/+32.5261,44.2208/@32.5261,44.2208,14z?hl=en","Maplink2")</f>
        <v>Maplink2</v>
      </c>
      <c r="AU1939" s="20" t="str">
        <f aca="false">HYPERLINK("http://www.bing.com/maps/?lvl=14&amp;sty=h&amp;cp=32.5261~44.2208&amp;sp=point.32.5261_44.2208","Maplink3")</f>
        <v>Maplink3</v>
      </c>
    </row>
    <row r="1940" customFormat="false" ht="15" hidden="false" customHeight="true" outlineLevel="0" collapsed="false">
      <c r="A1940" s="15" t="n">
        <v>13802</v>
      </c>
      <c r="B1940" s="16" t="s">
        <v>22</v>
      </c>
      <c r="C1940" s="16" t="s">
        <v>3739</v>
      </c>
      <c r="D1940" s="16" t="s">
        <v>3818</v>
      </c>
      <c r="E1940" s="17" t="s">
        <v>3819</v>
      </c>
      <c r="F1940" s="16" t="n">
        <v>32.54478366</v>
      </c>
      <c r="G1940" s="16" t="n">
        <v>44.22074829</v>
      </c>
      <c r="H1940" s="18" t="n">
        <v>40</v>
      </c>
      <c r="I1940" s="18" t="n">
        <v>240</v>
      </c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 t="n">
        <v>40</v>
      </c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 t="n">
        <v>8</v>
      </c>
      <c r="AH1940" s="19" t="n">
        <v>32</v>
      </c>
      <c r="AI1940" s="19"/>
      <c r="AJ1940" s="19"/>
      <c r="AK1940" s="19"/>
      <c r="AL1940" s="19"/>
      <c r="AM1940" s="19"/>
      <c r="AN1940" s="19" t="n">
        <v>40</v>
      </c>
      <c r="AO1940" s="19"/>
      <c r="AP1940" s="19"/>
      <c r="AQ1940" s="19"/>
      <c r="AR1940" s="19"/>
      <c r="AS1940" s="20" t="str">
        <f aca="false">HYPERLINK("http://www.openstreetmap.org/?mlat=32.5448&amp;mlon=44.2207&amp;zoom=12#map=12/32.5448/44.2207","Maplink1")</f>
        <v>Maplink1</v>
      </c>
      <c r="AT1940" s="20" t="str">
        <f aca="false">HYPERLINK("https://www.google.iq/maps/search/+32.5448,44.2207/@32.5448,44.2207,14z?hl=en","Maplink2")</f>
        <v>Maplink2</v>
      </c>
      <c r="AU1940" s="20" t="str">
        <f aca="false">HYPERLINK("http://www.bing.com/maps/?lvl=14&amp;sty=h&amp;cp=32.5448~44.2207&amp;sp=point.32.5448_44.2207","Maplink3")</f>
        <v>Maplink3</v>
      </c>
    </row>
    <row r="1941" customFormat="false" ht="15" hidden="false" customHeight="true" outlineLevel="0" collapsed="false">
      <c r="A1941" s="15" t="n">
        <v>25265</v>
      </c>
      <c r="B1941" s="16" t="s">
        <v>22</v>
      </c>
      <c r="C1941" s="16" t="s">
        <v>22</v>
      </c>
      <c r="D1941" s="16" t="s">
        <v>3820</v>
      </c>
      <c r="E1941" s="17" t="s">
        <v>3821</v>
      </c>
      <c r="F1941" s="16" t="n">
        <v>32.60553884</v>
      </c>
      <c r="G1941" s="16" t="n">
        <v>44.05220658</v>
      </c>
      <c r="H1941" s="18" t="n">
        <v>77</v>
      </c>
      <c r="I1941" s="18" t="n">
        <v>462</v>
      </c>
      <c r="J1941" s="19" t="n">
        <v>1</v>
      </c>
      <c r="K1941" s="19"/>
      <c r="L1941" s="19"/>
      <c r="M1941" s="19"/>
      <c r="N1941" s="19"/>
      <c r="O1941" s="19" t="n">
        <v>1</v>
      </c>
      <c r="P1941" s="19"/>
      <c r="Q1941" s="19"/>
      <c r="R1941" s="19"/>
      <c r="S1941" s="19"/>
      <c r="T1941" s="19"/>
      <c r="U1941" s="19"/>
      <c r="V1941" s="19" t="n">
        <v>75</v>
      </c>
      <c r="W1941" s="19"/>
      <c r="X1941" s="19"/>
      <c r="Y1941" s="19"/>
      <c r="Z1941" s="19"/>
      <c r="AA1941" s="19"/>
      <c r="AB1941" s="19"/>
      <c r="AC1941" s="19" t="n">
        <v>7</v>
      </c>
      <c r="AD1941" s="19"/>
      <c r="AE1941" s="19"/>
      <c r="AF1941" s="19"/>
      <c r="AG1941" s="19" t="n">
        <v>23</v>
      </c>
      <c r="AH1941" s="19" t="n">
        <v>47</v>
      </c>
      <c r="AI1941" s="19"/>
      <c r="AJ1941" s="19"/>
      <c r="AK1941" s="19"/>
      <c r="AL1941" s="19" t="n">
        <v>1</v>
      </c>
      <c r="AM1941" s="19" t="n">
        <v>75</v>
      </c>
      <c r="AN1941" s="19" t="n">
        <v>1</v>
      </c>
      <c r="AO1941" s="19"/>
      <c r="AP1941" s="19"/>
      <c r="AQ1941" s="19"/>
      <c r="AR1941" s="19"/>
      <c r="AS1941" s="20" t="str">
        <f aca="false">HYPERLINK("http://www.openstreetmap.org/?mlat=32.6055&amp;mlon=44.0522&amp;zoom=12#map=12/32.6055/44.0522","Maplink1")</f>
        <v>Maplink1</v>
      </c>
      <c r="AT1941" s="20" t="str">
        <f aca="false">HYPERLINK("https://www.google.iq/maps/search/+32.6055,44.0522/@32.6055,44.0522,14z?hl=en","Maplink2")</f>
        <v>Maplink2</v>
      </c>
      <c r="AU1941" s="20" t="str">
        <f aca="false">HYPERLINK("http://www.bing.com/maps/?lvl=14&amp;sty=h&amp;cp=32.6055~44.0522&amp;sp=point.32.6055_44.0522","Maplink3")</f>
        <v>Maplink3</v>
      </c>
    </row>
    <row r="1942" customFormat="false" ht="15" hidden="false" customHeight="true" outlineLevel="0" collapsed="false">
      <c r="A1942" s="15" t="n">
        <v>25903</v>
      </c>
      <c r="B1942" s="16" t="s">
        <v>22</v>
      </c>
      <c r="C1942" s="16" t="s">
        <v>22</v>
      </c>
      <c r="D1942" s="16" t="s">
        <v>3822</v>
      </c>
      <c r="E1942" s="17" t="s">
        <v>3823</v>
      </c>
      <c r="F1942" s="16" t="n">
        <v>32.7017563</v>
      </c>
      <c r="G1942" s="16" t="n">
        <v>44.15600153</v>
      </c>
      <c r="H1942" s="18" t="n">
        <v>45</v>
      </c>
      <c r="I1942" s="18" t="n">
        <v>270</v>
      </c>
      <c r="J1942" s="19"/>
      <c r="K1942" s="19" t="n">
        <v>4</v>
      </c>
      <c r="L1942" s="19" t="n">
        <v>20</v>
      </c>
      <c r="M1942" s="19"/>
      <c r="N1942" s="19"/>
      <c r="O1942" s="19"/>
      <c r="P1942" s="19"/>
      <c r="Q1942" s="19"/>
      <c r="R1942" s="19"/>
      <c r="S1942" s="19"/>
      <c r="T1942" s="19"/>
      <c r="U1942" s="19"/>
      <c r="V1942" s="19" t="n">
        <v>21</v>
      </c>
      <c r="W1942" s="19"/>
      <c r="X1942" s="19"/>
      <c r="Y1942" s="19"/>
      <c r="Z1942" s="19"/>
      <c r="AA1942" s="19"/>
      <c r="AB1942" s="19"/>
      <c r="AC1942" s="19" t="n">
        <v>1</v>
      </c>
      <c r="AD1942" s="19"/>
      <c r="AE1942" s="19"/>
      <c r="AF1942" s="19"/>
      <c r="AG1942" s="19" t="n">
        <v>16</v>
      </c>
      <c r="AH1942" s="19" t="n">
        <v>28</v>
      </c>
      <c r="AI1942" s="19"/>
      <c r="AJ1942" s="19"/>
      <c r="AK1942" s="19"/>
      <c r="AL1942" s="19" t="n">
        <v>3</v>
      </c>
      <c r="AM1942" s="19" t="n">
        <v>21</v>
      </c>
      <c r="AN1942" s="19" t="n">
        <v>21</v>
      </c>
      <c r="AO1942" s="19"/>
      <c r="AP1942" s="19"/>
      <c r="AQ1942" s="19"/>
      <c r="AR1942" s="19"/>
      <c r="AS1942" s="20" t="str">
        <f aca="false">HYPERLINK("http://www.openstreetmap.org/?mlat=32.7018&amp;mlon=44.156&amp;zoom=12#map=12/32.7018/44.156","Maplink1")</f>
        <v>Maplink1</v>
      </c>
      <c r="AT1942" s="20" t="str">
        <f aca="false">HYPERLINK("https://www.google.iq/maps/search/+32.7018,44.156/@32.7018,44.156,14z?hl=en","Maplink2")</f>
        <v>Maplink2</v>
      </c>
      <c r="AU1942" s="20" t="str">
        <f aca="false">HYPERLINK("http://www.bing.com/maps/?lvl=14&amp;sty=h&amp;cp=32.7018~44.156&amp;sp=point.32.7018_44.156","Maplink3")</f>
        <v>Maplink3</v>
      </c>
    </row>
    <row r="1943" customFormat="false" ht="15" hidden="false" customHeight="true" outlineLevel="0" collapsed="false">
      <c r="A1943" s="15" t="n">
        <v>25354</v>
      </c>
      <c r="B1943" s="16" t="s">
        <v>22</v>
      </c>
      <c r="C1943" s="16" t="s">
        <v>22</v>
      </c>
      <c r="D1943" s="16" t="s">
        <v>3824</v>
      </c>
      <c r="E1943" s="17" t="s">
        <v>3825</v>
      </c>
      <c r="F1943" s="16" t="n">
        <v>32.64130941</v>
      </c>
      <c r="G1943" s="16" t="n">
        <v>44.07733108</v>
      </c>
      <c r="H1943" s="18" t="n">
        <v>9</v>
      </c>
      <c r="I1943" s="18" t="n">
        <v>54</v>
      </c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 t="n">
        <v>9</v>
      </c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 t="n">
        <v>9</v>
      </c>
      <c r="AH1943" s="19"/>
      <c r="AI1943" s="19"/>
      <c r="AJ1943" s="19"/>
      <c r="AK1943" s="19"/>
      <c r="AL1943" s="19"/>
      <c r="AM1943" s="19" t="n">
        <v>9</v>
      </c>
      <c r="AN1943" s="19"/>
      <c r="AO1943" s="19"/>
      <c r="AP1943" s="19"/>
      <c r="AQ1943" s="19"/>
      <c r="AR1943" s="19"/>
      <c r="AS1943" s="20" t="str">
        <f aca="false">HYPERLINK("http://www.openstreetmap.org/?mlat=32.6413&amp;mlon=44.0773&amp;zoom=12#map=12/32.6413/44.0773","Maplink1")</f>
        <v>Maplink1</v>
      </c>
      <c r="AT1943" s="20" t="str">
        <f aca="false">HYPERLINK("https://www.google.iq/maps/search/+32.6413,44.0773/@32.6413,44.0773,14z?hl=en","Maplink2")</f>
        <v>Maplink2</v>
      </c>
      <c r="AU1943" s="20" t="str">
        <f aca="false">HYPERLINK("http://www.bing.com/maps/?lvl=14&amp;sty=h&amp;cp=32.6413~44.0773&amp;sp=point.32.6413_44.0773","Maplink3")</f>
        <v>Maplink3</v>
      </c>
    </row>
    <row r="1944" customFormat="false" ht="15" hidden="false" customHeight="true" outlineLevel="0" collapsed="false">
      <c r="A1944" s="15" t="n">
        <v>26059</v>
      </c>
      <c r="B1944" s="16" t="s">
        <v>22</v>
      </c>
      <c r="C1944" s="16" t="s">
        <v>22</v>
      </c>
      <c r="D1944" s="16" t="s">
        <v>3826</v>
      </c>
      <c r="E1944" s="17" t="s">
        <v>3827</v>
      </c>
      <c r="F1944" s="16" t="n">
        <v>32.64528197</v>
      </c>
      <c r="G1944" s="16" t="n">
        <v>44.07170079</v>
      </c>
      <c r="H1944" s="18" t="n">
        <v>20</v>
      </c>
      <c r="I1944" s="18" t="n">
        <v>120</v>
      </c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 t="n">
        <v>20</v>
      </c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 t="n">
        <v>20</v>
      </c>
      <c r="AI1944" s="19"/>
      <c r="AJ1944" s="19"/>
      <c r="AK1944" s="19"/>
      <c r="AL1944" s="19"/>
      <c r="AM1944" s="19" t="n">
        <v>20</v>
      </c>
      <c r="AN1944" s="19"/>
      <c r="AO1944" s="19"/>
      <c r="AP1944" s="19"/>
      <c r="AQ1944" s="19"/>
      <c r="AR1944" s="19"/>
      <c r="AS1944" s="20" t="str">
        <f aca="false">HYPERLINK("http://www.openstreetmap.org/?mlat=32.6453&amp;mlon=44.0717&amp;zoom=12#map=12/32.6453/44.0717","Maplink1")</f>
        <v>Maplink1</v>
      </c>
      <c r="AT1944" s="20" t="str">
        <f aca="false">HYPERLINK("https://www.google.iq/maps/search/+32.6453,44.0717/@32.6453,44.0717,14z?hl=en","Maplink2")</f>
        <v>Maplink2</v>
      </c>
      <c r="AU1944" s="20" t="str">
        <f aca="false">HYPERLINK("http://www.bing.com/maps/?lvl=14&amp;sty=h&amp;cp=32.6453~44.0717&amp;sp=point.32.6453_44.0717","Maplink3")</f>
        <v>Maplink3</v>
      </c>
    </row>
    <row r="1945" customFormat="false" ht="15" hidden="false" customHeight="true" outlineLevel="0" collapsed="false">
      <c r="A1945" s="15" t="n">
        <v>24743</v>
      </c>
      <c r="B1945" s="16" t="s">
        <v>22</v>
      </c>
      <c r="C1945" s="16" t="s">
        <v>22</v>
      </c>
      <c r="D1945" s="16" t="s">
        <v>3828</v>
      </c>
      <c r="E1945" s="17" t="s">
        <v>3829</v>
      </c>
      <c r="F1945" s="16" t="n">
        <v>32.62961171</v>
      </c>
      <c r="G1945" s="16" t="n">
        <v>44.03482687</v>
      </c>
      <c r="H1945" s="18" t="n">
        <v>68</v>
      </c>
      <c r="I1945" s="18" t="n">
        <v>408</v>
      </c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 t="n">
        <v>68</v>
      </c>
      <c r="W1945" s="19"/>
      <c r="X1945" s="19"/>
      <c r="Y1945" s="19"/>
      <c r="Z1945" s="19"/>
      <c r="AA1945" s="19"/>
      <c r="AB1945" s="19"/>
      <c r="AC1945" s="19"/>
      <c r="AD1945" s="19" t="n">
        <v>6</v>
      </c>
      <c r="AE1945" s="19"/>
      <c r="AF1945" s="19"/>
      <c r="AG1945" s="19" t="n">
        <v>19</v>
      </c>
      <c r="AH1945" s="19" t="n">
        <v>43</v>
      </c>
      <c r="AI1945" s="19"/>
      <c r="AJ1945" s="19"/>
      <c r="AK1945" s="19"/>
      <c r="AL1945" s="19"/>
      <c r="AM1945" s="19" t="n">
        <v>68</v>
      </c>
      <c r="AN1945" s="19"/>
      <c r="AO1945" s="19"/>
      <c r="AP1945" s="19"/>
      <c r="AQ1945" s="19"/>
      <c r="AR1945" s="19"/>
      <c r="AS1945" s="20" t="str">
        <f aca="false">HYPERLINK("http://www.openstreetmap.org/?mlat=32.6296&amp;mlon=44.0348&amp;zoom=12#map=12/32.6296/44.0348","Maplink1")</f>
        <v>Maplink1</v>
      </c>
      <c r="AT1945" s="20" t="str">
        <f aca="false">HYPERLINK("https://www.google.iq/maps/search/+32.6296,44.0348/@32.6296,44.0348,14z?hl=en","Maplink2")</f>
        <v>Maplink2</v>
      </c>
      <c r="AU1945" s="20" t="str">
        <f aca="false">HYPERLINK("http://www.bing.com/maps/?lvl=14&amp;sty=h&amp;cp=32.6296~44.0348&amp;sp=point.32.6296_44.0348","Maplink3")</f>
        <v>Maplink3</v>
      </c>
    </row>
    <row r="1946" customFormat="false" ht="15" hidden="false" customHeight="true" outlineLevel="0" collapsed="false">
      <c r="A1946" s="15" t="n">
        <v>25955</v>
      </c>
      <c r="B1946" s="16" t="s">
        <v>22</v>
      </c>
      <c r="C1946" s="16" t="s">
        <v>22</v>
      </c>
      <c r="D1946" s="16" t="s">
        <v>3830</v>
      </c>
      <c r="E1946" s="17" t="s">
        <v>3831</v>
      </c>
      <c r="F1946" s="16" t="n">
        <v>32.64012592</v>
      </c>
      <c r="G1946" s="16" t="n">
        <v>44.14431388</v>
      </c>
      <c r="H1946" s="18" t="n">
        <v>7</v>
      </c>
      <c r="I1946" s="18" t="n">
        <v>42</v>
      </c>
      <c r="J1946" s="19"/>
      <c r="K1946" s="19" t="n">
        <v>5</v>
      </c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 t="n">
        <v>2</v>
      </c>
      <c r="W1946" s="19"/>
      <c r="X1946" s="19"/>
      <c r="Y1946" s="19"/>
      <c r="Z1946" s="19"/>
      <c r="AA1946" s="19"/>
      <c r="AB1946" s="19"/>
      <c r="AC1946" s="19" t="n">
        <v>6</v>
      </c>
      <c r="AD1946" s="19"/>
      <c r="AE1946" s="19"/>
      <c r="AF1946" s="19"/>
      <c r="AG1946" s="19"/>
      <c r="AH1946" s="19" t="n">
        <v>1</v>
      </c>
      <c r="AI1946" s="19"/>
      <c r="AJ1946" s="19"/>
      <c r="AK1946" s="19"/>
      <c r="AL1946" s="19"/>
      <c r="AM1946" s="19" t="n">
        <v>7</v>
      </c>
      <c r="AN1946" s="19"/>
      <c r="AO1946" s="19"/>
      <c r="AP1946" s="19"/>
      <c r="AQ1946" s="19"/>
      <c r="AR1946" s="19"/>
      <c r="AS1946" s="20" t="str">
        <f aca="false">HYPERLINK("http://www.openstreetmap.org/?mlat=32.6401&amp;mlon=44.1443&amp;zoom=12#map=12/32.6401/44.1443","Maplink1")</f>
        <v>Maplink1</v>
      </c>
      <c r="AT1946" s="20" t="str">
        <f aca="false">HYPERLINK("https://www.google.iq/maps/search/+32.6401,44.1443/@32.6401,44.1443,14z?hl=en","Maplink2")</f>
        <v>Maplink2</v>
      </c>
      <c r="AU1946" s="20" t="str">
        <f aca="false">HYPERLINK("http://www.bing.com/maps/?lvl=14&amp;sty=h&amp;cp=32.6401~44.1443&amp;sp=point.32.6401_44.1443","Maplink3")</f>
        <v>Maplink3</v>
      </c>
    </row>
    <row r="1947" customFormat="false" ht="15" hidden="false" customHeight="true" outlineLevel="0" collapsed="false">
      <c r="A1947" s="15" t="n">
        <v>25906</v>
      </c>
      <c r="B1947" s="16" t="s">
        <v>22</v>
      </c>
      <c r="C1947" s="16" t="s">
        <v>22</v>
      </c>
      <c r="D1947" s="16" t="s">
        <v>3832</v>
      </c>
      <c r="E1947" s="17" t="s">
        <v>3833</v>
      </c>
      <c r="F1947" s="16" t="n">
        <v>32.58299621</v>
      </c>
      <c r="G1947" s="16" t="n">
        <v>44.00955543</v>
      </c>
      <c r="H1947" s="18" t="n">
        <v>6</v>
      </c>
      <c r="I1947" s="18" t="n">
        <v>36</v>
      </c>
      <c r="J1947" s="19" t="n">
        <v>1</v>
      </c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 t="n">
        <v>5</v>
      </c>
      <c r="W1947" s="19"/>
      <c r="X1947" s="19"/>
      <c r="Y1947" s="19"/>
      <c r="Z1947" s="19"/>
      <c r="AA1947" s="19"/>
      <c r="AB1947" s="19"/>
      <c r="AC1947" s="19" t="n">
        <v>6</v>
      </c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 t="n">
        <v>6</v>
      </c>
      <c r="AN1947" s="19"/>
      <c r="AO1947" s="19"/>
      <c r="AP1947" s="19"/>
      <c r="AQ1947" s="19"/>
      <c r="AR1947" s="19"/>
      <c r="AS1947" s="20" t="str">
        <f aca="false">HYPERLINK("http://www.openstreetmap.org/?mlat=32.583&amp;mlon=44.0096&amp;zoom=12#map=12/32.583/44.0096","Maplink1")</f>
        <v>Maplink1</v>
      </c>
      <c r="AT1947" s="20" t="str">
        <f aca="false">HYPERLINK("https://www.google.iq/maps/search/+32.583,44.0096/@32.583,44.0096,14z?hl=en","Maplink2")</f>
        <v>Maplink2</v>
      </c>
      <c r="AU1947" s="20" t="str">
        <f aca="false">HYPERLINK("http://www.bing.com/maps/?lvl=14&amp;sty=h&amp;cp=32.583~44.0096&amp;sp=point.32.583_44.0096","Maplink3")</f>
        <v>Maplink3</v>
      </c>
    </row>
    <row r="1948" customFormat="false" ht="15" hidden="false" customHeight="true" outlineLevel="0" collapsed="false">
      <c r="A1948" s="15" t="n">
        <v>25550</v>
      </c>
      <c r="B1948" s="16" t="s">
        <v>22</v>
      </c>
      <c r="C1948" s="16" t="s">
        <v>22</v>
      </c>
      <c r="D1948" s="16" t="s">
        <v>3834</v>
      </c>
      <c r="E1948" s="17" t="s">
        <v>3835</v>
      </c>
      <c r="F1948" s="16" t="n">
        <v>32.63514749</v>
      </c>
      <c r="G1948" s="16" t="n">
        <v>43.98529518</v>
      </c>
      <c r="H1948" s="18" t="n">
        <v>16</v>
      </c>
      <c r="I1948" s="18" t="n">
        <v>96</v>
      </c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 t="n">
        <v>16</v>
      </c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 t="n">
        <v>16</v>
      </c>
      <c r="AI1948" s="19"/>
      <c r="AJ1948" s="19"/>
      <c r="AK1948" s="19"/>
      <c r="AL1948" s="19"/>
      <c r="AM1948" s="19" t="n">
        <v>16</v>
      </c>
      <c r="AN1948" s="19"/>
      <c r="AO1948" s="19"/>
      <c r="AP1948" s="19"/>
      <c r="AQ1948" s="19"/>
      <c r="AR1948" s="19"/>
      <c r="AS1948" s="20" t="str">
        <f aca="false">HYPERLINK("http://www.openstreetmap.org/?mlat=32.6351&amp;mlon=43.9853&amp;zoom=12#map=12/32.6351/43.9853","Maplink1")</f>
        <v>Maplink1</v>
      </c>
      <c r="AT1948" s="20" t="str">
        <f aca="false">HYPERLINK("https://www.google.iq/maps/search/+32.6351,43.9853/@32.6351,43.9853,14z?hl=en","Maplink2")</f>
        <v>Maplink2</v>
      </c>
      <c r="AU1948" s="20" t="str">
        <f aca="false">HYPERLINK("http://www.bing.com/maps/?lvl=14&amp;sty=h&amp;cp=32.6351~43.9853&amp;sp=point.32.6351_43.9853","Maplink3")</f>
        <v>Maplink3</v>
      </c>
    </row>
    <row r="1949" customFormat="false" ht="15" hidden="false" customHeight="true" outlineLevel="0" collapsed="false">
      <c r="A1949" s="15" t="n">
        <v>25270</v>
      </c>
      <c r="B1949" s="16" t="s">
        <v>22</v>
      </c>
      <c r="C1949" s="16" t="s">
        <v>22</v>
      </c>
      <c r="D1949" s="16" t="s">
        <v>3836</v>
      </c>
      <c r="E1949" s="17" t="s">
        <v>3837</v>
      </c>
      <c r="F1949" s="16" t="n">
        <v>32.58079869</v>
      </c>
      <c r="G1949" s="16" t="n">
        <v>44.02606359</v>
      </c>
      <c r="H1949" s="18" t="n">
        <v>25</v>
      </c>
      <c r="I1949" s="18" t="n">
        <v>150</v>
      </c>
      <c r="J1949" s="19" t="n">
        <v>7</v>
      </c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 t="n">
        <v>18</v>
      </c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 t="n">
        <v>25</v>
      </c>
      <c r="AI1949" s="19"/>
      <c r="AJ1949" s="19"/>
      <c r="AK1949" s="19"/>
      <c r="AL1949" s="19" t="n">
        <v>3</v>
      </c>
      <c r="AM1949" s="19" t="n">
        <v>18</v>
      </c>
      <c r="AN1949" s="19"/>
      <c r="AO1949" s="19"/>
      <c r="AP1949" s="19" t="n">
        <v>4</v>
      </c>
      <c r="AQ1949" s="19"/>
      <c r="AR1949" s="19"/>
      <c r="AS1949" s="20" t="str">
        <f aca="false">HYPERLINK("http://www.openstreetmap.org/?mlat=32.5808&amp;mlon=44.0261&amp;zoom=12#map=12/32.5808/44.0261","Maplink1")</f>
        <v>Maplink1</v>
      </c>
      <c r="AT1949" s="20" t="str">
        <f aca="false">HYPERLINK("https://www.google.iq/maps/search/+32.5808,44.0261/@32.5808,44.0261,14z?hl=en","Maplink2")</f>
        <v>Maplink2</v>
      </c>
      <c r="AU1949" s="20" t="str">
        <f aca="false">HYPERLINK("http://www.bing.com/maps/?lvl=14&amp;sty=h&amp;cp=32.5808~44.0261&amp;sp=point.32.5808_44.0261","Maplink3")</f>
        <v>Maplink3</v>
      </c>
    </row>
    <row r="1950" customFormat="false" ht="15" hidden="false" customHeight="true" outlineLevel="0" collapsed="false">
      <c r="A1950" s="15" t="n">
        <v>13769</v>
      </c>
      <c r="B1950" s="16" t="s">
        <v>22</v>
      </c>
      <c r="C1950" s="16" t="s">
        <v>22</v>
      </c>
      <c r="D1950" s="16" t="s">
        <v>3838</v>
      </c>
      <c r="E1950" s="17" t="s">
        <v>3839</v>
      </c>
      <c r="F1950" s="16" t="n">
        <v>32.68901379</v>
      </c>
      <c r="G1950" s="16" t="n">
        <v>44.10884251</v>
      </c>
      <c r="H1950" s="18" t="n">
        <v>60</v>
      </c>
      <c r="I1950" s="18" t="n">
        <v>360</v>
      </c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 t="n">
        <v>60</v>
      </c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 t="n">
        <v>35</v>
      </c>
      <c r="AH1950" s="19" t="n">
        <v>25</v>
      </c>
      <c r="AI1950" s="19"/>
      <c r="AJ1950" s="19"/>
      <c r="AK1950" s="19"/>
      <c r="AL1950" s="19"/>
      <c r="AM1950" s="19" t="n">
        <v>60</v>
      </c>
      <c r="AN1950" s="19"/>
      <c r="AO1950" s="19"/>
      <c r="AP1950" s="19"/>
      <c r="AQ1950" s="19"/>
      <c r="AR1950" s="19"/>
      <c r="AS1950" s="20" t="str">
        <f aca="false">HYPERLINK("http://www.openstreetmap.org/?mlat=32.689&amp;mlon=44.1088&amp;zoom=12#map=12/32.689/44.1088","Maplink1")</f>
        <v>Maplink1</v>
      </c>
      <c r="AT1950" s="20" t="str">
        <f aca="false">HYPERLINK("https://www.google.iq/maps/search/+32.689,44.1088/@32.689,44.1088,14z?hl=en","Maplink2")</f>
        <v>Maplink2</v>
      </c>
      <c r="AU1950" s="20" t="str">
        <f aca="false">HYPERLINK("http://www.bing.com/maps/?lvl=14&amp;sty=h&amp;cp=32.689~44.1088&amp;sp=point.32.689_44.1088","Maplink3")</f>
        <v>Maplink3</v>
      </c>
    </row>
    <row r="1951" customFormat="false" ht="15" hidden="false" customHeight="true" outlineLevel="0" collapsed="false">
      <c r="A1951" s="15" t="n">
        <v>25885</v>
      </c>
      <c r="B1951" s="16" t="s">
        <v>22</v>
      </c>
      <c r="C1951" s="16" t="s">
        <v>22</v>
      </c>
      <c r="D1951" s="16" t="s">
        <v>3840</v>
      </c>
      <c r="E1951" s="17" t="s">
        <v>3841</v>
      </c>
      <c r="F1951" s="16" t="n">
        <v>32.64178952</v>
      </c>
      <c r="G1951" s="16" t="n">
        <v>43.99220355</v>
      </c>
      <c r="H1951" s="18" t="n">
        <v>6</v>
      </c>
      <c r="I1951" s="18" t="n">
        <v>36</v>
      </c>
      <c r="J1951" s="19" t="n">
        <v>1</v>
      </c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 t="n">
        <v>5</v>
      </c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 t="n">
        <v>6</v>
      </c>
      <c r="AI1951" s="19"/>
      <c r="AJ1951" s="19"/>
      <c r="AK1951" s="19"/>
      <c r="AL1951" s="19" t="n">
        <v>1</v>
      </c>
      <c r="AM1951" s="19" t="n">
        <v>5</v>
      </c>
      <c r="AN1951" s="19"/>
      <c r="AO1951" s="19"/>
      <c r="AP1951" s="19"/>
      <c r="AQ1951" s="19"/>
      <c r="AR1951" s="19"/>
      <c r="AS1951" s="20" t="str">
        <f aca="false">HYPERLINK("http://www.openstreetmap.org/?mlat=32.6418&amp;mlon=43.9922&amp;zoom=12#map=12/32.6418/43.9922","Maplink1")</f>
        <v>Maplink1</v>
      </c>
      <c r="AT1951" s="20" t="str">
        <f aca="false">HYPERLINK("https://www.google.iq/maps/search/+32.6418,43.9922/@32.6418,43.9922,14z?hl=en","Maplink2")</f>
        <v>Maplink2</v>
      </c>
      <c r="AU1951" s="20" t="str">
        <f aca="false">HYPERLINK("http://www.bing.com/maps/?lvl=14&amp;sty=h&amp;cp=32.6418~43.9922&amp;sp=point.32.6418_43.9922","Maplink3")</f>
        <v>Maplink3</v>
      </c>
    </row>
    <row r="1952" customFormat="false" ht="15" hidden="false" customHeight="true" outlineLevel="0" collapsed="false">
      <c r="A1952" s="15" t="n">
        <v>25356</v>
      </c>
      <c r="B1952" s="16" t="s">
        <v>22</v>
      </c>
      <c r="C1952" s="16" t="s">
        <v>22</v>
      </c>
      <c r="D1952" s="16" t="s">
        <v>3842</v>
      </c>
      <c r="E1952" s="17" t="s">
        <v>3843</v>
      </c>
      <c r="F1952" s="16" t="n">
        <v>32.65190019</v>
      </c>
      <c r="G1952" s="16" t="n">
        <v>44.05370107</v>
      </c>
      <c r="H1952" s="18" t="n">
        <v>6</v>
      </c>
      <c r="I1952" s="18" t="n">
        <v>36</v>
      </c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 t="n">
        <v>6</v>
      </c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 t="n">
        <v>1</v>
      </c>
      <c r="AH1952" s="19" t="n">
        <v>5</v>
      </c>
      <c r="AI1952" s="19"/>
      <c r="AJ1952" s="19"/>
      <c r="AK1952" s="19"/>
      <c r="AL1952" s="19"/>
      <c r="AM1952" s="19" t="n">
        <v>6</v>
      </c>
      <c r="AN1952" s="19"/>
      <c r="AO1952" s="19"/>
      <c r="AP1952" s="19"/>
      <c r="AQ1952" s="19"/>
      <c r="AR1952" s="19"/>
      <c r="AS1952" s="20" t="str">
        <f aca="false">HYPERLINK("http://www.openstreetmap.org/?mlat=32.6519&amp;mlon=44.0537&amp;zoom=12#map=12/32.6519/44.0537","Maplink1")</f>
        <v>Maplink1</v>
      </c>
      <c r="AT1952" s="20" t="str">
        <f aca="false">HYPERLINK("https://www.google.iq/maps/search/+32.6519,44.0537/@32.6519,44.0537,14z?hl=en","Maplink2")</f>
        <v>Maplink2</v>
      </c>
      <c r="AU1952" s="20" t="str">
        <f aca="false">HYPERLINK("http://www.bing.com/maps/?lvl=14&amp;sty=h&amp;cp=32.6519~44.0537&amp;sp=point.32.6519_44.0537","Maplink3")</f>
        <v>Maplink3</v>
      </c>
    </row>
    <row r="1953" customFormat="false" ht="15" hidden="false" customHeight="true" outlineLevel="0" collapsed="false">
      <c r="A1953" s="15" t="n">
        <v>26060</v>
      </c>
      <c r="B1953" s="16" t="s">
        <v>22</v>
      </c>
      <c r="C1953" s="16" t="s">
        <v>22</v>
      </c>
      <c r="D1953" s="16" t="s">
        <v>3844</v>
      </c>
      <c r="E1953" s="17" t="s">
        <v>3845</v>
      </c>
      <c r="F1953" s="16" t="n">
        <v>32.65700381</v>
      </c>
      <c r="G1953" s="16" t="n">
        <v>44.05860968</v>
      </c>
      <c r="H1953" s="18" t="n">
        <v>25</v>
      </c>
      <c r="I1953" s="18" t="n">
        <v>150</v>
      </c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 t="n">
        <v>25</v>
      </c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 t="n">
        <v>25</v>
      </c>
      <c r="AI1953" s="19"/>
      <c r="AJ1953" s="19"/>
      <c r="AK1953" s="19"/>
      <c r="AL1953" s="19"/>
      <c r="AM1953" s="19" t="n">
        <v>25</v>
      </c>
      <c r="AN1953" s="19"/>
      <c r="AO1953" s="19"/>
      <c r="AP1953" s="19"/>
      <c r="AQ1953" s="19"/>
      <c r="AR1953" s="19"/>
      <c r="AS1953" s="20" t="str">
        <f aca="false">HYPERLINK("http://www.openstreetmap.org/?mlat=32.657&amp;mlon=44.0586&amp;zoom=12#map=12/32.657/44.0586","Maplink1")</f>
        <v>Maplink1</v>
      </c>
      <c r="AT1953" s="20" t="str">
        <f aca="false">HYPERLINK("https://www.google.iq/maps/search/+32.657,44.0586/@32.657,44.0586,14z?hl=en","Maplink2")</f>
        <v>Maplink2</v>
      </c>
      <c r="AU1953" s="20" t="str">
        <f aca="false">HYPERLINK("http://www.bing.com/maps/?lvl=14&amp;sty=h&amp;cp=32.657~44.0586&amp;sp=point.32.657_44.0586","Maplink3")</f>
        <v>Maplink3</v>
      </c>
    </row>
    <row r="1954" customFormat="false" ht="15" hidden="false" customHeight="true" outlineLevel="0" collapsed="false">
      <c r="A1954" s="15" t="n">
        <v>24679</v>
      </c>
      <c r="B1954" s="16" t="s">
        <v>22</v>
      </c>
      <c r="C1954" s="16" t="s">
        <v>22</v>
      </c>
      <c r="D1954" s="16" t="s">
        <v>3846</v>
      </c>
      <c r="E1954" s="17" t="s">
        <v>3847</v>
      </c>
      <c r="F1954" s="16" t="n">
        <v>32.60028858</v>
      </c>
      <c r="G1954" s="16" t="n">
        <v>44.03568526</v>
      </c>
      <c r="H1954" s="18" t="n">
        <v>9</v>
      </c>
      <c r="I1954" s="18" t="n">
        <v>54</v>
      </c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 t="n">
        <v>9</v>
      </c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 t="n">
        <v>2</v>
      </c>
      <c r="AH1954" s="19" t="n">
        <v>7</v>
      </c>
      <c r="AI1954" s="19"/>
      <c r="AJ1954" s="19"/>
      <c r="AK1954" s="19"/>
      <c r="AL1954" s="19"/>
      <c r="AM1954" s="19" t="n">
        <v>9</v>
      </c>
      <c r="AN1954" s="19"/>
      <c r="AO1954" s="19"/>
      <c r="AP1954" s="19"/>
      <c r="AQ1954" s="19"/>
      <c r="AR1954" s="19"/>
      <c r="AS1954" s="20" t="str">
        <f aca="false">HYPERLINK("http://www.openstreetmap.org/?mlat=32.6003&amp;mlon=44.0357&amp;zoom=12#map=12/32.6003/44.0357","Maplink1")</f>
        <v>Maplink1</v>
      </c>
      <c r="AT1954" s="20" t="str">
        <f aca="false">HYPERLINK("https://www.google.iq/maps/search/+32.6003,44.0357/@32.6003,44.0357,14z?hl=en","Maplink2")</f>
        <v>Maplink2</v>
      </c>
      <c r="AU1954" s="20" t="str">
        <f aca="false">HYPERLINK("http://www.bing.com/maps/?lvl=14&amp;sty=h&amp;cp=32.6003~44.0357&amp;sp=point.32.6003_44.0357","Maplink3")</f>
        <v>Maplink3</v>
      </c>
    </row>
    <row r="1955" customFormat="false" ht="15" hidden="false" customHeight="true" outlineLevel="0" collapsed="false">
      <c r="A1955" s="15" t="n">
        <v>25783</v>
      </c>
      <c r="B1955" s="16" t="s">
        <v>22</v>
      </c>
      <c r="C1955" s="16" t="s">
        <v>22</v>
      </c>
      <c r="D1955" s="16" t="s">
        <v>3848</v>
      </c>
      <c r="E1955" s="17" t="s">
        <v>3849</v>
      </c>
      <c r="F1955" s="16" t="n">
        <v>32.690092586</v>
      </c>
      <c r="G1955" s="16" t="n">
        <v>43.9162498433</v>
      </c>
      <c r="H1955" s="18" t="n">
        <v>14</v>
      </c>
      <c r="I1955" s="18" t="n">
        <v>84</v>
      </c>
      <c r="J1955" s="19" t="n">
        <v>1</v>
      </c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 t="n">
        <v>13</v>
      </c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 t="n">
        <v>14</v>
      </c>
      <c r="AI1955" s="19"/>
      <c r="AJ1955" s="19"/>
      <c r="AK1955" s="19"/>
      <c r="AL1955" s="19"/>
      <c r="AM1955" s="19" t="n">
        <v>13</v>
      </c>
      <c r="AN1955" s="19"/>
      <c r="AO1955" s="19"/>
      <c r="AP1955" s="19" t="n">
        <v>1</v>
      </c>
      <c r="AQ1955" s="19"/>
      <c r="AR1955" s="19"/>
      <c r="AS1955" s="20" t="str">
        <f aca="false">HYPERLINK("http://www.openstreetmap.org/?mlat=32.6901&amp;mlon=43.9162&amp;zoom=12#map=12/32.6901/43.9162","Maplink1")</f>
        <v>Maplink1</v>
      </c>
      <c r="AT1955" s="20" t="str">
        <f aca="false">HYPERLINK("https://www.google.iq/maps/search/+32.6901,43.9162/@32.6901,43.9162,14z?hl=en","Maplink2")</f>
        <v>Maplink2</v>
      </c>
      <c r="AU1955" s="20" t="str">
        <f aca="false">HYPERLINK("http://www.bing.com/maps/?lvl=14&amp;sty=h&amp;cp=32.6901~43.9162&amp;sp=point.32.6901_43.9162","Maplink3")</f>
        <v>Maplink3</v>
      </c>
    </row>
    <row r="1956" customFormat="false" ht="15" hidden="false" customHeight="true" outlineLevel="0" collapsed="false">
      <c r="A1956" s="15" t="n">
        <v>25490</v>
      </c>
      <c r="B1956" s="16" t="s">
        <v>22</v>
      </c>
      <c r="C1956" s="16" t="s">
        <v>22</v>
      </c>
      <c r="D1956" s="16" t="s">
        <v>3850</v>
      </c>
      <c r="E1956" s="17" t="s">
        <v>3851</v>
      </c>
      <c r="F1956" s="16" t="n">
        <v>32.64994352</v>
      </c>
      <c r="G1956" s="16" t="n">
        <v>43.98042714</v>
      </c>
      <c r="H1956" s="18" t="n">
        <v>15</v>
      </c>
      <c r="I1956" s="18" t="n">
        <v>90</v>
      </c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 t="n">
        <v>15</v>
      </c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 t="n">
        <v>15</v>
      </c>
      <c r="AI1956" s="19"/>
      <c r="AJ1956" s="19"/>
      <c r="AK1956" s="19"/>
      <c r="AL1956" s="19"/>
      <c r="AM1956" s="19" t="n">
        <v>15</v>
      </c>
      <c r="AN1956" s="19"/>
      <c r="AO1956" s="19"/>
      <c r="AP1956" s="19"/>
      <c r="AQ1956" s="19"/>
      <c r="AR1956" s="19"/>
      <c r="AS1956" s="20" t="str">
        <f aca="false">HYPERLINK("http://www.openstreetmap.org/?mlat=32.6499&amp;mlon=43.9804&amp;zoom=12#map=12/32.6499/43.9804","Maplink1")</f>
        <v>Maplink1</v>
      </c>
      <c r="AT1956" s="20" t="str">
        <f aca="false">HYPERLINK("https://www.google.iq/maps/search/+32.6499,43.9804/@32.6499,43.9804,14z?hl=en","Maplink2")</f>
        <v>Maplink2</v>
      </c>
      <c r="AU1956" s="20" t="str">
        <f aca="false">HYPERLINK("http://www.bing.com/maps/?lvl=14&amp;sty=h&amp;cp=32.6499~43.9804&amp;sp=point.32.6499_43.9804","Maplink3")</f>
        <v>Maplink3</v>
      </c>
    </row>
    <row r="1957" customFormat="false" ht="15" hidden="false" customHeight="true" outlineLevel="0" collapsed="false">
      <c r="A1957" s="15" t="n">
        <v>25477</v>
      </c>
      <c r="B1957" s="16" t="s">
        <v>22</v>
      </c>
      <c r="C1957" s="16" t="s">
        <v>22</v>
      </c>
      <c r="D1957" s="16" t="s">
        <v>3852</v>
      </c>
      <c r="E1957" s="17" t="s">
        <v>3853</v>
      </c>
      <c r="F1957" s="16" t="n">
        <v>32.62029627</v>
      </c>
      <c r="G1957" s="16" t="n">
        <v>43.9767552</v>
      </c>
      <c r="H1957" s="18" t="n">
        <v>12</v>
      </c>
      <c r="I1957" s="18" t="n">
        <v>72</v>
      </c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 t="n">
        <v>12</v>
      </c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 t="n">
        <v>2</v>
      </c>
      <c r="AH1957" s="19" t="n">
        <v>10</v>
      </c>
      <c r="AI1957" s="19"/>
      <c r="AJ1957" s="19"/>
      <c r="AK1957" s="19"/>
      <c r="AL1957" s="19"/>
      <c r="AM1957" s="19" t="n">
        <v>12</v>
      </c>
      <c r="AN1957" s="19"/>
      <c r="AO1957" s="19"/>
      <c r="AP1957" s="19"/>
      <c r="AQ1957" s="19"/>
      <c r="AR1957" s="19"/>
      <c r="AS1957" s="20" t="str">
        <f aca="false">HYPERLINK("http://www.openstreetmap.org/?mlat=32.6203&amp;mlon=43.9768&amp;zoom=12#map=12/32.6203/43.9768","Maplink1")</f>
        <v>Maplink1</v>
      </c>
      <c r="AT1957" s="20" t="str">
        <f aca="false">HYPERLINK("https://www.google.iq/maps/search/+32.6203,43.9768/@32.6203,43.9768,14z?hl=en","Maplink2")</f>
        <v>Maplink2</v>
      </c>
      <c r="AU1957" s="20" t="str">
        <f aca="false">HYPERLINK("http://www.bing.com/maps/?lvl=14&amp;sty=h&amp;cp=32.6203~43.9768&amp;sp=point.32.6203_43.9768","Maplink3")</f>
        <v>Maplink3</v>
      </c>
    </row>
    <row r="1958" customFormat="false" ht="15" hidden="false" customHeight="true" outlineLevel="0" collapsed="false">
      <c r="A1958" s="15" t="n">
        <v>25476</v>
      </c>
      <c r="B1958" s="16" t="s">
        <v>22</v>
      </c>
      <c r="C1958" s="16" t="s">
        <v>22</v>
      </c>
      <c r="D1958" s="16" t="s">
        <v>3854</v>
      </c>
      <c r="E1958" s="17" t="s">
        <v>3855</v>
      </c>
      <c r="F1958" s="16" t="n">
        <v>32.6200359268</v>
      </c>
      <c r="G1958" s="16" t="n">
        <v>43.9709824137</v>
      </c>
      <c r="H1958" s="18" t="n">
        <v>16</v>
      </c>
      <c r="I1958" s="18" t="n">
        <v>96</v>
      </c>
      <c r="J1958" s="19" t="n">
        <v>1</v>
      </c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 t="n">
        <v>15</v>
      </c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 t="n">
        <v>16</v>
      </c>
      <c r="AI1958" s="19"/>
      <c r="AJ1958" s="19"/>
      <c r="AK1958" s="19"/>
      <c r="AL1958" s="19"/>
      <c r="AM1958" s="19" t="n">
        <v>15</v>
      </c>
      <c r="AN1958" s="19"/>
      <c r="AO1958" s="19"/>
      <c r="AP1958" s="19" t="n">
        <v>1</v>
      </c>
      <c r="AQ1958" s="19"/>
      <c r="AR1958" s="19"/>
      <c r="AS1958" s="20" t="str">
        <f aca="false">HYPERLINK("http://www.openstreetmap.org/?mlat=32.62&amp;mlon=43.971&amp;zoom=12#map=12/32.62/43.971","Maplink1")</f>
        <v>Maplink1</v>
      </c>
      <c r="AT1958" s="20" t="str">
        <f aca="false">HYPERLINK("https://www.google.iq/maps/search/+32.62,43.971/@32.62,43.971,14z?hl=en","Maplink2")</f>
        <v>Maplink2</v>
      </c>
      <c r="AU1958" s="20" t="str">
        <f aca="false">HYPERLINK("http://www.bing.com/maps/?lvl=14&amp;sty=h&amp;cp=32.62~43.971&amp;sp=point.32.62_43.971","Maplink3")</f>
        <v>Maplink3</v>
      </c>
    </row>
    <row r="1959" customFormat="false" ht="15" hidden="false" customHeight="true" outlineLevel="0" collapsed="false">
      <c r="A1959" s="15" t="n">
        <v>25475</v>
      </c>
      <c r="B1959" s="16" t="s">
        <v>22</v>
      </c>
      <c r="C1959" s="16" t="s">
        <v>22</v>
      </c>
      <c r="D1959" s="16" t="s">
        <v>3856</v>
      </c>
      <c r="E1959" s="17" t="s">
        <v>3857</v>
      </c>
      <c r="F1959" s="16" t="n">
        <v>32.6161681</v>
      </c>
      <c r="G1959" s="16" t="n">
        <v>43.98041608</v>
      </c>
      <c r="H1959" s="18" t="n">
        <v>13</v>
      </c>
      <c r="I1959" s="18" t="n">
        <v>78</v>
      </c>
      <c r="J1959" s="19" t="n">
        <v>3</v>
      </c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 t="n">
        <v>10</v>
      </c>
      <c r="W1959" s="19"/>
      <c r="X1959" s="19"/>
      <c r="Y1959" s="19"/>
      <c r="Z1959" s="19"/>
      <c r="AA1959" s="19"/>
      <c r="AB1959" s="19"/>
      <c r="AC1959" s="19" t="n">
        <v>2</v>
      </c>
      <c r="AD1959" s="19"/>
      <c r="AE1959" s="19"/>
      <c r="AF1959" s="19"/>
      <c r="AG1959" s="19"/>
      <c r="AH1959" s="19" t="n">
        <v>11</v>
      </c>
      <c r="AI1959" s="19"/>
      <c r="AJ1959" s="19"/>
      <c r="AK1959" s="19"/>
      <c r="AL1959" s="19"/>
      <c r="AM1959" s="19" t="n">
        <v>13</v>
      </c>
      <c r="AN1959" s="19"/>
      <c r="AO1959" s="19"/>
      <c r="AP1959" s="19"/>
      <c r="AQ1959" s="19"/>
      <c r="AR1959" s="19"/>
      <c r="AS1959" s="20" t="str">
        <f aca="false">HYPERLINK("http://www.openstreetmap.org/?mlat=32.6162&amp;mlon=43.9804&amp;zoom=12#map=12/32.6162/43.9804","Maplink1")</f>
        <v>Maplink1</v>
      </c>
      <c r="AT1959" s="20" t="str">
        <f aca="false">HYPERLINK("https://www.google.iq/maps/search/+32.6162,43.9804/@32.6162,43.9804,14z?hl=en","Maplink2")</f>
        <v>Maplink2</v>
      </c>
      <c r="AU1959" s="20" t="str">
        <f aca="false">HYPERLINK("http://www.bing.com/maps/?lvl=14&amp;sty=h&amp;cp=32.6162~43.9804&amp;sp=point.32.6162_43.9804","Maplink3")</f>
        <v>Maplink3</v>
      </c>
    </row>
    <row r="1960" customFormat="false" ht="15" hidden="false" customHeight="true" outlineLevel="0" collapsed="false">
      <c r="A1960" s="15" t="n">
        <v>25474</v>
      </c>
      <c r="B1960" s="16" t="s">
        <v>22</v>
      </c>
      <c r="C1960" s="16" t="s">
        <v>22</v>
      </c>
      <c r="D1960" s="16" t="s">
        <v>3858</v>
      </c>
      <c r="E1960" s="17" t="s">
        <v>3859</v>
      </c>
      <c r="F1960" s="16" t="n">
        <v>32.62561195</v>
      </c>
      <c r="G1960" s="16" t="n">
        <v>43.96726705</v>
      </c>
      <c r="H1960" s="18" t="n">
        <v>12</v>
      </c>
      <c r="I1960" s="18" t="n">
        <v>72</v>
      </c>
      <c r="J1960" s="19" t="n">
        <v>2</v>
      </c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 t="n">
        <v>7</v>
      </c>
      <c r="W1960" s="19"/>
      <c r="X1960" s="19" t="n">
        <v>3</v>
      </c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 t="n">
        <v>12</v>
      </c>
      <c r="AI1960" s="19"/>
      <c r="AJ1960" s="19"/>
      <c r="AK1960" s="19"/>
      <c r="AL1960" s="19" t="n">
        <v>3</v>
      </c>
      <c r="AM1960" s="19" t="n">
        <v>9</v>
      </c>
      <c r="AN1960" s="19"/>
      <c r="AO1960" s="19"/>
      <c r="AP1960" s="19"/>
      <c r="AQ1960" s="19"/>
      <c r="AR1960" s="19"/>
      <c r="AS1960" s="20" t="str">
        <f aca="false">HYPERLINK("http://www.openstreetmap.org/?mlat=32.6256&amp;mlon=43.9673&amp;zoom=12#map=12/32.6256/43.9673","Maplink1")</f>
        <v>Maplink1</v>
      </c>
      <c r="AT1960" s="20" t="str">
        <f aca="false">HYPERLINK("https://www.google.iq/maps/search/+32.6256,43.9673/@32.6256,43.9673,14z?hl=en","Maplink2")</f>
        <v>Maplink2</v>
      </c>
      <c r="AU1960" s="20" t="str">
        <f aca="false">HYPERLINK("http://www.bing.com/maps/?lvl=14&amp;sty=h&amp;cp=32.6256~43.9673&amp;sp=point.32.6256_43.9673","Maplink3")</f>
        <v>Maplink3</v>
      </c>
    </row>
    <row r="1961" customFormat="false" ht="15" hidden="false" customHeight="true" outlineLevel="0" collapsed="false">
      <c r="A1961" s="15" t="n">
        <v>25478</v>
      </c>
      <c r="B1961" s="16" t="s">
        <v>22</v>
      </c>
      <c r="C1961" s="16" t="s">
        <v>22</v>
      </c>
      <c r="D1961" s="16" t="s">
        <v>3860</v>
      </c>
      <c r="E1961" s="17" t="s">
        <v>3861</v>
      </c>
      <c r="F1961" s="16" t="n">
        <v>32.62126647</v>
      </c>
      <c r="G1961" s="16" t="n">
        <v>43.97502693</v>
      </c>
      <c r="H1961" s="18" t="n">
        <v>6</v>
      </c>
      <c r="I1961" s="18" t="n">
        <v>36</v>
      </c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 t="n">
        <v>6</v>
      </c>
      <c r="W1961" s="19"/>
      <c r="X1961" s="19"/>
      <c r="Y1961" s="19"/>
      <c r="Z1961" s="19"/>
      <c r="AA1961" s="19"/>
      <c r="AB1961" s="19"/>
      <c r="AC1961" s="19" t="n">
        <v>3</v>
      </c>
      <c r="AD1961" s="19"/>
      <c r="AE1961" s="19"/>
      <c r="AF1961" s="19"/>
      <c r="AG1961" s="19"/>
      <c r="AH1961" s="19" t="n">
        <v>3</v>
      </c>
      <c r="AI1961" s="19"/>
      <c r="AJ1961" s="19"/>
      <c r="AK1961" s="19"/>
      <c r="AL1961" s="19"/>
      <c r="AM1961" s="19" t="n">
        <v>5</v>
      </c>
      <c r="AN1961" s="19"/>
      <c r="AO1961" s="19"/>
      <c r="AP1961" s="19" t="n">
        <v>1</v>
      </c>
      <c r="AQ1961" s="19"/>
      <c r="AR1961" s="19"/>
      <c r="AS1961" s="20" t="str">
        <f aca="false">HYPERLINK("http://www.openstreetmap.org/?mlat=32.6213&amp;mlon=43.975&amp;zoom=12#map=12/32.6213/43.975","Maplink1")</f>
        <v>Maplink1</v>
      </c>
      <c r="AT1961" s="20" t="str">
        <f aca="false">HYPERLINK("https://www.google.iq/maps/search/+32.6213,43.975/@32.6213,43.975,14z?hl=en","Maplink2")</f>
        <v>Maplink2</v>
      </c>
      <c r="AU1961" s="20" t="str">
        <f aca="false">HYPERLINK("http://www.bing.com/maps/?lvl=14&amp;sty=h&amp;cp=32.6213~43.975&amp;sp=point.32.6213_43.975","Maplink3")</f>
        <v>Maplink3</v>
      </c>
    </row>
    <row r="1962" customFormat="false" ht="15" hidden="false" customHeight="true" outlineLevel="0" collapsed="false">
      <c r="A1962" s="15" t="n">
        <v>25491</v>
      </c>
      <c r="B1962" s="16" t="s">
        <v>22</v>
      </c>
      <c r="C1962" s="16" t="s">
        <v>22</v>
      </c>
      <c r="D1962" s="16" t="s">
        <v>3862</v>
      </c>
      <c r="E1962" s="17" t="s">
        <v>3863</v>
      </c>
      <c r="F1962" s="16" t="n">
        <v>32.65146115</v>
      </c>
      <c r="G1962" s="16" t="n">
        <v>43.97848036</v>
      </c>
      <c r="H1962" s="18" t="n">
        <v>25</v>
      </c>
      <c r="I1962" s="18" t="n">
        <v>150</v>
      </c>
      <c r="J1962" s="19" t="n">
        <v>4</v>
      </c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 t="n">
        <v>21</v>
      </c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 t="n">
        <v>25</v>
      </c>
      <c r="AI1962" s="19"/>
      <c r="AJ1962" s="19"/>
      <c r="AK1962" s="19"/>
      <c r="AL1962" s="19" t="n">
        <v>4</v>
      </c>
      <c r="AM1962" s="19" t="n">
        <v>21</v>
      </c>
      <c r="AN1962" s="19"/>
      <c r="AO1962" s="19"/>
      <c r="AP1962" s="19"/>
      <c r="AQ1962" s="19"/>
      <c r="AR1962" s="19"/>
      <c r="AS1962" s="20" t="str">
        <f aca="false">HYPERLINK("http://www.openstreetmap.org/?mlat=32.6515&amp;mlon=43.9785&amp;zoom=12#map=12/32.6515/43.9785","Maplink1")</f>
        <v>Maplink1</v>
      </c>
      <c r="AT1962" s="20" t="str">
        <f aca="false">HYPERLINK("https://www.google.iq/maps/search/+32.6515,43.9785/@32.6515,43.9785,14z?hl=en","Maplink2")</f>
        <v>Maplink2</v>
      </c>
      <c r="AU1962" s="20" t="str">
        <f aca="false">HYPERLINK("http://www.bing.com/maps/?lvl=14&amp;sty=h&amp;cp=32.6515~43.9785&amp;sp=point.32.6515_43.9785","Maplink3")</f>
        <v>Maplink3</v>
      </c>
    </row>
    <row r="1963" customFormat="false" ht="15" hidden="false" customHeight="true" outlineLevel="0" collapsed="false">
      <c r="A1963" s="15" t="n">
        <v>25492</v>
      </c>
      <c r="B1963" s="16" t="s">
        <v>22</v>
      </c>
      <c r="C1963" s="16" t="s">
        <v>22</v>
      </c>
      <c r="D1963" s="16" t="s">
        <v>3864</v>
      </c>
      <c r="E1963" s="17" t="s">
        <v>3865</v>
      </c>
      <c r="F1963" s="16" t="n">
        <v>32.61346032</v>
      </c>
      <c r="G1963" s="16" t="n">
        <v>43.97669032</v>
      </c>
      <c r="H1963" s="18" t="n">
        <v>8</v>
      </c>
      <c r="I1963" s="18" t="n">
        <v>48</v>
      </c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 t="n">
        <v>8</v>
      </c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 t="n">
        <v>8</v>
      </c>
      <c r="AI1963" s="19"/>
      <c r="AJ1963" s="19"/>
      <c r="AK1963" s="19"/>
      <c r="AL1963" s="19"/>
      <c r="AM1963" s="19" t="n">
        <v>8</v>
      </c>
      <c r="AN1963" s="19"/>
      <c r="AO1963" s="19"/>
      <c r="AP1963" s="19"/>
      <c r="AQ1963" s="19"/>
      <c r="AR1963" s="19"/>
      <c r="AS1963" s="20" t="str">
        <f aca="false">HYPERLINK("http://www.openstreetmap.org/?mlat=32.6135&amp;mlon=43.9767&amp;zoom=12#map=12/32.6135/43.9767","Maplink1")</f>
        <v>Maplink1</v>
      </c>
      <c r="AT1963" s="20" t="str">
        <f aca="false">HYPERLINK("https://www.google.iq/maps/search/+32.6135,43.9767/@32.6135,43.9767,14z?hl=en","Maplink2")</f>
        <v>Maplink2</v>
      </c>
      <c r="AU1963" s="20" t="str">
        <f aca="false">HYPERLINK("http://www.bing.com/maps/?lvl=14&amp;sty=h&amp;cp=32.6135~43.9767&amp;sp=point.32.6135_43.9767","Maplink3")</f>
        <v>Maplink3</v>
      </c>
    </row>
    <row r="1964" customFormat="false" ht="15" hidden="false" customHeight="true" outlineLevel="0" collapsed="false">
      <c r="A1964" s="15" t="n">
        <v>25360</v>
      </c>
      <c r="B1964" s="16" t="s">
        <v>22</v>
      </c>
      <c r="C1964" s="16" t="s">
        <v>22</v>
      </c>
      <c r="D1964" s="16" t="s">
        <v>3866</v>
      </c>
      <c r="E1964" s="17" t="s">
        <v>3867</v>
      </c>
      <c r="F1964" s="16" t="n">
        <v>32.61608114</v>
      </c>
      <c r="G1964" s="16" t="n">
        <v>43.97849721</v>
      </c>
      <c r="H1964" s="18" t="n">
        <v>21</v>
      </c>
      <c r="I1964" s="18" t="n">
        <v>126</v>
      </c>
      <c r="J1964" s="19" t="n">
        <v>4</v>
      </c>
      <c r="K1964" s="19"/>
      <c r="L1964" s="19"/>
      <c r="M1964" s="19"/>
      <c r="N1964" s="19"/>
      <c r="O1964" s="19"/>
      <c r="P1964" s="19"/>
      <c r="Q1964" s="19"/>
      <c r="R1964" s="19" t="n">
        <v>2</v>
      </c>
      <c r="S1964" s="19"/>
      <c r="T1964" s="19"/>
      <c r="U1964" s="19"/>
      <c r="V1964" s="19" t="n">
        <v>15</v>
      </c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 t="n">
        <v>21</v>
      </c>
      <c r="AI1964" s="19"/>
      <c r="AJ1964" s="19"/>
      <c r="AK1964" s="19"/>
      <c r="AL1964" s="19"/>
      <c r="AM1964" s="19" t="n">
        <v>18</v>
      </c>
      <c r="AN1964" s="19" t="n">
        <v>3</v>
      </c>
      <c r="AO1964" s="19"/>
      <c r="AP1964" s="19"/>
      <c r="AQ1964" s="19"/>
      <c r="AR1964" s="19"/>
      <c r="AS1964" s="20" t="str">
        <f aca="false">HYPERLINK("http://www.openstreetmap.org/?mlat=32.6161&amp;mlon=43.9785&amp;zoom=12#map=12/32.6161/43.9785","Maplink1")</f>
        <v>Maplink1</v>
      </c>
      <c r="AT1964" s="20" t="str">
        <f aca="false">HYPERLINK("https://www.google.iq/maps/search/+32.6161,43.9785/@32.6161,43.9785,14z?hl=en","Maplink2")</f>
        <v>Maplink2</v>
      </c>
      <c r="AU1964" s="20" t="str">
        <f aca="false">HYPERLINK("http://www.bing.com/maps/?lvl=14&amp;sty=h&amp;cp=32.6161~43.9785&amp;sp=point.32.6161_43.9785","Maplink3")</f>
        <v>Maplink3</v>
      </c>
    </row>
    <row r="1965" customFormat="false" ht="15" hidden="false" customHeight="true" outlineLevel="0" collapsed="false">
      <c r="A1965" s="15" t="n">
        <v>25484</v>
      </c>
      <c r="B1965" s="16" t="s">
        <v>22</v>
      </c>
      <c r="C1965" s="16" t="s">
        <v>22</v>
      </c>
      <c r="D1965" s="16" t="s">
        <v>3868</v>
      </c>
      <c r="E1965" s="17" t="s">
        <v>3869</v>
      </c>
      <c r="F1965" s="16" t="n">
        <v>32.64665794</v>
      </c>
      <c r="G1965" s="16" t="n">
        <v>43.97005077</v>
      </c>
      <c r="H1965" s="18" t="n">
        <v>315</v>
      </c>
      <c r="I1965" s="18" t="n">
        <v>1890</v>
      </c>
      <c r="J1965" s="19" t="n">
        <v>2</v>
      </c>
      <c r="K1965" s="19"/>
      <c r="L1965" s="19" t="n">
        <v>2</v>
      </c>
      <c r="M1965" s="19"/>
      <c r="N1965" s="19"/>
      <c r="O1965" s="19"/>
      <c r="P1965" s="19"/>
      <c r="Q1965" s="19"/>
      <c r="R1965" s="19"/>
      <c r="S1965" s="19"/>
      <c r="T1965" s="19"/>
      <c r="U1965" s="19"/>
      <c r="V1965" s="19" t="n">
        <v>311</v>
      </c>
      <c r="W1965" s="19"/>
      <c r="X1965" s="19"/>
      <c r="Y1965" s="19"/>
      <c r="Z1965" s="19"/>
      <c r="AA1965" s="19"/>
      <c r="AB1965" s="19"/>
      <c r="AC1965" s="19" t="n">
        <v>6</v>
      </c>
      <c r="AD1965" s="19"/>
      <c r="AE1965" s="19"/>
      <c r="AF1965" s="19"/>
      <c r="AG1965" s="19"/>
      <c r="AH1965" s="19" t="n">
        <v>309</v>
      </c>
      <c r="AI1965" s="19"/>
      <c r="AJ1965" s="19"/>
      <c r="AK1965" s="19"/>
      <c r="AL1965" s="19"/>
      <c r="AM1965" s="19" t="n">
        <v>313</v>
      </c>
      <c r="AN1965" s="19" t="n">
        <v>2</v>
      </c>
      <c r="AO1965" s="19"/>
      <c r="AP1965" s="19"/>
      <c r="AQ1965" s="19"/>
      <c r="AR1965" s="19"/>
      <c r="AS1965" s="20" t="str">
        <f aca="false">HYPERLINK("http://www.openstreetmap.org/?mlat=32.6467&amp;mlon=43.9701&amp;zoom=12#map=12/32.6467/43.9701","Maplink1")</f>
        <v>Maplink1</v>
      </c>
      <c r="AT1965" s="20" t="str">
        <f aca="false">HYPERLINK("https://www.google.iq/maps/search/+32.6467,43.9701/@32.6467,43.9701,14z?hl=en","Maplink2")</f>
        <v>Maplink2</v>
      </c>
      <c r="AU1965" s="20" t="str">
        <f aca="false">HYPERLINK("http://www.bing.com/maps/?lvl=14&amp;sty=h&amp;cp=32.6467~43.9701&amp;sp=point.32.6467_43.9701","Maplink3")</f>
        <v>Maplink3</v>
      </c>
    </row>
    <row r="1966" customFormat="false" ht="15" hidden="false" customHeight="true" outlineLevel="0" collapsed="false">
      <c r="A1966" s="15" t="n">
        <v>25064</v>
      </c>
      <c r="B1966" s="16" t="s">
        <v>22</v>
      </c>
      <c r="C1966" s="16" t="s">
        <v>22</v>
      </c>
      <c r="D1966" s="16" t="s">
        <v>3870</v>
      </c>
      <c r="E1966" s="17" t="s">
        <v>3871</v>
      </c>
      <c r="F1966" s="16" t="n">
        <v>32.6720067</v>
      </c>
      <c r="G1966" s="16" t="n">
        <v>44.16405846</v>
      </c>
      <c r="H1966" s="18" t="n">
        <v>39</v>
      </c>
      <c r="I1966" s="18" t="n">
        <v>234</v>
      </c>
      <c r="J1966" s="19" t="n">
        <v>4</v>
      </c>
      <c r="K1966" s="19" t="n">
        <v>13</v>
      </c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 t="n">
        <v>22</v>
      </c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 t="n">
        <v>39</v>
      </c>
      <c r="AI1966" s="19"/>
      <c r="AJ1966" s="19"/>
      <c r="AK1966" s="19"/>
      <c r="AL1966" s="19" t="n">
        <v>17</v>
      </c>
      <c r="AM1966" s="19" t="n">
        <v>22</v>
      </c>
      <c r="AN1966" s="19"/>
      <c r="AO1966" s="19"/>
      <c r="AP1966" s="19"/>
      <c r="AQ1966" s="19"/>
      <c r="AR1966" s="19"/>
      <c r="AS1966" s="20" t="str">
        <f aca="false">HYPERLINK("http://www.openstreetmap.org/?mlat=32.672&amp;mlon=44.1641&amp;zoom=12#map=12/32.672/44.1641","Maplink1")</f>
        <v>Maplink1</v>
      </c>
      <c r="AT1966" s="20" t="str">
        <f aca="false">HYPERLINK("https://www.google.iq/maps/search/+32.672,44.1641/@32.672,44.1641,14z?hl=en","Maplink2")</f>
        <v>Maplink2</v>
      </c>
      <c r="AU1966" s="20" t="str">
        <f aca="false">HYPERLINK("http://www.bing.com/maps/?lvl=14&amp;sty=h&amp;cp=32.672~44.1641&amp;sp=point.32.672_44.1641","Maplink3")</f>
        <v>Maplink3</v>
      </c>
    </row>
    <row r="1967" customFormat="false" ht="15" hidden="false" customHeight="true" outlineLevel="0" collapsed="false">
      <c r="A1967" s="15" t="n">
        <v>25355</v>
      </c>
      <c r="B1967" s="16" t="s">
        <v>22</v>
      </c>
      <c r="C1967" s="16" t="s">
        <v>22</v>
      </c>
      <c r="D1967" s="16" t="s">
        <v>3872</v>
      </c>
      <c r="E1967" s="17" t="s">
        <v>3873</v>
      </c>
      <c r="F1967" s="16" t="n">
        <v>32.63037341</v>
      </c>
      <c r="G1967" s="16" t="n">
        <v>44.06233418</v>
      </c>
      <c r="H1967" s="18" t="n">
        <v>15</v>
      </c>
      <c r="I1967" s="18" t="n">
        <v>90</v>
      </c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 t="n">
        <v>15</v>
      </c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 t="n">
        <v>11</v>
      </c>
      <c r="AH1967" s="19" t="n">
        <v>4</v>
      </c>
      <c r="AI1967" s="19"/>
      <c r="AJ1967" s="19"/>
      <c r="AK1967" s="19"/>
      <c r="AL1967" s="19"/>
      <c r="AM1967" s="19" t="n">
        <v>15</v>
      </c>
      <c r="AN1967" s="19"/>
      <c r="AO1967" s="19"/>
      <c r="AP1967" s="19"/>
      <c r="AQ1967" s="19"/>
      <c r="AR1967" s="19"/>
      <c r="AS1967" s="20" t="str">
        <f aca="false">HYPERLINK("http://www.openstreetmap.org/?mlat=32.6304&amp;mlon=44.0623&amp;zoom=12#map=12/32.6304/44.0623","Maplink1")</f>
        <v>Maplink1</v>
      </c>
      <c r="AT1967" s="20" t="str">
        <f aca="false">HYPERLINK("https://www.google.iq/maps/search/+32.6304,44.0623/@32.6304,44.0623,14z?hl=en","Maplink2")</f>
        <v>Maplink2</v>
      </c>
      <c r="AU1967" s="20" t="str">
        <f aca="false">HYPERLINK("http://www.bing.com/maps/?lvl=14&amp;sty=h&amp;cp=32.6304~44.0623&amp;sp=point.32.6304_44.0623","Maplink3")</f>
        <v>Maplink3</v>
      </c>
    </row>
    <row r="1968" customFormat="false" ht="15" hidden="false" customHeight="true" outlineLevel="0" collapsed="false">
      <c r="A1968" s="15" t="n">
        <v>25482</v>
      </c>
      <c r="B1968" s="16" t="s">
        <v>22</v>
      </c>
      <c r="C1968" s="16" t="s">
        <v>22</v>
      </c>
      <c r="D1968" s="16" t="s">
        <v>3874</v>
      </c>
      <c r="E1968" s="17" t="s">
        <v>3875</v>
      </c>
      <c r="F1968" s="16" t="n">
        <v>32.64586267</v>
      </c>
      <c r="G1968" s="16" t="n">
        <v>44.02171279</v>
      </c>
      <c r="H1968" s="18" t="n">
        <v>16</v>
      </c>
      <c r="I1968" s="18" t="n">
        <v>96</v>
      </c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 t="n">
        <v>16</v>
      </c>
      <c r="W1968" s="19"/>
      <c r="X1968" s="19"/>
      <c r="Y1968" s="19"/>
      <c r="Z1968" s="19"/>
      <c r="AA1968" s="19"/>
      <c r="AB1968" s="19"/>
      <c r="AC1968" s="19" t="n">
        <v>7</v>
      </c>
      <c r="AD1968" s="19"/>
      <c r="AE1968" s="19"/>
      <c r="AF1968" s="19"/>
      <c r="AG1968" s="19"/>
      <c r="AH1968" s="19" t="n">
        <v>9</v>
      </c>
      <c r="AI1968" s="19"/>
      <c r="AJ1968" s="19"/>
      <c r="AK1968" s="19"/>
      <c r="AL1968" s="19"/>
      <c r="AM1968" s="19" t="n">
        <v>16</v>
      </c>
      <c r="AN1968" s="19"/>
      <c r="AO1968" s="19"/>
      <c r="AP1968" s="19"/>
      <c r="AQ1968" s="19"/>
      <c r="AR1968" s="19"/>
      <c r="AS1968" s="20" t="str">
        <f aca="false">HYPERLINK("http://www.openstreetmap.org/?mlat=32.6459&amp;mlon=44.0217&amp;zoom=12#map=12/32.6459/44.0217","Maplink1")</f>
        <v>Maplink1</v>
      </c>
      <c r="AT1968" s="20" t="str">
        <f aca="false">HYPERLINK("https://www.google.iq/maps/search/+32.6459,44.0217/@32.6459,44.0217,14z?hl=en","Maplink2")</f>
        <v>Maplink2</v>
      </c>
      <c r="AU1968" s="20" t="str">
        <f aca="false">HYPERLINK("http://www.bing.com/maps/?lvl=14&amp;sty=h&amp;cp=32.6459~44.0217&amp;sp=point.32.6459_44.0217","Maplink3")</f>
        <v>Maplink3</v>
      </c>
    </row>
    <row r="1969" customFormat="false" ht="15" hidden="false" customHeight="true" outlineLevel="0" collapsed="false">
      <c r="A1969" s="15" t="n">
        <v>25483</v>
      </c>
      <c r="B1969" s="16" t="s">
        <v>22</v>
      </c>
      <c r="C1969" s="16" t="s">
        <v>22</v>
      </c>
      <c r="D1969" s="16" t="s">
        <v>3876</v>
      </c>
      <c r="E1969" s="17" t="s">
        <v>3877</v>
      </c>
      <c r="F1969" s="16" t="n">
        <v>32.64805332</v>
      </c>
      <c r="G1969" s="16" t="n">
        <v>44.01704097</v>
      </c>
      <c r="H1969" s="18" t="n">
        <v>45</v>
      </c>
      <c r="I1969" s="18" t="n">
        <v>270</v>
      </c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 t="n">
        <v>45</v>
      </c>
      <c r="W1969" s="19"/>
      <c r="X1969" s="19"/>
      <c r="Y1969" s="19"/>
      <c r="Z1969" s="19"/>
      <c r="AA1969" s="19"/>
      <c r="AB1969" s="19"/>
      <c r="AC1969" s="19" t="n">
        <v>1</v>
      </c>
      <c r="AD1969" s="19"/>
      <c r="AE1969" s="19"/>
      <c r="AF1969" s="19"/>
      <c r="AG1969" s="19"/>
      <c r="AH1969" s="19" t="n">
        <v>44</v>
      </c>
      <c r="AI1969" s="19"/>
      <c r="AJ1969" s="19"/>
      <c r="AK1969" s="19"/>
      <c r="AL1969" s="19"/>
      <c r="AM1969" s="19" t="n">
        <v>45</v>
      </c>
      <c r="AN1969" s="19"/>
      <c r="AO1969" s="19"/>
      <c r="AP1969" s="19"/>
      <c r="AQ1969" s="19"/>
      <c r="AR1969" s="19"/>
      <c r="AS1969" s="20" t="str">
        <f aca="false">HYPERLINK("http://www.openstreetmap.org/?mlat=32.6481&amp;mlon=44.017&amp;zoom=12#map=12/32.6481/44.017","Maplink1")</f>
        <v>Maplink1</v>
      </c>
      <c r="AT1969" s="20" t="str">
        <f aca="false">HYPERLINK("https://www.google.iq/maps/search/+32.6481,44.017/@32.6481,44.017,14z?hl=en","Maplink2")</f>
        <v>Maplink2</v>
      </c>
      <c r="AU1969" s="20" t="str">
        <f aca="false">HYPERLINK("http://www.bing.com/maps/?lvl=14&amp;sty=h&amp;cp=32.6481~44.017&amp;sp=point.32.6481_44.017","Maplink3")</f>
        <v>Maplink3</v>
      </c>
    </row>
    <row r="1970" customFormat="false" ht="15" hidden="false" customHeight="true" outlineLevel="0" collapsed="false">
      <c r="A1970" s="15" t="n">
        <v>25904</v>
      </c>
      <c r="B1970" s="16" t="s">
        <v>22</v>
      </c>
      <c r="C1970" s="16" t="s">
        <v>22</v>
      </c>
      <c r="D1970" s="16" t="s">
        <v>3878</v>
      </c>
      <c r="E1970" s="17" t="s">
        <v>3879</v>
      </c>
      <c r="F1970" s="16" t="n">
        <v>32.58211</v>
      </c>
      <c r="G1970" s="16" t="n">
        <v>44.013646</v>
      </c>
      <c r="H1970" s="18" t="n">
        <v>8</v>
      </c>
      <c r="I1970" s="18" t="n">
        <v>48</v>
      </c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 t="n">
        <v>8</v>
      </c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 t="n">
        <v>8</v>
      </c>
      <c r="AI1970" s="19"/>
      <c r="AJ1970" s="19"/>
      <c r="AK1970" s="19"/>
      <c r="AL1970" s="19"/>
      <c r="AM1970" s="19" t="n">
        <v>8</v>
      </c>
      <c r="AN1970" s="19"/>
      <c r="AO1970" s="19"/>
      <c r="AP1970" s="19"/>
      <c r="AQ1970" s="19"/>
      <c r="AR1970" s="19"/>
      <c r="AS1970" s="20" t="str">
        <f aca="false">HYPERLINK("http://www.openstreetmap.org/?mlat=32.5821&amp;mlon=44.0136&amp;zoom=12#map=12/32.5821/44.0136","Maplink1")</f>
        <v>Maplink1</v>
      </c>
      <c r="AT1970" s="20" t="str">
        <f aca="false">HYPERLINK("https://www.google.iq/maps/search/+32.5821,44.0136/@32.5821,44.0136,14z?hl=en","Maplink2")</f>
        <v>Maplink2</v>
      </c>
      <c r="AU1970" s="20" t="str">
        <f aca="false">HYPERLINK("http://www.bing.com/maps/?lvl=14&amp;sty=h&amp;cp=32.5821~44.0136&amp;sp=point.32.5821_44.0136","Maplink3")</f>
        <v>Maplink3</v>
      </c>
    </row>
    <row r="1971" customFormat="false" ht="15" hidden="false" customHeight="true" outlineLevel="0" collapsed="false">
      <c r="A1971" s="15" t="n">
        <v>25264</v>
      </c>
      <c r="B1971" s="16" t="s">
        <v>22</v>
      </c>
      <c r="C1971" s="16" t="s">
        <v>22</v>
      </c>
      <c r="D1971" s="16" t="s">
        <v>3880</v>
      </c>
      <c r="E1971" s="17" t="s">
        <v>3881</v>
      </c>
      <c r="F1971" s="16" t="n">
        <v>32.60680773</v>
      </c>
      <c r="G1971" s="16" t="n">
        <v>44.06677994</v>
      </c>
      <c r="H1971" s="18" t="n">
        <v>118</v>
      </c>
      <c r="I1971" s="18" t="n">
        <v>708</v>
      </c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 t="n">
        <v>118</v>
      </c>
      <c r="W1971" s="19"/>
      <c r="X1971" s="19"/>
      <c r="Y1971" s="19"/>
      <c r="Z1971" s="19"/>
      <c r="AA1971" s="19"/>
      <c r="AB1971" s="19"/>
      <c r="AC1971" s="19" t="n">
        <v>25</v>
      </c>
      <c r="AD1971" s="19"/>
      <c r="AE1971" s="19"/>
      <c r="AF1971" s="19"/>
      <c r="AG1971" s="19" t="n">
        <v>20</v>
      </c>
      <c r="AH1971" s="19" t="n">
        <v>73</v>
      </c>
      <c r="AI1971" s="19"/>
      <c r="AJ1971" s="19"/>
      <c r="AK1971" s="19"/>
      <c r="AL1971" s="19"/>
      <c r="AM1971" s="19" t="n">
        <v>118</v>
      </c>
      <c r="AN1971" s="19"/>
      <c r="AO1971" s="19"/>
      <c r="AP1971" s="19"/>
      <c r="AQ1971" s="19"/>
      <c r="AR1971" s="19"/>
      <c r="AS1971" s="20" t="str">
        <f aca="false">HYPERLINK("http://www.openstreetmap.org/?mlat=32.6068&amp;mlon=44.0668&amp;zoom=12#map=12/32.6068/44.0668","Maplink1")</f>
        <v>Maplink1</v>
      </c>
      <c r="AT1971" s="20" t="str">
        <f aca="false">HYPERLINK("https://www.google.iq/maps/search/+32.6068,44.0668/@32.6068,44.0668,14z?hl=en","Maplink2")</f>
        <v>Maplink2</v>
      </c>
      <c r="AU1971" s="20" t="str">
        <f aca="false">HYPERLINK("http://www.bing.com/maps/?lvl=14&amp;sty=h&amp;cp=32.6068~44.0668&amp;sp=point.32.6068_44.0668","Maplink3")</f>
        <v>Maplink3</v>
      </c>
    </row>
    <row r="1972" customFormat="false" ht="15" hidden="false" customHeight="true" outlineLevel="0" collapsed="false">
      <c r="A1972" s="15" t="n">
        <v>25887</v>
      </c>
      <c r="B1972" s="16" t="s">
        <v>22</v>
      </c>
      <c r="C1972" s="16" t="s">
        <v>22</v>
      </c>
      <c r="D1972" s="16" t="s">
        <v>3882</v>
      </c>
      <c r="E1972" s="17" t="s">
        <v>3883</v>
      </c>
      <c r="F1972" s="16" t="n">
        <v>32.68745551</v>
      </c>
      <c r="G1972" s="16" t="n">
        <v>44.10279362</v>
      </c>
      <c r="H1972" s="18" t="n">
        <v>80</v>
      </c>
      <c r="I1972" s="18" t="n">
        <v>480</v>
      </c>
      <c r="J1972" s="19" t="n">
        <v>3</v>
      </c>
      <c r="K1972" s="19" t="n">
        <v>9</v>
      </c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 t="n">
        <v>68</v>
      </c>
      <c r="W1972" s="19"/>
      <c r="X1972" s="19"/>
      <c r="Y1972" s="19"/>
      <c r="Z1972" s="19"/>
      <c r="AA1972" s="19"/>
      <c r="AB1972" s="19"/>
      <c r="AC1972" s="19" t="n">
        <v>3</v>
      </c>
      <c r="AD1972" s="19"/>
      <c r="AE1972" s="19"/>
      <c r="AF1972" s="19"/>
      <c r="AG1972" s="19" t="n">
        <v>68</v>
      </c>
      <c r="AH1972" s="19" t="n">
        <v>9</v>
      </c>
      <c r="AI1972" s="19"/>
      <c r="AJ1972" s="19"/>
      <c r="AK1972" s="19"/>
      <c r="AL1972" s="19" t="n">
        <v>12</v>
      </c>
      <c r="AM1972" s="19" t="n">
        <v>68</v>
      </c>
      <c r="AN1972" s="19"/>
      <c r="AO1972" s="19"/>
      <c r="AP1972" s="19"/>
      <c r="AQ1972" s="19"/>
      <c r="AR1972" s="19"/>
      <c r="AS1972" s="20" t="str">
        <f aca="false">HYPERLINK("http://www.openstreetmap.org/?mlat=32.6875&amp;mlon=44.1028&amp;zoom=12#map=12/32.6875/44.1028","Maplink1")</f>
        <v>Maplink1</v>
      </c>
      <c r="AT1972" s="20" t="str">
        <f aca="false">HYPERLINK("https://www.google.iq/maps/search/+32.6875,44.1028/@32.6875,44.1028,14z?hl=en","Maplink2")</f>
        <v>Maplink2</v>
      </c>
      <c r="AU1972" s="20" t="str">
        <f aca="false">HYPERLINK("http://www.bing.com/maps/?lvl=14&amp;sty=h&amp;cp=32.6875~44.1028&amp;sp=point.32.6875_44.1028","Maplink3")</f>
        <v>Maplink3</v>
      </c>
    </row>
    <row r="1973" customFormat="false" ht="15" hidden="false" customHeight="true" outlineLevel="0" collapsed="false">
      <c r="A1973" s="15" t="n">
        <v>14137</v>
      </c>
      <c r="B1973" s="16" t="s">
        <v>22</v>
      </c>
      <c r="C1973" s="16" t="s">
        <v>22</v>
      </c>
      <c r="D1973" s="16" t="s">
        <v>3884</v>
      </c>
      <c r="E1973" s="17" t="s">
        <v>3885</v>
      </c>
      <c r="F1973" s="16" t="n">
        <v>32.63773155</v>
      </c>
      <c r="G1973" s="16" t="n">
        <v>44.07696772</v>
      </c>
      <c r="H1973" s="18" t="n">
        <v>15</v>
      </c>
      <c r="I1973" s="18" t="n">
        <v>90</v>
      </c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 t="n">
        <v>15</v>
      </c>
      <c r="W1973" s="19"/>
      <c r="X1973" s="19"/>
      <c r="Y1973" s="19"/>
      <c r="Z1973" s="19"/>
      <c r="AA1973" s="19"/>
      <c r="AB1973" s="19"/>
      <c r="AC1973" s="19" t="n">
        <v>15</v>
      </c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 t="n">
        <v>15</v>
      </c>
      <c r="AN1973" s="19"/>
      <c r="AO1973" s="19"/>
      <c r="AP1973" s="19"/>
      <c r="AQ1973" s="19"/>
      <c r="AR1973" s="19"/>
      <c r="AS1973" s="20" t="str">
        <f aca="false">HYPERLINK("http://www.openstreetmap.org/?mlat=32.6377&amp;mlon=44.077&amp;zoom=12#map=12/32.6377/44.077","Maplink1")</f>
        <v>Maplink1</v>
      </c>
      <c r="AT1973" s="20" t="str">
        <f aca="false">HYPERLINK("https://www.google.iq/maps/search/+32.6377,44.077/@32.6377,44.077,14z?hl=en","Maplink2")</f>
        <v>Maplink2</v>
      </c>
      <c r="AU1973" s="20" t="str">
        <f aca="false">HYPERLINK("http://www.bing.com/maps/?lvl=14&amp;sty=h&amp;cp=32.6377~44.077&amp;sp=point.32.6377_44.077","Maplink3")</f>
        <v>Maplink3</v>
      </c>
    </row>
    <row r="1974" customFormat="false" ht="15" hidden="false" customHeight="true" outlineLevel="0" collapsed="false">
      <c r="A1974" s="15" t="n">
        <v>25480</v>
      </c>
      <c r="B1974" s="16" t="s">
        <v>22</v>
      </c>
      <c r="C1974" s="16" t="s">
        <v>22</v>
      </c>
      <c r="D1974" s="16" t="s">
        <v>3886</v>
      </c>
      <c r="E1974" s="17" t="s">
        <v>3887</v>
      </c>
      <c r="F1974" s="16" t="n">
        <v>32.62697271</v>
      </c>
      <c r="G1974" s="16" t="n">
        <v>43.96346846</v>
      </c>
      <c r="H1974" s="18" t="n">
        <v>20</v>
      </c>
      <c r="I1974" s="18" t="n">
        <v>120</v>
      </c>
      <c r="J1974" s="19" t="n">
        <v>2</v>
      </c>
      <c r="K1974" s="19"/>
      <c r="L1974" s="19"/>
      <c r="M1974" s="19"/>
      <c r="N1974" s="19"/>
      <c r="O1974" s="19"/>
      <c r="P1974" s="19"/>
      <c r="Q1974" s="19"/>
      <c r="R1974" s="19" t="n">
        <v>3</v>
      </c>
      <c r="S1974" s="19"/>
      <c r="T1974" s="19"/>
      <c r="U1974" s="19"/>
      <c r="V1974" s="19" t="n">
        <v>15</v>
      </c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 t="n">
        <v>20</v>
      </c>
      <c r="AI1974" s="19"/>
      <c r="AJ1974" s="19"/>
      <c r="AK1974" s="19"/>
      <c r="AL1974" s="19" t="n">
        <v>5</v>
      </c>
      <c r="AM1974" s="19" t="n">
        <v>15</v>
      </c>
      <c r="AN1974" s="19"/>
      <c r="AO1974" s="19"/>
      <c r="AP1974" s="19"/>
      <c r="AQ1974" s="19"/>
      <c r="AR1974" s="19"/>
      <c r="AS1974" s="20" t="str">
        <f aca="false">HYPERLINK("http://www.openstreetmap.org/?mlat=32.627&amp;mlon=43.9635&amp;zoom=12#map=12/32.627/43.9635","Maplink1")</f>
        <v>Maplink1</v>
      </c>
      <c r="AT1974" s="20" t="str">
        <f aca="false">HYPERLINK("https://www.google.iq/maps/search/+32.627,43.9635/@32.627,43.9635,14z?hl=en","Maplink2")</f>
        <v>Maplink2</v>
      </c>
      <c r="AU1974" s="20" t="str">
        <f aca="false">HYPERLINK("http://www.bing.com/maps/?lvl=14&amp;sty=h&amp;cp=32.627~43.9635&amp;sp=point.32.627_43.9635","Maplink3")</f>
        <v>Maplink3</v>
      </c>
    </row>
    <row r="1975" customFormat="false" ht="15" hidden="false" customHeight="true" outlineLevel="0" collapsed="false">
      <c r="A1975" s="15" t="n">
        <v>25481</v>
      </c>
      <c r="B1975" s="16" t="s">
        <v>22</v>
      </c>
      <c r="C1975" s="16" t="s">
        <v>22</v>
      </c>
      <c r="D1975" s="16" t="s">
        <v>3888</v>
      </c>
      <c r="E1975" s="17" t="s">
        <v>3889</v>
      </c>
      <c r="F1975" s="16" t="n">
        <v>32.62431418</v>
      </c>
      <c r="G1975" s="16" t="n">
        <v>43.96424538</v>
      </c>
      <c r="H1975" s="18" t="n">
        <v>24</v>
      </c>
      <c r="I1975" s="18" t="n">
        <v>144</v>
      </c>
      <c r="J1975" s="19"/>
      <c r="K1975" s="19"/>
      <c r="L1975" s="19" t="n">
        <v>2</v>
      </c>
      <c r="M1975" s="19"/>
      <c r="N1975" s="19"/>
      <c r="O1975" s="19"/>
      <c r="P1975" s="19"/>
      <c r="Q1975" s="19"/>
      <c r="R1975" s="19" t="n">
        <v>8</v>
      </c>
      <c r="S1975" s="19"/>
      <c r="T1975" s="19"/>
      <c r="U1975" s="19"/>
      <c r="V1975" s="19" t="n">
        <v>14</v>
      </c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 t="n">
        <v>24</v>
      </c>
      <c r="AI1975" s="19"/>
      <c r="AJ1975" s="19"/>
      <c r="AK1975" s="19"/>
      <c r="AL1975" s="19"/>
      <c r="AM1975" s="19" t="n">
        <v>23</v>
      </c>
      <c r="AN1975" s="19"/>
      <c r="AO1975" s="19"/>
      <c r="AP1975" s="19" t="n">
        <v>1</v>
      </c>
      <c r="AQ1975" s="19"/>
      <c r="AR1975" s="19"/>
      <c r="AS1975" s="20" t="str">
        <f aca="false">HYPERLINK("http://www.openstreetmap.org/?mlat=32.6243&amp;mlon=43.9642&amp;zoom=12#map=12/32.6243/43.9642","Maplink1")</f>
        <v>Maplink1</v>
      </c>
      <c r="AT1975" s="20" t="str">
        <f aca="false">HYPERLINK("https://www.google.iq/maps/search/+32.6243,43.9642/@32.6243,43.9642,14z?hl=en","Maplink2")</f>
        <v>Maplink2</v>
      </c>
      <c r="AU1975" s="20" t="str">
        <f aca="false">HYPERLINK("http://www.bing.com/maps/?lvl=14&amp;sty=h&amp;cp=32.6243~43.9642&amp;sp=point.32.6243_43.9642","Maplink3")</f>
        <v>Maplink3</v>
      </c>
    </row>
    <row r="1976" customFormat="false" ht="15" hidden="false" customHeight="true" outlineLevel="0" collapsed="false">
      <c r="A1976" s="15" t="n">
        <v>25543</v>
      </c>
      <c r="B1976" s="16" t="s">
        <v>22</v>
      </c>
      <c r="C1976" s="16" t="s">
        <v>22</v>
      </c>
      <c r="D1976" s="16" t="s">
        <v>3890</v>
      </c>
      <c r="E1976" s="17" t="s">
        <v>3891</v>
      </c>
      <c r="F1976" s="16" t="n">
        <v>32.62358298</v>
      </c>
      <c r="G1976" s="16" t="n">
        <v>43.95958328</v>
      </c>
      <c r="H1976" s="18" t="n">
        <v>4</v>
      </c>
      <c r="I1976" s="18" t="n">
        <v>24</v>
      </c>
      <c r="J1976" s="19" t="n">
        <v>2</v>
      </c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 t="n">
        <v>2</v>
      </c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 t="n">
        <v>4</v>
      </c>
      <c r="AI1976" s="19"/>
      <c r="AJ1976" s="19"/>
      <c r="AK1976" s="19"/>
      <c r="AL1976" s="19"/>
      <c r="AM1976" s="19" t="n">
        <v>3</v>
      </c>
      <c r="AN1976" s="19" t="n">
        <v>1</v>
      </c>
      <c r="AO1976" s="19"/>
      <c r="AP1976" s="19"/>
      <c r="AQ1976" s="19"/>
      <c r="AR1976" s="19"/>
      <c r="AS1976" s="20" t="str">
        <f aca="false">HYPERLINK("http://www.openstreetmap.org/?mlat=32.6236&amp;mlon=43.9596&amp;zoom=12#map=12/32.6236/43.9596","Maplink1")</f>
        <v>Maplink1</v>
      </c>
      <c r="AT1976" s="20" t="str">
        <f aca="false">HYPERLINK("https://www.google.iq/maps/search/+32.6236,43.9596/@32.6236,43.9596,14z?hl=en","Maplink2")</f>
        <v>Maplink2</v>
      </c>
      <c r="AU1976" s="20" t="str">
        <f aca="false">HYPERLINK("http://www.bing.com/maps/?lvl=14&amp;sty=h&amp;cp=32.6236~43.9596&amp;sp=point.32.6236_43.9596","Maplink3")</f>
        <v>Maplink3</v>
      </c>
    </row>
    <row r="1977" customFormat="false" ht="15" hidden="false" customHeight="true" outlineLevel="0" collapsed="false">
      <c r="A1977" s="15" t="n">
        <v>25956</v>
      </c>
      <c r="B1977" s="16" t="s">
        <v>22</v>
      </c>
      <c r="C1977" s="16" t="s">
        <v>22</v>
      </c>
      <c r="D1977" s="16" t="s">
        <v>3892</v>
      </c>
      <c r="E1977" s="17" t="s">
        <v>3893</v>
      </c>
      <c r="F1977" s="16" t="n">
        <v>32.5741828512</v>
      </c>
      <c r="G1977" s="16" t="n">
        <v>44.0156503301</v>
      </c>
      <c r="H1977" s="18" t="n">
        <v>11</v>
      </c>
      <c r="I1977" s="18" t="n">
        <v>66</v>
      </c>
      <c r="J1977" s="19"/>
      <c r="K1977" s="19"/>
      <c r="L1977" s="19"/>
      <c r="M1977" s="19"/>
      <c r="N1977" s="19"/>
      <c r="O1977" s="19" t="n">
        <v>4</v>
      </c>
      <c r="P1977" s="19"/>
      <c r="Q1977" s="19"/>
      <c r="R1977" s="19"/>
      <c r="S1977" s="19"/>
      <c r="T1977" s="19"/>
      <c r="U1977" s="19"/>
      <c r="V1977" s="19" t="n">
        <v>7</v>
      </c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 t="n">
        <v>11</v>
      </c>
      <c r="AI1977" s="19"/>
      <c r="AJ1977" s="19"/>
      <c r="AK1977" s="19"/>
      <c r="AL1977" s="19"/>
      <c r="AM1977" s="19" t="n">
        <v>11</v>
      </c>
      <c r="AN1977" s="19"/>
      <c r="AO1977" s="19"/>
      <c r="AP1977" s="19"/>
      <c r="AQ1977" s="19"/>
      <c r="AR1977" s="19"/>
      <c r="AS1977" s="20" t="str">
        <f aca="false">HYPERLINK("http://www.openstreetmap.org/?mlat=32.5742&amp;mlon=44.0157&amp;zoom=12#map=12/32.5742/44.0157","Maplink1")</f>
        <v>Maplink1</v>
      </c>
      <c r="AT1977" s="20" t="str">
        <f aca="false">HYPERLINK("https://www.google.iq/maps/search/+32.5742,44.0157/@32.5742,44.0157,14z?hl=en","Maplink2")</f>
        <v>Maplink2</v>
      </c>
      <c r="AU1977" s="20" t="str">
        <f aca="false">HYPERLINK("http://www.bing.com/maps/?lvl=14&amp;sty=h&amp;cp=32.5742~44.0157&amp;sp=point.32.5742_44.0157","Maplink3")</f>
        <v>Maplink3</v>
      </c>
    </row>
    <row r="1978" customFormat="false" ht="15" hidden="false" customHeight="true" outlineLevel="0" collapsed="false">
      <c r="A1978" s="15" t="n">
        <v>25902</v>
      </c>
      <c r="B1978" s="16" t="s">
        <v>22</v>
      </c>
      <c r="C1978" s="16" t="s">
        <v>22</v>
      </c>
      <c r="D1978" s="16" t="s">
        <v>3894</v>
      </c>
      <c r="E1978" s="17" t="s">
        <v>3895</v>
      </c>
      <c r="F1978" s="16" t="n">
        <v>32.63765758</v>
      </c>
      <c r="G1978" s="16" t="n">
        <v>44.06134034</v>
      </c>
      <c r="H1978" s="18" t="n">
        <v>8</v>
      </c>
      <c r="I1978" s="18" t="n">
        <v>48</v>
      </c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 t="n">
        <v>8</v>
      </c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 t="n">
        <v>8</v>
      </c>
      <c r="AI1978" s="19"/>
      <c r="AJ1978" s="19"/>
      <c r="AK1978" s="19"/>
      <c r="AL1978" s="19"/>
      <c r="AM1978" s="19" t="n">
        <v>8</v>
      </c>
      <c r="AN1978" s="19"/>
      <c r="AO1978" s="19"/>
      <c r="AP1978" s="19"/>
      <c r="AQ1978" s="19"/>
      <c r="AR1978" s="19"/>
      <c r="AS1978" s="20" t="str">
        <f aca="false">HYPERLINK("http://www.openstreetmap.org/?mlat=32.6377&amp;mlon=44.0613&amp;zoom=12#map=12/32.6377/44.0613","Maplink1")</f>
        <v>Maplink1</v>
      </c>
      <c r="AT1978" s="20" t="str">
        <f aca="false">HYPERLINK("https://www.google.iq/maps/search/+32.6377,44.0613/@32.6377,44.0613,14z?hl=en","Maplink2")</f>
        <v>Maplink2</v>
      </c>
      <c r="AU1978" s="20" t="str">
        <f aca="false">HYPERLINK("http://www.bing.com/maps/?lvl=14&amp;sty=h&amp;cp=32.6377~44.0613&amp;sp=point.32.6377_44.0613","Maplink3")</f>
        <v>Maplink3</v>
      </c>
    </row>
    <row r="1979" customFormat="false" ht="15" hidden="false" customHeight="true" outlineLevel="0" collapsed="false">
      <c r="A1979" s="15" t="n">
        <v>23265</v>
      </c>
      <c r="B1979" s="16" t="s">
        <v>22</v>
      </c>
      <c r="C1979" s="16" t="s">
        <v>22</v>
      </c>
      <c r="D1979" s="16" t="s">
        <v>3896</v>
      </c>
      <c r="E1979" s="17" t="s">
        <v>3897</v>
      </c>
      <c r="F1979" s="16" t="n">
        <v>32.649602</v>
      </c>
      <c r="G1979" s="16" t="n">
        <v>44.05010968</v>
      </c>
      <c r="H1979" s="18" t="n">
        <v>88</v>
      </c>
      <c r="I1979" s="18" t="n">
        <v>528</v>
      </c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 t="n">
        <v>88</v>
      </c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 t="n">
        <v>25</v>
      </c>
      <c r="AH1979" s="19" t="n">
        <v>63</v>
      </c>
      <c r="AI1979" s="19"/>
      <c r="AJ1979" s="19"/>
      <c r="AK1979" s="19"/>
      <c r="AL1979" s="19"/>
      <c r="AM1979" s="19" t="n">
        <v>88</v>
      </c>
      <c r="AN1979" s="19"/>
      <c r="AO1979" s="19"/>
      <c r="AP1979" s="19"/>
      <c r="AQ1979" s="19"/>
      <c r="AR1979" s="19"/>
      <c r="AS1979" s="20" t="str">
        <f aca="false">HYPERLINK("http://www.openstreetmap.org/?mlat=32.6496&amp;mlon=44.0501&amp;zoom=12#map=12/32.6496/44.0501","Maplink1")</f>
        <v>Maplink1</v>
      </c>
      <c r="AT1979" s="20" t="str">
        <f aca="false">HYPERLINK("https://www.google.iq/maps/search/+32.6496,44.0501/@32.6496,44.0501,14z?hl=en","Maplink2")</f>
        <v>Maplink2</v>
      </c>
      <c r="AU1979" s="20" t="str">
        <f aca="false">HYPERLINK("http://www.bing.com/maps/?lvl=14&amp;sty=h&amp;cp=32.6496~44.0501&amp;sp=point.32.6496_44.0501","Maplink3")</f>
        <v>Maplink3</v>
      </c>
    </row>
    <row r="1980" customFormat="false" ht="15" hidden="false" customHeight="true" outlineLevel="0" collapsed="false">
      <c r="A1980" s="15" t="n">
        <v>25061</v>
      </c>
      <c r="B1980" s="16" t="s">
        <v>22</v>
      </c>
      <c r="C1980" s="16" t="s">
        <v>22</v>
      </c>
      <c r="D1980" s="16" t="s">
        <v>3898</v>
      </c>
      <c r="E1980" s="17" t="s">
        <v>3899</v>
      </c>
      <c r="F1980" s="16" t="n">
        <v>32.64413327</v>
      </c>
      <c r="G1980" s="16" t="n">
        <v>43.99922113</v>
      </c>
      <c r="H1980" s="18" t="n">
        <v>123</v>
      </c>
      <c r="I1980" s="18" t="n">
        <v>738</v>
      </c>
      <c r="J1980" s="19" t="n">
        <v>5</v>
      </c>
      <c r="K1980" s="19" t="n">
        <v>2</v>
      </c>
      <c r="L1980" s="19" t="n">
        <v>1</v>
      </c>
      <c r="M1980" s="19"/>
      <c r="N1980" s="19"/>
      <c r="O1980" s="19"/>
      <c r="P1980" s="19"/>
      <c r="Q1980" s="19"/>
      <c r="R1980" s="19"/>
      <c r="S1980" s="19"/>
      <c r="T1980" s="19"/>
      <c r="U1980" s="19"/>
      <c r="V1980" s="19" t="n">
        <v>114</v>
      </c>
      <c r="W1980" s="19"/>
      <c r="X1980" s="19" t="n">
        <v>1</v>
      </c>
      <c r="Y1980" s="19"/>
      <c r="Z1980" s="19"/>
      <c r="AA1980" s="19"/>
      <c r="AB1980" s="19"/>
      <c r="AC1980" s="19" t="n">
        <v>17</v>
      </c>
      <c r="AD1980" s="19"/>
      <c r="AE1980" s="19"/>
      <c r="AF1980" s="19"/>
      <c r="AG1980" s="19"/>
      <c r="AH1980" s="19" t="n">
        <v>106</v>
      </c>
      <c r="AI1980" s="19"/>
      <c r="AJ1980" s="19"/>
      <c r="AK1980" s="19"/>
      <c r="AL1980" s="19" t="n">
        <v>8</v>
      </c>
      <c r="AM1980" s="19" t="n">
        <v>115</v>
      </c>
      <c r="AN1980" s="19"/>
      <c r="AO1980" s="19"/>
      <c r="AP1980" s="19"/>
      <c r="AQ1980" s="19"/>
      <c r="AR1980" s="19"/>
      <c r="AS1980" s="20" t="str">
        <f aca="false">HYPERLINK("http://www.openstreetmap.org/?mlat=32.6441&amp;mlon=43.9992&amp;zoom=12#map=12/32.6441/43.9992","Maplink1")</f>
        <v>Maplink1</v>
      </c>
      <c r="AT1980" s="20" t="str">
        <f aca="false">HYPERLINK("https://www.google.iq/maps/search/+32.6441,43.9992/@32.6441,43.9992,14z?hl=en","Maplink2")</f>
        <v>Maplink2</v>
      </c>
      <c r="AU1980" s="20" t="str">
        <f aca="false">HYPERLINK("http://www.bing.com/maps/?lvl=14&amp;sty=h&amp;cp=32.6441~43.9992&amp;sp=point.32.6441_43.9992","Maplink3")</f>
        <v>Maplink3</v>
      </c>
    </row>
    <row r="1981" customFormat="false" ht="15" hidden="false" customHeight="true" outlineLevel="0" collapsed="false">
      <c r="A1981" s="15" t="n">
        <v>24716</v>
      </c>
      <c r="B1981" s="16" t="s">
        <v>22</v>
      </c>
      <c r="C1981" s="16" t="s">
        <v>22</v>
      </c>
      <c r="D1981" s="16" t="s">
        <v>3900</v>
      </c>
      <c r="E1981" s="17" t="s">
        <v>3901</v>
      </c>
      <c r="F1981" s="16" t="n">
        <v>32.5857609836</v>
      </c>
      <c r="G1981" s="16" t="n">
        <v>44.0157815069</v>
      </c>
      <c r="H1981" s="18" t="n">
        <v>15</v>
      </c>
      <c r="I1981" s="18" t="n">
        <v>90</v>
      </c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 t="n">
        <v>15</v>
      </c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 t="n">
        <v>7</v>
      </c>
      <c r="AH1981" s="19" t="n">
        <v>8</v>
      </c>
      <c r="AI1981" s="19"/>
      <c r="AJ1981" s="19"/>
      <c r="AK1981" s="19"/>
      <c r="AL1981" s="19"/>
      <c r="AM1981" s="19" t="n">
        <v>15</v>
      </c>
      <c r="AN1981" s="19"/>
      <c r="AO1981" s="19"/>
      <c r="AP1981" s="19"/>
      <c r="AQ1981" s="19"/>
      <c r="AR1981" s="19"/>
      <c r="AS1981" s="20" t="str">
        <f aca="false">HYPERLINK("http://www.openstreetmap.org/?mlat=32.5858&amp;mlon=44.0158&amp;zoom=12#map=12/32.5858/44.0158","Maplink1")</f>
        <v>Maplink1</v>
      </c>
      <c r="AT1981" s="20" t="str">
        <f aca="false">HYPERLINK("https://www.google.iq/maps/search/+32.5858,44.0158/@32.5858,44.0158,14z?hl=en","Maplink2")</f>
        <v>Maplink2</v>
      </c>
      <c r="AU1981" s="20" t="str">
        <f aca="false">HYPERLINK("http://www.bing.com/maps/?lvl=14&amp;sty=h&amp;cp=32.5858~44.0158&amp;sp=point.32.5858_44.0158","Maplink3")</f>
        <v>Maplink3</v>
      </c>
    </row>
    <row r="1982" customFormat="false" ht="15" hidden="false" customHeight="true" outlineLevel="0" collapsed="false">
      <c r="A1982" s="15" t="n">
        <v>22533</v>
      </c>
      <c r="B1982" s="16" t="s">
        <v>22</v>
      </c>
      <c r="C1982" s="16" t="s">
        <v>22</v>
      </c>
      <c r="D1982" s="16" t="s">
        <v>3902</v>
      </c>
      <c r="E1982" s="17" t="s">
        <v>3903</v>
      </c>
      <c r="F1982" s="16" t="n">
        <v>32.5901943399</v>
      </c>
      <c r="G1982" s="16" t="n">
        <v>44.0094866138</v>
      </c>
      <c r="H1982" s="18" t="n">
        <v>20</v>
      </c>
      <c r="I1982" s="18" t="n">
        <v>120</v>
      </c>
      <c r="J1982" s="19"/>
      <c r="K1982" s="19"/>
      <c r="L1982" s="19"/>
      <c r="M1982" s="19"/>
      <c r="N1982" s="19"/>
      <c r="O1982" s="19" t="n">
        <v>2</v>
      </c>
      <c r="P1982" s="19"/>
      <c r="Q1982" s="19"/>
      <c r="R1982" s="19"/>
      <c r="S1982" s="19"/>
      <c r="T1982" s="19"/>
      <c r="U1982" s="19"/>
      <c r="V1982" s="19" t="n">
        <v>16</v>
      </c>
      <c r="W1982" s="19"/>
      <c r="X1982" s="19" t="n">
        <v>2</v>
      </c>
      <c r="Y1982" s="19"/>
      <c r="Z1982" s="19"/>
      <c r="AA1982" s="19"/>
      <c r="AB1982" s="19"/>
      <c r="AC1982" s="19"/>
      <c r="AD1982" s="19"/>
      <c r="AE1982" s="19"/>
      <c r="AF1982" s="19"/>
      <c r="AG1982" s="19" t="n">
        <v>3</v>
      </c>
      <c r="AH1982" s="19" t="n">
        <v>17</v>
      </c>
      <c r="AI1982" s="19"/>
      <c r="AJ1982" s="19"/>
      <c r="AK1982" s="19"/>
      <c r="AL1982" s="19"/>
      <c r="AM1982" s="19" t="n">
        <v>20</v>
      </c>
      <c r="AN1982" s="19"/>
      <c r="AO1982" s="19"/>
      <c r="AP1982" s="19"/>
      <c r="AQ1982" s="19"/>
      <c r="AR1982" s="19"/>
      <c r="AS1982" s="20" t="str">
        <f aca="false">HYPERLINK("http://www.openstreetmap.org/?mlat=32.5902&amp;mlon=44.0095&amp;zoom=12#map=12/32.5902/44.0095","Maplink1")</f>
        <v>Maplink1</v>
      </c>
      <c r="AT1982" s="20" t="str">
        <f aca="false">HYPERLINK("https://www.google.iq/maps/search/+32.5902,44.0095/@32.5902,44.0095,14z?hl=en","Maplink2")</f>
        <v>Maplink2</v>
      </c>
      <c r="AU1982" s="20" t="str">
        <f aca="false">HYPERLINK("http://www.bing.com/maps/?lvl=14&amp;sty=h&amp;cp=32.5902~44.0095&amp;sp=point.32.5902_44.0095","Maplink3")</f>
        <v>Maplink3</v>
      </c>
    </row>
    <row r="1983" customFormat="false" ht="15" hidden="false" customHeight="true" outlineLevel="0" collapsed="false">
      <c r="A1983" s="15" t="n">
        <v>25487</v>
      </c>
      <c r="B1983" s="16" t="s">
        <v>22</v>
      </c>
      <c r="C1983" s="16" t="s">
        <v>22</v>
      </c>
      <c r="D1983" s="16" t="s">
        <v>3904</v>
      </c>
      <c r="E1983" s="17" t="s">
        <v>3905</v>
      </c>
      <c r="F1983" s="16" t="n">
        <v>32.64923114</v>
      </c>
      <c r="G1983" s="16" t="n">
        <v>44.10620581</v>
      </c>
      <c r="H1983" s="18" t="n">
        <v>19</v>
      </c>
      <c r="I1983" s="18" t="n">
        <v>114</v>
      </c>
      <c r="J1983" s="19" t="n">
        <v>3</v>
      </c>
      <c r="K1983" s="19" t="n">
        <v>1</v>
      </c>
      <c r="L1983" s="19" t="n">
        <v>1</v>
      </c>
      <c r="M1983" s="19"/>
      <c r="N1983" s="19"/>
      <c r="O1983" s="19" t="n">
        <v>1</v>
      </c>
      <c r="P1983" s="19"/>
      <c r="Q1983" s="19"/>
      <c r="R1983" s="19"/>
      <c r="S1983" s="19"/>
      <c r="T1983" s="19"/>
      <c r="U1983" s="19"/>
      <c r="V1983" s="19" t="n">
        <v>13</v>
      </c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 t="n">
        <v>19</v>
      </c>
      <c r="AI1983" s="19"/>
      <c r="AJ1983" s="19"/>
      <c r="AK1983" s="19"/>
      <c r="AL1983" s="19"/>
      <c r="AM1983" s="19" t="n">
        <v>19</v>
      </c>
      <c r="AN1983" s="19"/>
      <c r="AO1983" s="19"/>
      <c r="AP1983" s="19"/>
      <c r="AQ1983" s="19"/>
      <c r="AR1983" s="19"/>
      <c r="AS1983" s="20" t="str">
        <f aca="false">HYPERLINK("http://www.openstreetmap.org/?mlat=32.6492&amp;mlon=44.1062&amp;zoom=12#map=12/32.6492/44.1062","Maplink1")</f>
        <v>Maplink1</v>
      </c>
      <c r="AT1983" s="20" t="str">
        <f aca="false">HYPERLINK("https://www.google.iq/maps/search/+32.6492,44.1062/@32.6492,44.1062,14z?hl=en","Maplink2")</f>
        <v>Maplink2</v>
      </c>
      <c r="AU1983" s="20" t="str">
        <f aca="false">HYPERLINK("http://www.bing.com/maps/?lvl=14&amp;sty=h&amp;cp=32.6492~44.1062&amp;sp=point.32.6492_44.1062","Maplink3")</f>
        <v>Maplink3</v>
      </c>
    </row>
    <row r="1984" customFormat="false" ht="15" hidden="false" customHeight="true" outlineLevel="0" collapsed="false">
      <c r="A1984" s="15" t="n">
        <v>24197</v>
      </c>
      <c r="B1984" s="16" t="s">
        <v>22</v>
      </c>
      <c r="C1984" s="16" t="s">
        <v>22</v>
      </c>
      <c r="D1984" s="16" t="s">
        <v>3906</v>
      </c>
      <c r="E1984" s="17" t="s">
        <v>3907</v>
      </c>
      <c r="F1984" s="16" t="n">
        <v>32.6005747</v>
      </c>
      <c r="G1984" s="16" t="n">
        <v>44.0023625</v>
      </c>
      <c r="H1984" s="18" t="n">
        <v>25</v>
      </c>
      <c r="I1984" s="18" t="n">
        <v>150</v>
      </c>
      <c r="J1984" s="19"/>
      <c r="K1984" s="19"/>
      <c r="L1984" s="19"/>
      <c r="M1984" s="19"/>
      <c r="N1984" s="19"/>
      <c r="O1984" s="19"/>
      <c r="P1984" s="19"/>
      <c r="Q1984" s="19"/>
      <c r="R1984" s="19" t="n">
        <v>19</v>
      </c>
      <c r="S1984" s="19"/>
      <c r="T1984" s="19"/>
      <c r="U1984" s="19"/>
      <c r="V1984" s="19" t="n">
        <v>6</v>
      </c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 t="n">
        <v>25</v>
      </c>
      <c r="AI1984" s="19"/>
      <c r="AJ1984" s="19"/>
      <c r="AK1984" s="19"/>
      <c r="AL1984" s="19"/>
      <c r="AM1984" s="19" t="n">
        <v>25</v>
      </c>
      <c r="AN1984" s="19"/>
      <c r="AO1984" s="19"/>
      <c r="AP1984" s="19"/>
      <c r="AQ1984" s="19"/>
      <c r="AR1984" s="19"/>
      <c r="AS1984" s="20" t="str">
        <f aca="false">HYPERLINK("http://www.openstreetmap.org/?mlat=32.6006&amp;mlon=44.0024&amp;zoom=12#map=12/32.6006/44.0024","Maplink1")</f>
        <v>Maplink1</v>
      </c>
      <c r="AT1984" s="20" t="str">
        <f aca="false">HYPERLINK("https://www.google.iq/maps/search/+32.6006,44.0024/@32.6006,44.0024,14z?hl=en","Maplink2")</f>
        <v>Maplink2</v>
      </c>
      <c r="AU1984" s="20" t="str">
        <f aca="false">HYPERLINK("http://www.bing.com/maps/?lvl=14&amp;sty=h&amp;cp=32.6006~44.0024&amp;sp=point.32.6006_44.0024","Maplink3")</f>
        <v>Maplink3</v>
      </c>
    </row>
    <row r="1985" customFormat="false" ht="15" hidden="false" customHeight="true" outlineLevel="0" collapsed="false">
      <c r="A1985" s="15" t="n">
        <v>25493</v>
      </c>
      <c r="B1985" s="16" t="s">
        <v>22</v>
      </c>
      <c r="C1985" s="16" t="s">
        <v>22</v>
      </c>
      <c r="D1985" s="16" t="s">
        <v>3908</v>
      </c>
      <c r="E1985" s="17" t="s">
        <v>3909</v>
      </c>
      <c r="F1985" s="16" t="n">
        <v>32.64926886</v>
      </c>
      <c r="G1985" s="16" t="n">
        <v>43.98383355</v>
      </c>
      <c r="H1985" s="18" t="n">
        <v>26</v>
      </c>
      <c r="I1985" s="18" t="n">
        <v>156</v>
      </c>
      <c r="J1985" s="19" t="n">
        <v>2</v>
      </c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 t="n">
        <v>24</v>
      </c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 t="n">
        <v>7</v>
      </c>
      <c r="AH1985" s="19" t="n">
        <v>19</v>
      </c>
      <c r="AI1985" s="19"/>
      <c r="AJ1985" s="19"/>
      <c r="AK1985" s="19"/>
      <c r="AL1985" s="19"/>
      <c r="AM1985" s="19" t="n">
        <v>26</v>
      </c>
      <c r="AN1985" s="19"/>
      <c r="AO1985" s="19"/>
      <c r="AP1985" s="19"/>
      <c r="AQ1985" s="19"/>
      <c r="AR1985" s="19"/>
      <c r="AS1985" s="20" t="str">
        <f aca="false">HYPERLINK("http://www.openstreetmap.org/?mlat=32.6493&amp;mlon=43.9838&amp;zoom=12#map=12/32.6493/43.9838","Maplink1")</f>
        <v>Maplink1</v>
      </c>
      <c r="AT1985" s="20" t="str">
        <f aca="false">HYPERLINK("https://www.google.iq/maps/search/+32.6493,43.9838/@32.6493,43.9838,14z?hl=en","Maplink2")</f>
        <v>Maplink2</v>
      </c>
      <c r="AU1985" s="20" t="str">
        <f aca="false">HYPERLINK("http://www.bing.com/maps/?lvl=14&amp;sty=h&amp;cp=32.6493~43.9838&amp;sp=point.32.6493_43.9838","Maplink3")</f>
        <v>Maplink3</v>
      </c>
    </row>
    <row r="1986" customFormat="false" ht="15" hidden="false" customHeight="true" outlineLevel="0" collapsed="false">
      <c r="A1986" s="15" t="n">
        <v>22091</v>
      </c>
      <c r="B1986" s="16" t="s">
        <v>22</v>
      </c>
      <c r="C1986" s="16" t="s">
        <v>22</v>
      </c>
      <c r="D1986" s="16" t="s">
        <v>3910</v>
      </c>
      <c r="E1986" s="17" t="s">
        <v>3911</v>
      </c>
      <c r="F1986" s="16" t="n">
        <v>32.608378</v>
      </c>
      <c r="G1986" s="16" t="n">
        <v>43.981268</v>
      </c>
      <c r="H1986" s="18" t="n">
        <v>1</v>
      </c>
      <c r="I1986" s="18" t="n">
        <v>6</v>
      </c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 t="n">
        <v>1</v>
      </c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 t="n">
        <v>1</v>
      </c>
      <c r="AI1986" s="19"/>
      <c r="AJ1986" s="19"/>
      <c r="AK1986" s="19"/>
      <c r="AL1986" s="19"/>
      <c r="AM1986" s="19" t="n">
        <v>1</v>
      </c>
      <c r="AN1986" s="19"/>
      <c r="AO1986" s="19"/>
      <c r="AP1986" s="19"/>
      <c r="AQ1986" s="19"/>
      <c r="AR1986" s="19"/>
      <c r="AS1986" s="20" t="str">
        <f aca="false">HYPERLINK("http://www.openstreetmap.org/?mlat=32.6084&amp;mlon=43.9813&amp;zoom=12#map=12/32.6084/43.9813","Maplink1")</f>
        <v>Maplink1</v>
      </c>
      <c r="AT1986" s="20" t="str">
        <f aca="false">HYPERLINK("https://www.google.iq/maps/search/+32.6084,43.9813/@32.6084,43.9813,14z?hl=en","Maplink2")</f>
        <v>Maplink2</v>
      </c>
      <c r="AU1986" s="20" t="str">
        <f aca="false">HYPERLINK("http://www.bing.com/maps/?lvl=14&amp;sty=h&amp;cp=32.6084~43.9813&amp;sp=point.32.6084_43.9813","Maplink3")</f>
        <v>Maplink3</v>
      </c>
    </row>
    <row r="1987" customFormat="false" ht="15" hidden="false" customHeight="true" outlineLevel="0" collapsed="false">
      <c r="A1987" s="15" t="n">
        <v>25884</v>
      </c>
      <c r="B1987" s="16" t="s">
        <v>22</v>
      </c>
      <c r="C1987" s="16" t="s">
        <v>22</v>
      </c>
      <c r="D1987" s="16" t="s">
        <v>3912</v>
      </c>
      <c r="E1987" s="17" t="s">
        <v>3913</v>
      </c>
      <c r="F1987" s="16" t="n">
        <v>32.62970508</v>
      </c>
      <c r="G1987" s="16" t="n">
        <v>44.05582865</v>
      </c>
      <c r="H1987" s="18" t="n">
        <v>22</v>
      </c>
      <c r="I1987" s="18" t="n">
        <v>132</v>
      </c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 t="n">
        <v>22</v>
      </c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 t="n">
        <v>1</v>
      </c>
      <c r="AH1987" s="19" t="n">
        <v>21</v>
      </c>
      <c r="AI1987" s="19"/>
      <c r="AJ1987" s="19"/>
      <c r="AK1987" s="19"/>
      <c r="AL1987" s="19"/>
      <c r="AM1987" s="19" t="n">
        <v>22</v>
      </c>
      <c r="AN1987" s="19"/>
      <c r="AO1987" s="19"/>
      <c r="AP1987" s="19"/>
      <c r="AQ1987" s="19"/>
      <c r="AR1987" s="19"/>
      <c r="AS1987" s="20" t="str">
        <f aca="false">HYPERLINK("http://www.openstreetmap.org/?mlat=32.6297&amp;mlon=44.0558&amp;zoom=12#map=12/32.6297/44.0558","Maplink1")</f>
        <v>Maplink1</v>
      </c>
      <c r="AT1987" s="20" t="str">
        <f aca="false">HYPERLINK("https://www.google.iq/maps/search/+32.6297,44.0558/@32.6297,44.0558,14z?hl=en","Maplink2")</f>
        <v>Maplink2</v>
      </c>
      <c r="AU1987" s="20" t="str">
        <f aca="false">HYPERLINK("http://www.bing.com/maps/?lvl=14&amp;sty=h&amp;cp=32.6297~44.0558&amp;sp=point.32.6297_44.0558","Maplink3")</f>
        <v>Maplink3</v>
      </c>
    </row>
    <row r="1988" customFormat="false" ht="15" hidden="false" customHeight="true" outlineLevel="0" collapsed="false">
      <c r="A1988" s="15" t="n">
        <v>25357</v>
      </c>
      <c r="B1988" s="16" t="s">
        <v>22</v>
      </c>
      <c r="C1988" s="16" t="s">
        <v>22</v>
      </c>
      <c r="D1988" s="16" t="s">
        <v>3914</v>
      </c>
      <c r="E1988" s="17" t="s">
        <v>3915</v>
      </c>
      <c r="F1988" s="16" t="n">
        <v>32.62985692</v>
      </c>
      <c r="G1988" s="16" t="n">
        <v>44.05810224</v>
      </c>
      <c r="H1988" s="18" t="n">
        <v>15</v>
      </c>
      <c r="I1988" s="18" t="n">
        <v>90</v>
      </c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 t="n">
        <v>15</v>
      </c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 t="n">
        <v>5</v>
      </c>
      <c r="AH1988" s="19" t="n">
        <v>10</v>
      </c>
      <c r="AI1988" s="19"/>
      <c r="AJ1988" s="19"/>
      <c r="AK1988" s="19"/>
      <c r="AL1988" s="19"/>
      <c r="AM1988" s="19" t="n">
        <v>15</v>
      </c>
      <c r="AN1988" s="19"/>
      <c r="AO1988" s="19"/>
      <c r="AP1988" s="19"/>
      <c r="AQ1988" s="19"/>
      <c r="AR1988" s="19"/>
      <c r="AS1988" s="20" t="str">
        <f aca="false">HYPERLINK("http://www.openstreetmap.org/?mlat=32.6299&amp;mlon=44.0581&amp;zoom=12#map=12/32.6299/44.0581","Maplink1")</f>
        <v>Maplink1</v>
      </c>
      <c r="AT1988" s="20" t="str">
        <f aca="false">HYPERLINK("https://www.google.iq/maps/search/+32.6299,44.0581/@32.6299,44.0581,14z?hl=en","Maplink2")</f>
        <v>Maplink2</v>
      </c>
      <c r="AU1988" s="20" t="str">
        <f aca="false">HYPERLINK("http://www.bing.com/maps/?lvl=14&amp;sty=h&amp;cp=32.6299~44.0581&amp;sp=point.32.6299_44.0581","Maplink3")</f>
        <v>Maplink3</v>
      </c>
    </row>
    <row r="1989" customFormat="false" ht="15" hidden="false" customHeight="true" outlineLevel="0" collapsed="false">
      <c r="A1989" s="15" t="n">
        <v>14324</v>
      </c>
      <c r="B1989" s="16" t="s">
        <v>22</v>
      </c>
      <c r="C1989" s="16" t="s">
        <v>22</v>
      </c>
      <c r="D1989" s="16" t="s">
        <v>3916</v>
      </c>
      <c r="E1989" s="17" t="s">
        <v>3917</v>
      </c>
      <c r="F1989" s="16" t="n">
        <v>32.64280134</v>
      </c>
      <c r="G1989" s="16" t="n">
        <v>43.9763444</v>
      </c>
      <c r="H1989" s="18" t="n">
        <v>18</v>
      </c>
      <c r="I1989" s="18" t="n">
        <v>108</v>
      </c>
      <c r="J1989" s="19" t="n">
        <v>3</v>
      </c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 t="n">
        <v>15</v>
      </c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 t="n">
        <v>6</v>
      </c>
      <c r="AI1989" s="19"/>
      <c r="AJ1989" s="19" t="n">
        <v>12</v>
      </c>
      <c r="AK1989" s="19"/>
      <c r="AL1989" s="19" t="n">
        <v>3</v>
      </c>
      <c r="AM1989" s="19" t="n">
        <v>15</v>
      </c>
      <c r="AN1989" s="19"/>
      <c r="AO1989" s="19"/>
      <c r="AP1989" s="19"/>
      <c r="AQ1989" s="19"/>
      <c r="AR1989" s="19"/>
      <c r="AS1989" s="20" t="str">
        <f aca="false">HYPERLINK("http://www.openstreetmap.org/?mlat=32.6428&amp;mlon=43.9763&amp;zoom=12#map=12/32.6428/43.9763","Maplink1")</f>
        <v>Maplink1</v>
      </c>
      <c r="AT1989" s="20" t="str">
        <f aca="false">HYPERLINK("https://www.google.iq/maps/search/+32.6428,43.9763/@32.6428,43.9763,14z?hl=en","Maplink2")</f>
        <v>Maplink2</v>
      </c>
      <c r="AU1989" s="20" t="str">
        <f aca="false">HYPERLINK("http://www.bing.com/maps/?lvl=14&amp;sty=h&amp;cp=32.6428~43.9763&amp;sp=point.32.6428_43.9763","Maplink3")</f>
        <v>Maplink3</v>
      </c>
    </row>
    <row r="1990" customFormat="false" ht="15" hidden="false" customHeight="true" outlineLevel="0" collapsed="false">
      <c r="A1990" s="15" t="n">
        <v>25886</v>
      </c>
      <c r="B1990" s="16" t="s">
        <v>22</v>
      </c>
      <c r="C1990" s="16" t="s">
        <v>22</v>
      </c>
      <c r="D1990" s="16" t="s">
        <v>3918</v>
      </c>
      <c r="E1990" s="17" t="s">
        <v>3919</v>
      </c>
      <c r="F1990" s="16" t="n">
        <v>32.62404809</v>
      </c>
      <c r="G1990" s="16" t="n">
        <v>44.04864267</v>
      </c>
      <c r="H1990" s="18" t="n">
        <v>25</v>
      </c>
      <c r="I1990" s="18" t="n">
        <v>150</v>
      </c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 t="n">
        <v>25</v>
      </c>
      <c r="W1990" s="19"/>
      <c r="X1990" s="19"/>
      <c r="Y1990" s="19"/>
      <c r="Z1990" s="19"/>
      <c r="AA1990" s="19"/>
      <c r="AB1990" s="19"/>
      <c r="AC1990" s="19" t="n">
        <v>3</v>
      </c>
      <c r="AD1990" s="19"/>
      <c r="AE1990" s="19"/>
      <c r="AF1990" s="19"/>
      <c r="AG1990" s="19" t="n">
        <v>15</v>
      </c>
      <c r="AH1990" s="19" t="n">
        <v>7</v>
      </c>
      <c r="AI1990" s="19"/>
      <c r="AJ1990" s="19"/>
      <c r="AK1990" s="19"/>
      <c r="AL1990" s="19"/>
      <c r="AM1990" s="19" t="n">
        <v>25</v>
      </c>
      <c r="AN1990" s="19"/>
      <c r="AO1990" s="19"/>
      <c r="AP1990" s="19"/>
      <c r="AQ1990" s="19"/>
      <c r="AR1990" s="19"/>
      <c r="AS1990" s="20" t="str">
        <f aca="false">HYPERLINK("http://www.openstreetmap.org/?mlat=32.624&amp;mlon=44.0486&amp;zoom=12#map=12/32.624/44.0486","Maplink1")</f>
        <v>Maplink1</v>
      </c>
      <c r="AT1990" s="20" t="str">
        <f aca="false">HYPERLINK("https://www.google.iq/maps/search/+32.624,44.0486/@32.624,44.0486,14z?hl=en","Maplink2")</f>
        <v>Maplink2</v>
      </c>
      <c r="AU1990" s="20" t="str">
        <f aca="false">HYPERLINK("http://www.bing.com/maps/?lvl=14&amp;sty=h&amp;cp=32.624~44.0486&amp;sp=point.32.624_44.0486","Maplink3")</f>
        <v>Maplink3</v>
      </c>
    </row>
    <row r="1991" customFormat="false" ht="15" hidden="false" customHeight="true" outlineLevel="0" collapsed="false">
      <c r="A1991" s="15" t="n">
        <v>25905</v>
      </c>
      <c r="B1991" s="16" t="s">
        <v>22</v>
      </c>
      <c r="C1991" s="16" t="s">
        <v>22</v>
      </c>
      <c r="D1991" s="16" t="s">
        <v>3920</v>
      </c>
      <c r="E1991" s="17" t="s">
        <v>3921</v>
      </c>
      <c r="F1991" s="16" t="n">
        <v>32.57319169</v>
      </c>
      <c r="G1991" s="16" t="n">
        <v>44.00841759</v>
      </c>
      <c r="H1991" s="18" t="n">
        <v>16</v>
      </c>
      <c r="I1991" s="18" t="n">
        <v>96</v>
      </c>
      <c r="J1991" s="19"/>
      <c r="K1991" s="19"/>
      <c r="L1991" s="19"/>
      <c r="M1991" s="19"/>
      <c r="N1991" s="19"/>
      <c r="O1991" s="19" t="n">
        <v>3</v>
      </c>
      <c r="P1991" s="19"/>
      <c r="Q1991" s="19"/>
      <c r="R1991" s="19" t="n">
        <v>2</v>
      </c>
      <c r="S1991" s="19"/>
      <c r="T1991" s="19"/>
      <c r="U1991" s="19"/>
      <c r="V1991" s="19" t="n">
        <v>11</v>
      </c>
      <c r="W1991" s="19"/>
      <c r="X1991" s="19"/>
      <c r="Y1991" s="19"/>
      <c r="Z1991" s="19"/>
      <c r="AA1991" s="19"/>
      <c r="AB1991" s="19"/>
      <c r="AC1991" s="19" t="n">
        <v>1</v>
      </c>
      <c r="AD1991" s="19"/>
      <c r="AE1991" s="19"/>
      <c r="AF1991" s="19"/>
      <c r="AG1991" s="19"/>
      <c r="AH1991" s="19" t="n">
        <v>15</v>
      </c>
      <c r="AI1991" s="19"/>
      <c r="AJ1991" s="19"/>
      <c r="AK1991" s="19"/>
      <c r="AL1991" s="19"/>
      <c r="AM1991" s="19" t="n">
        <v>16</v>
      </c>
      <c r="AN1991" s="19"/>
      <c r="AO1991" s="19"/>
      <c r="AP1991" s="19"/>
      <c r="AQ1991" s="19"/>
      <c r="AR1991" s="19"/>
      <c r="AS1991" s="20" t="str">
        <f aca="false">HYPERLINK("http://www.openstreetmap.org/?mlat=32.5732&amp;mlon=44.0084&amp;zoom=12#map=12/32.5732/44.0084","Maplink1")</f>
        <v>Maplink1</v>
      </c>
      <c r="AT1991" s="20" t="str">
        <f aca="false">HYPERLINK("https://www.google.iq/maps/search/+32.5732,44.0084/@32.5732,44.0084,14z?hl=en","Maplink2")</f>
        <v>Maplink2</v>
      </c>
      <c r="AU1991" s="20" t="str">
        <f aca="false">HYPERLINK("http://www.bing.com/maps/?lvl=14&amp;sty=h&amp;cp=32.5732~44.0084&amp;sp=point.32.5732_44.0084","Maplink3")</f>
        <v>Maplink3</v>
      </c>
    </row>
    <row r="1992" customFormat="false" ht="15" hidden="false" customHeight="true" outlineLevel="0" collapsed="false">
      <c r="A1992" s="15" t="n">
        <v>25273</v>
      </c>
      <c r="B1992" s="16" t="s">
        <v>22</v>
      </c>
      <c r="C1992" s="16" t="s">
        <v>22</v>
      </c>
      <c r="D1992" s="16" t="s">
        <v>3922</v>
      </c>
      <c r="E1992" s="17" t="s">
        <v>3923</v>
      </c>
      <c r="F1992" s="16" t="n">
        <v>32.64249788</v>
      </c>
      <c r="G1992" s="16" t="n">
        <v>43.98252044</v>
      </c>
      <c r="H1992" s="18" t="n">
        <v>35</v>
      </c>
      <c r="I1992" s="18" t="n">
        <v>210</v>
      </c>
      <c r="J1992" s="19" t="n">
        <v>2</v>
      </c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 t="n">
        <v>33</v>
      </c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 t="n">
        <v>35</v>
      </c>
      <c r="AI1992" s="19"/>
      <c r="AJ1992" s="19"/>
      <c r="AK1992" s="19"/>
      <c r="AL1992" s="19" t="n">
        <v>2</v>
      </c>
      <c r="AM1992" s="19" t="n">
        <v>33</v>
      </c>
      <c r="AN1992" s="19"/>
      <c r="AO1992" s="19"/>
      <c r="AP1992" s="19"/>
      <c r="AQ1992" s="19"/>
      <c r="AR1992" s="19"/>
      <c r="AS1992" s="20" t="str">
        <f aca="false">HYPERLINK("http://www.openstreetmap.org/?mlat=32.6425&amp;mlon=43.9825&amp;zoom=12#map=12/32.6425/43.9825","Maplink1")</f>
        <v>Maplink1</v>
      </c>
      <c r="AT1992" s="20" t="str">
        <f aca="false">HYPERLINK("https://www.google.iq/maps/search/+32.6425,43.9825/@32.6425,43.9825,14z?hl=en","Maplink2")</f>
        <v>Maplink2</v>
      </c>
      <c r="AU1992" s="20" t="str">
        <f aca="false">HYPERLINK("http://www.bing.com/maps/?lvl=14&amp;sty=h&amp;cp=32.6425~43.9825&amp;sp=point.32.6425_43.9825","Maplink3")</f>
        <v>Maplink3</v>
      </c>
    </row>
    <row r="1993" customFormat="false" ht="15" hidden="false" customHeight="true" outlineLevel="0" collapsed="false">
      <c r="A1993" s="15" t="n">
        <v>22532</v>
      </c>
      <c r="B1993" s="16" t="s">
        <v>22</v>
      </c>
      <c r="C1993" s="16" t="s">
        <v>22</v>
      </c>
      <c r="D1993" s="16" t="s">
        <v>3924</v>
      </c>
      <c r="E1993" s="17" t="s">
        <v>3925</v>
      </c>
      <c r="F1993" s="16" t="n">
        <v>32.63586289</v>
      </c>
      <c r="G1993" s="16" t="n">
        <v>43.97957252</v>
      </c>
      <c r="H1993" s="18" t="n">
        <v>16</v>
      </c>
      <c r="I1993" s="18" t="n">
        <v>96</v>
      </c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 t="n">
        <v>16</v>
      </c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 t="n">
        <v>16</v>
      </c>
      <c r="AI1993" s="19"/>
      <c r="AJ1993" s="19"/>
      <c r="AK1993" s="19"/>
      <c r="AL1993" s="19"/>
      <c r="AM1993" s="19" t="n">
        <v>16</v>
      </c>
      <c r="AN1993" s="19"/>
      <c r="AO1993" s="19"/>
      <c r="AP1993" s="19"/>
      <c r="AQ1993" s="19"/>
      <c r="AR1993" s="19"/>
      <c r="AS1993" s="20" t="str">
        <f aca="false">HYPERLINK("http://www.openstreetmap.org/?mlat=32.6359&amp;mlon=43.9796&amp;zoom=12#map=12/32.6359/43.9796","Maplink1")</f>
        <v>Maplink1</v>
      </c>
      <c r="AT1993" s="20" t="str">
        <f aca="false">HYPERLINK("https://www.google.iq/maps/search/+32.6359,43.9796/@32.6359,43.9796,14z?hl=en","Maplink2")</f>
        <v>Maplink2</v>
      </c>
      <c r="AU1993" s="20" t="str">
        <f aca="false">HYPERLINK("http://www.bing.com/maps/?lvl=14&amp;sty=h&amp;cp=32.6359~43.9796&amp;sp=point.32.6359_43.9796","Maplink3")</f>
        <v>Maplink3</v>
      </c>
    </row>
    <row r="1994" customFormat="false" ht="15" hidden="false" customHeight="true" outlineLevel="0" collapsed="false">
      <c r="A1994" s="15" t="n">
        <v>24681</v>
      </c>
      <c r="B1994" s="16" t="s">
        <v>22</v>
      </c>
      <c r="C1994" s="16" t="s">
        <v>22</v>
      </c>
      <c r="D1994" s="16" t="s">
        <v>3926</v>
      </c>
      <c r="E1994" s="17" t="s">
        <v>3927</v>
      </c>
      <c r="F1994" s="16" t="n">
        <v>32.61447449</v>
      </c>
      <c r="G1994" s="16" t="n">
        <v>44.02629627</v>
      </c>
      <c r="H1994" s="18" t="n">
        <v>25</v>
      </c>
      <c r="I1994" s="18" t="n">
        <v>150</v>
      </c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 t="n">
        <v>25</v>
      </c>
      <c r="W1994" s="19"/>
      <c r="X1994" s="19"/>
      <c r="Y1994" s="19"/>
      <c r="Z1994" s="19"/>
      <c r="AA1994" s="19"/>
      <c r="AB1994" s="19"/>
      <c r="AC1994" s="19" t="n">
        <v>1</v>
      </c>
      <c r="AD1994" s="19"/>
      <c r="AE1994" s="19"/>
      <c r="AF1994" s="19"/>
      <c r="AG1994" s="19"/>
      <c r="AH1994" s="19" t="n">
        <v>24</v>
      </c>
      <c r="AI1994" s="19"/>
      <c r="AJ1994" s="19"/>
      <c r="AK1994" s="19"/>
      <c r="AL1994" s="19"/>
      <c r="AM1994" s="19" t="n">
        <v>25</v>
      </c>
      <c r="AN1994" s="19"/>
      <c r="AO1994" s="19"/>
      <c r="AP1994" s="19"/>
      <c r="AQ1994" s="19"/>
      <c r="AR1994" s="19"/>
      <c r="AS1994" s="20" t="str">
        <f aca="false">HYPERLINK("http://www.openstreetmap.org/?mlat=32.6145&amp;mlon=44.0263&amp;zoom=12#map=12/32.6145/44.0263","Maplink1")</f>
        <v>Maplink1</v>
      </c>
      <c r="AT1994" s="20" t="str">
        <f aca="false">HYPERLINK("https://www.google.iq/maps/search/+32.6145,44.0263/@32.6145,44.0263,14z?hl=en","Maplink2")</f>
        <v>Maplink2</v>
      </c>
      <c r="AU1994" s="20" t="str">
        <f aca="false">HYPERLINK("http://www.bing.com/maps/?lvl=14&amp;sty=h&amp;cp=32.6145~44.0263&amp;sp=point.32.6145_44.0263","Maplink3")</f>
        <v>Maplink3</v>
      </c>
    </row>
    <row r="1995" customFormat="false" ht="15" hidden="false" customHeight="true" outlineLevel="0" collapsed="false">
      <c r="A1995" s="15" t="n">
        <v>22786</v>
      </c>
      <c r="B1995" s="16" t="s">
        <v>22</v>
      </c>
      <c r="C1995" s="16" t="s">
        <v>22</v>
      </c>
      <c r="D1995" s="16" t="s">
        <v>3928</v>
      </c>
      <c r="E1995" s="17" t="s">
        <v>3929</v>
      </c>
      <c r="F1995" s="16" t="n">
        <v>32.61698718</v>
      </c>
      <c r="G1995" s="16" t="n">
        <v>44.02229676</v>
      </c>
      <c r="H1995" s="18" t="n">
        <v>90</v>
      </c>
      <c r="I1995" s="18" t="n">
        <v>540</v>
      </c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 t="n">
        <v>90</v>
      </c>
      <c r="W1995" s="19"/>
      <c r="X1995" s="19"/>
      <c r="Y1995" s="19"/>
      <c r="Z1995" s="19"/>
      <c r="AA1995" s="19"/>
      <c r="AB1995" s="19"/>
      <c r="AC1995" s="19"/>
      <c r="AD1995" s="19"/>
      <c r="AE1995" s="19" t="n">
        <v>25</v>
      </c>
      <c r="AF1995" s="19"/>
      <c r="AG1995" s="19" t="n">
        <v>15</v>
      </c>
      <c r="AH1995" s="19" t="n">
        <v>50</v>
      </c>
      <c r="AI1995" s="19"/>
      <c r="AJ1995" s="19"/>
      <c r="AK1995" s="19"/>
      <c r="AL1995" s="19"/>
      <c r="AM1995" s="19" t="n">
        <v>90</v>
      </c>
      <c r="AN1995" s="19"/>
      <c r="AO1995" s="19"/>
      <c r="AP1995" s="19"/>
      <c r="AQ1995" s="19"/>
      <c r="AR1995" s="19"/>
      <c r="AS1995" s="20" t="str">
        <f aca="false">HYPERLINK("http://www.openstreetmap.org/?mlat=32.617&amp;mlon=44.0223&amp;zoom=12#map=12/32.617/44.0223","Maplink1")</f>
        <v>Maplink1</v>
      </c>
      <c r="AT1995" s="20" t="str">
        <f aca="false">HYPERLINK("https://www.google.iq/maps/search/+32.617,44.0223/@32.617,44.0223,14z?hl=en","Maplink2")</f>
        <v>Maplink2</v>
      </c>
      <c r="AU1995" s="20" t="str">
        <f aca="false">HYPERLINK("http://www.bing.com/maps/?lvl=14&amp;sty=h&amp;cp=32.617~44.0223&amp;sp=point.32.617_44.0223","Maplink3")</f>
        <v>Maplink3</v>
      </c>
    </row>
    <row r="1996" customFormat="false" ht="15" hidden="false" customHeight="true" outlineLevel="0" collapsed="false">
      <c r="A1996" s="15" t="n">
        <v>25848</v>
      </c>
      <c r="B1996" s="16" t="s">
        <v>22</v>
      </c>
      <c r="C1996" s="16" t="s">
        <v>22</v>
      </c>
      <c r="D1996" s="16" t="s">
        <v>3930</v>
      </c>
      <c r="E1996" s="17" t="s">
        <v>3931</v>
      </c>
      <c r="F1996" s="16" t="n">
        <v>32.56143188</v>
      </c>
      <c r="G1996" s="16" t="n">
        <v>44.06172079</v>
      </c>
      <c r="H1996" s="18" t="n">
        <v>95</v>
      </c>
      <c r="I1996" s="18" t="n">
        <v>570</v>
      </c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 t="n">
        <v>95</v>
      </c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 t="n">
        <v>80</v>
      </c>
      <c r="AH1996" s="19" t="n">
        <v>15</v>
      </c>
      <c r="AI1996" s="19"/>
      <c r="AJ1996" s="19"/>
      <c r="AK1996" s="19"/>
      <c r="AL1996" s="19"/>
      <c r="AM1996" s="19" t="n">
        <v>95</v>
      </c>
      <c r="AN1996" s="19"/>
      <c r="AO1996" s="19"/>
      <c r="AP1996" s="19"/>
      <c r="AQ1996" s="19"/>
      <c r="AR1996" s="19"/>
      <c r="AS1996" s="20" t="str">
        <f aca="false">HYPERLINK("http://www.openstreetmap.org/?mlat=32.5614&amp;mlon=44.0617&amp;zoom=12#map=12/32.5614/44.0617","Maplink1")</f>
        <v>Maplink1</v>
      </c>
      <c r="AT1996" s="20" t="str">
        <f aca="false">HYPERLINK("https://www.google.iq/maps/search/+32.5614,44.0617/@32.5614,44.0617,14z?hl=en","Maplink2")</f>
        <v>Maplink2</v>
      </c>
      <c r="AU1996" s="20" t="str">
        <f aca="false">HYPERLINK("http://www.bing.com/maps/?lvl=14&amp;sty=h&amp;cp=32.5614~44.0617&amp;sp=point.32.5614_44.0617","Maplink3")</f>
        <v>Maplink3</v>
      </c>
    </row>
    <row r="1997" customFormat="false" ht="15" hidden="false" customHeight="true" outlineLevel="0" collapsed="false">
      <c r="A1997" s="15" t="n">
        <v>25358</v>
      </c>
      <c r="B1997" s="16" t="s">
        <v>22</v>
      </c>
      <c r="C1997" s="16" t="s">
        <v>22</v>
      </c>
      <c r="D1997" s="16" t="s">
        <v>3932</v>
      </c>
      <c r="E1997" s="17" t="s">
        <v>3933</v>
      </c>
      <c r="F1997" s="16" t="n">
        <v>32.58596655</v>
      </c>
      <c r="G1997" s="16" t="n">
        <v>43.99654571</v>
      </c>
      <c r="H1997" s="18" t="n">
        <v>20</v>
      </c>
      <c r="I1997" s="18" t="n">
        <v>120</v>
      </c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 t="n">
        <v>20</v>
      </c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 t="n">
        <v>20</v>
      </c>
      <c r="AI1997" s="19"/>
      <c r="AJ1997" s="19"/>
      <c r="AK1997" s="19"/>
      <c r="AL1997" s="19"/>
      <c r="AM1997" s="19" t="n">
        <v>20</v>
      </c>
      <c r="AN1997" s="19"/>
      <c r="AO1997" s="19"/>
      <c r="AP1997" s="19"/>
      <c r="AQ1997" s="19"/>
      <c r="AR1997" s="19"/>
      <c r="AS1997" s="20" t="str">
        <f aca="false">HYPERLINK("http://www.openstreetmap.org/?mlat=32.586&amp;mlon=43.9965&amp;zoom=12#map=12/32.586/43.9965","Maplink1")</f>
        <v>Maplink1</v>
      </c>
      <c r="AT1997" s="20" t="str">
        <f aca="false">HYPERLINK("https://www.google.iq/maps/search/+32.586,43.9965/@32.586,43.9965,14z?hl=en","Maplink2")</f>
        <v>Maplink2</v>
      </c>
      <c r="AU1997" s="20" t="str">
        <f aca="false">HYPERLINK("http://www.bing.com/maps/?lvl=14&amp;sty=h&amp;cp=32.586~43.9965&amp;sp=point.32.586_43.9965","Maplink3")</f>
        <v>Maplink3</v>
      </c>
    </row>
    <row r="1998" customFormat="false" ht="15" hidden="false" customHeight="true" outlineLevel="0" collapsed="false">
      <c r="A1998" s="15" t="n">
        <v>25359</v>
      </c>
      <c r="B1998" s="16" t="s">
        <v>22</v>
      </c>
      <c r="C1998" s="16" t="s">
        <v>22</v>
      </c>
      <c r="D1998" s="16" t="s">
        <v>3934</v>
      </c>
      <c r="E1998" s="17" t="s">
        <v>3935</v>
      </c>
      <c r="F1998" s="16" t="n">
        <v>32.58383038</v>
      </c>
      <c r="G1998" s="16" t="n">
        <v>44.00037817</v>
      </c>
      <c r="H1998" s="18" t="n">
        <v>16</v>
      </c>
      <c r="I1998" s="18" t="n">
        <v>96</v>
      </c>
      <c r="J1998" s="19" t="n">
        <v>1</v>
      </c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 t="n">
        <v>13</v>
      </c>
      <c r="W1998" s="19"/>
      <c r="X1998" s="19" t="n">
        <v>2</v>
      </c>
      <c r="Y1998" s="19"/>
      <c r="Z1998" s="19"/>
      <c r="AA1998" s="19"/>
      <c r="AB1998" s="19"/>
      <c r="AC1998" s="19"/>
      <c r="AD1998" s="19"/>
      <c r="AE1998" s="19"/>
      <c r="AF1998" s="19"/>
      <c r="AG1998" s="19" t="n">
        <v>8</v>
      </c>
      <c r="AH1998" s="19" t="n">
        <v>8</v>
      </c>
      <c r="AI1998" s="19"/>
      <c r="AJ1998" s="19"/>
      <c r="AK1998" s="19"/>
      <c r="AL1998" s="19"/>
      <c r="AM1998" s="19" t="n">
        <v>16</v>
      </c>
      <c r="AN1998" s="19"/>
      <c r="AO1998" s="19"/>
      <c r="AP1998" s="19"/>
      <c r="AQ1998" s="19"/>
      <c r="AR1998" s="19"/>
      <c r="AS1998" s="20" t="str">
        <f aca="false">HYPERLINK("http://www.openstreetmap.org/?mlat=32.5838&amp;mlon=44.0004&amp;zoom=12#map=12/32.5838/44.0004","Maplink1")</f>
        <v>Maplink1</v>
      </c>
      <c r="AT1998" s="20" t="str">
        <f aca="false">HYPERLINK("https://www.google.iq/maps/search/+32.5838,44.0004/@32.5838,44.0004,14z?hl=en","Maplink2")</f>
        <v>Maplink2</v>
      </c>
      <c r="AU1998" s="20" t="str">
        <f aca="false">HYPERLINK("http://www.bing.com/maps/?lvl=14&amp;sty=h&amp;cp=32.5838~44.0004&amp;sp=point.32.5838_44.0004","Maplink3")</f>
        <v>Maplink3</v>
      </c>
    </row>
    <row r="1999" customFormat="false" ht="15" hidden="false" customHeight="true" outlineLevel="0" collapsed="false">
      <c r="A1999" s="15" t="n">
        <v>25065</v>
      </c>
      <c r="B1999" s="16" t="s">
        <v>22</v>
      </c>
      <c r="C1999" s="16" t="s">
        <v>22</v>
      </c>
      <c r="D1999" s="16" t="s">
        <v>3936</v>
      </c>
      <c r="E1999" s="17" t="s">
        <v>3937</v>
      </c>
      <c r="F1999" s="16" t="n">
        <v>32.66699625</v>
      </c>
      <c r="G1999" s="16" t="n">
        <v>44.16943654</v>
      </c>
      <c r="H1999" s="18" t="n">
        <v>13</v>
      </c>
      <c r="I1999" s="18" t="n">
        <v>78</v>
      </c>
      <c r="J1999" s="19" t="n">
        <v>1</v>
      </c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 t="n">
        <v>12</v>
      </c>
      <c r="W1999" s="19"/>
      <c r="X1999" s="19"/>
      <c r="Y1999" s="19"/>
      <c r="Z1999" s="19"/>
      <c r="AA1999" s="19"/>
      <c r="AB1999" s="19"/>
      <c r="AC1999" s="19" t="n">
        <v>5</v>
      </c>
      <c r="AD1999" s="19"/>
      <c r="AE1999" s="19"/>
      <c r="AF1999" s="19"/>
      <c r="AG1999" s="19" t="n">
        <v>7</v>
      </c>
      <c r="AH1999" s="19" t="n">
        <v>1</v>
      </c>
      <c r="AI1999" s="19"/>
      <c r="AJ1999" s="19"/>
      <c r="AK1999" s="19"/>
      <c r="AL1999" s="19" t="n">
        <v>1</v>
      </c>
      <c r="AM1999" s="19" t="n">
        <v>12</v>
      </c>
      <c r="AN1999" s="19"/>
      <c r="AO1999" s="19"/>
      <c r="AP1999" s="19"/>
      <c r="AQ1999" s="19"/>
      <c r="AR1999" s="19"/>
      <c r="AS1999" s="20" t="str">
        <f aca="false">HYPERLINK("http://www.openstreetmap.org/?mlat=32.667&amp;mlon=44.1694&amp;zoom=12#map=12/32.667/44.1694","Maplink1")</f>
        <v>Maplink1</v>
      </c>
      <c r="AT1999" s="20" t="str">
        <f aca="false">HYPERLINK("https://www.google.iq/maps/search/+32.667,44.1694/@32.667,44.1694,14z?hl=en","Maplink2")</f>
        <v>Maplink2</v>
      </c>
      <c r="AU1999" s="20" t="str">
        <f aca="false">HYPERLINK("http://www.bing.com/maps/?lvl=14&amp;sty=h&amp;cp=32.667~44.1694&amp;sp=point.32.667_44.1694","Maplink3")</f>
        <v>Maplink3</v>
      </c>
    </row>
    <row r="2000" customFormat="false" ht="15" hidden="false" customHeight="true" outlineLevel="0" collapsed="false">
      <c r="A2000" s="15" t="n">
        <v>25361</v>
      </c>
      <c r="B2000" s="16" t="s">
        <v>22</v>
      </c>
      <c r="C2000" s="16" t="s">
        <v>22</v>
      </c>
      <c r="D2000" s="16" t="s">
        <v>3938</v>
      </c>
      <c r="E2000" s="17" t="s">
        <v>3939</v>
      </c>
      <c r="F2000" s="16" t="n">
        <v>32.54895387</v>
      </c>
      <c r="G2000" s="16" t="n">
        <v>44.08366218</v>
      </c>
      <c r="H2000" s="18" t="n">
        <v>30</v>
      </c>
      <c r="I2000" s="18" t="n">
        <v>180</v>
      </c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 t="n">
        <v>30</v>
      </c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 t="n">
        <v>26</v>
      </c>
      <c r="AH2000" s="19" t="n">
        <v>4</v>
      </c>
      <c r="AI2000" s="19"/>
      <c r="AJ2000" s="19"/>
      <c r="AK2000" s="19"/>
      <c r="AL2000" s="19"/>
      <c r="AM2000" s="19" t="n">
        <v>30</v>
      </c>
      <c r="AN2000" s="19"/>
      <c r="AO2000" s="19"/>
      <c r="AP2000" s="19"/>
      <c r="AQ2000" s="19"/>
      <c r="AR2000" s="19"/>
      <c r="AS2000" s="20" t="str">
        <f aca="false">HYPERLINK("http://www.openstreetmap.org/?mlat=32.549&amp;mlon=44.0837&amp;zoom=12#map=12/32.549/44.0837","Maplink1")</f>
        <v>Maplink1</v>
      </c>
      <c r="AT2000" s="20" t="str">
        <f aca="false">HYPERLINK("https://www.google.iq/maps/search/+32.549,44.0837/@32.549,44.0837,14z?hl=en","Maplink2")</f>
        <v>Maplink2</v>
      </c>
      <c r="AU2000" s="20" t="str">
        <f aca="false">HYPERLINK("http://www.bing.com/maps/?lvl=14&amp;sty=h&amp;cp=32.549~44.0837&amp;sp=point.32.549_44.0837","Maplink3")</f>
        <v>Maplink3</v>
      </c>
    </row>
    <row r="2001" customFormat="false" ht="15" hidden="false" customHeight="true" outlineLevel="0" collapsed="false">
      <c r="A2001" s="15" t="n">
        <v>25551</v>
      </c>
      <c r="B2001" s="16" t="s">
        <v>22</v>
      </c>
      <c r="C2001" s="16" t="s">
        <v>22</v>
      </c>
      <c r="D2001" s="16" t="s">
        <v>3940</v>
      </c>
      <c r="E2001" s="17" t="s">
        <v>3941</v>
      </c>
      <c r="F2001" s="16" t="n">
        <v>32.58975882</v>
      </c>
      <c r="G2001" s="16" t="n">
        <v>44.00464791</v>
      </c>
      <c r="H2001" s="18" t="n">
        <v>9</v>
      </c>
      <c r="I2001" s="18" t="n">
        <v>54</v>
      </c>
      <c r="J2001" s="19" t="n">
        <v>2</v>
      </c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 t="n">
        <v>7</v>
      </c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 t="n">
        <v>9</v>
      </c>
      <c r="AI2001" s="19"/>
      <c r="AJ2001" s="19"/>
      <c r="AK2001" s="19"/>
      <c r="AL2001" s="19"/>
      <c r="AM2001" s="19" t="n">
        <v>7</v>
      </c>
      <c r="AN2001" s="19" t="n">
        <v>2</v>
      </c>
      <c r="AO2001" s="19"/>
      <c r="AP2001" s="19"/>
      <c r="AQ2001" s="19"/>
      <c r="AR2001" s="19"/>
      <c r="AS2001" s="20" t="str">
        <f aca="false">HYPERLINK("http://www.openstreetmap.org/?mlat=32.5898&amp;mlon=44.0046&amp;zoom=12#map=12/32.5898/44.0046","Maplink1")</f>
        <v>Maplink1</v>
      </c>
      <c r="AT2001" s="20" t="str">
        <f aca="false">HYPERLINK("https://www.google.iq/maps/search/+32.5898,44.0046/@32.5898,44.0046,14z?hl=en","Maplink2")</f>
        <v>Maplink2</v>
      </c>
      <c r="AU2001" s="20" t="str">
        <f aca="false">HYPERLINK("http://www.bing.com/maps/?lvl=14&amp;sty=h&amp;cp=32.5898~44.0046&amp;sp=point.32.5898_44.0046","Maplink3")</f>
        <v>Maplink3</v>
      </c>
    </row>
    <row r="2002" customFormat="false" ht="15" hidden="false" customHeight="true" outlineLevel="0" collapsed="false">
      <c r="A2002" s="15" t="n">
        <v>25782</v>
      </c>
      <c r="B2002" s="16" t="s">
        <v>22</v>
      </c>
      <c r="C2002" s="16" t="s">
        <v>22</v>
      </c>
      <c r="D2002" s="16" t="s">
        <v>3942</v>
      </c>
      <c r="E2002" s="17" t="s">
        <v>3943</v>
      </c>
      <c r="F2002" s="16" t="n">
        <v>32.63300608</v>
      </c>
      <c r="G2002" s="16" t="n">
        <v>43.98967976</v>
      </c>
      <c r="H2002" s="18" t="n">
        <v>18</v>
      </c>
      <c r="I2002" s="18" t="n">
        <v>108</v>
      </c>
      <c r="J2002" s="19" t="n">
        <v>6</v>
      </c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 t="n">
        <v>12</v>
      </c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 t="n">
        <v>18</v>
      </c>
      <c r="AI2002" s="19"/>
      <c r="AJ2002" s="19"/>
      <c r="AK2002" s="19"/>
      <c r="AL2002" s="19"/>
      <c r="AM2002" s="19" t="n">
        <v>12</v>
      </c>
      <c r="AN2002" s="19"/>
      <c r="AO2002" s="19"/>
      <c r="AP2002" s="19" t="n">
        <v>6</v>
      </c>
      <c r="AQ2002" s="19"/>
      <c r="AR2002" s="19"/>
      <c r="AS2002" s="20" t="str">
        <f aca="false">HYPERLINK("http://www.openstreetmap.org/?mlat=32.633&amp;mlon=43.9897&amp;zoom=12#map=12/32.633/43.9897","Maplink1")</f>
        <v>Maplink1</v>
      </c>
      <c r="AT2002" s="20" t="str">
        <f aca="false">HYPERLINK("https://www.google.iq/maps/search/+32.633,43.9897/@32.633,43.9897,14z?hl=en","Maplink2")</f>
        <v>Maplink2</v>
      </c>
      <c r="AU2002" s="20" t="str">
        <f aca="false">HYPERLINK("http://www.bing.com/maps/?lvl=14&amp;sty=h&amp;cp=32.633~43.9897&amp;sp=point.32.633_43.9897","Maplink3")</f>
        <v>Maplink3</v>
      </c>
    </row>
    <row r="2003" customFormat="false" ht="15" hidden="false" customHeight="true" outlineLevel="0" collapsed="false">
      <c r="A2003" s="15" t="n">
        <v>25781</v>
      </c>
      <c r="B2003" s="16" t="s">
        <v>22</v>
      </c>
      <c r="C2003" s="16" t="s">
        <v>22</v>
      </c>
      <c r="D2003" s="16" t="s">
        <v>3944</v>
      </c>
      <c r="E2003" s="17" t="s">
        <v>3945</v>
      </c>
      <c r="F2003" s="16" t="n">
        <v>32.63222606</v>
      </c>
      <c r="G2003" s="16" t="n">
        <v>43.99140199</v>
      </c>
      <c r="H2003" s="18" t="n">
        <v>6</v>
      </c>
      <c r="I2003" s="18" t="n">
        <v>36</v>
      </c>
      <c r="J2003" s="19" t="n">
        <v>6</v>
      </c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 t="n">
        <v>6</v>
      </c>
      <c r="AI2003" s="19"/>
      <c r="AJ2003" s="19"/>
      <c r="AK2003" s="19"/>
      <c r="AL2003" s="19"/>
      <c r="AM2003" s="19"/>
      <c r="AN2003" s="19"/>
      <c r="AO2003" s="19"/>
      <c r="AP2003" s="19" t="n">
        <v>6</v>
      </c>
      <c r="AQ2003" s="19"/>
      <c r="AR2003" s="19"/>
      <c r="AS2003" s="20" t="str">
        <f aca="false">HYPERLINK("http://www.openstreetmap.org/?mlat=32.6322&amp;mlon=43.9914&amp;zoom=12#map=12/32.6322/43.9914","Maplink1")</f>
        <v>Maplink1</v>
      </c>
      <c r="AT2003" s="20" t="str">
        <f aca="false">HYPERLINK("https://www.google.iq/maps/search/+32.6322,43.9914/@32.6322,43.9914,14z?hl=en","Maplink2")</f>
        <v>Maplink2</v>
      </c>
      <c r="AU2003" s="20" t="str">
        <f aca="false">HYPERLINK("http://www.bing.com/maps/?lvl=14&amp;sty=h&amp;cp=32.6322~43.9914&amp;sp=point.32.6322_43.9914","Maplink3")</f>
        <v>Maplink3</v>
      </c>
    </row>
    <row r="2004" customFormat="false" ht="15" hidden="false" customHeight="true" outlineLevel="0" collapsed="false">
      <c r="A2004" s="15" t="n">
        <v>25546</v>
      </c>
      <c r="B2004" s="16" t="s">
        <v>22</v>
      </c>
      <c r="C2004" s="16" t="s">
        <v>22</v>
      </c>
      <c r="D2004" s="16" t="s">
        <v>3946</v>
      </c>
      <c r="E2004" s="17" t="s">
        <v>3947</v>
      </c>
      <c r="F2004" s="16" t="n">
        <v>32.6127513</v>
      </c>
      <c r="G2004" s="16" t="n">
        <v>43.98150095</v>
      </c>
      <c r="H2004" s="18" t="n">
        <v>12</v>
      </c>
      <c r="I2004" s="18" t="n">
        <v>72</v>
      </c>
      <c r="J2004" s="19" t="n">
        <v>1</v>
      </c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 t="n">
        <v>11</v>
      </c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 t="n">
        <v>12</v>
      </c>
      <c r="AI2004" s="19"/>
      <c r="AJ2004" s="19"/>
      <c r="AK2004" s="19"/>
      <c r="AL2004" s="19"/>
      <c r="AM2004" s="19" t="n">
        <v>11</v>
      </c>
      <c r="AN2004" s="19"/>
      <c r="AO2004" s="19"/>
      <c r="AP2004" s="19" t="n">
        <v>1</v>
      </c>
      <c r="AQ2004" s="19"/>
      <c r="AR2004" s="19"/>
      <c r="AS2004" s="20" t="str">
        <f aca="false">HYPERLINK("http://www.openstreetmap.org/?mlat=32.6128&amp;mlon=43.9815&amp;zoom=12#map=12/32.6128/43.9815","Maplink1")</f>
        <v>Maplink1</v>
      </c>
      <c r="AT2004" s="20" t="str">
        <f aca="false">HYPERLINK("https://www.google.iq/maps/search/+32.6128,43.9815/@32.6128,43.9815,14z?hl=en","Maplink2")</f>
        <v>Maplink2</v>
      </c>
      <c r="AU2004" s="20" t="str">
        <f aca="false">HYPERLINK("http://www.bing.com/maps/?lvl=14&amp;sty=h&amp;cp=32.6128~43.9815&amp;sp=point.32.6128_43.9815","Maplink3")</f>
        <v>Maplink3</v>
      </c>
    </row>
    <row r="2005" customFormat="false" ht="15" hidden="false" customHeight="true" outlineLevel="0" collapsed="false">
      <c r="A2005" s="15" t="n">
        <v>25941</v>
      </c>
      <c r="B2005" s="16" t="s">
        <v>22</v>
      </c>
      <c r="C2005" s="16" t="s">
        <v>22</v>
      </c>
      <c r="D2005" s="16" t="s">
        <v>3948</v>
      </c>
      <c r="E2005" s="17" t="s">
        <v>3949</v>
      </c>
      <c r="F2005" s="16" t="n">
        <v>32.71834274</v>
      </c>
      <c r="G2005" s="16" t="n">
        <v>44.20907565</v>
      </c>
      <c r="H2005" s="18" t="n">
        <v>40</v>
      </c>
      <c r="I2005" s="18" t="n">
        <v>240</v>
      </c>
      <c r="J2005" s="19"/>
      <c r="K2005" s="19" t="n">
        <v>1</v>
      </c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 t="n">
        <v>39</v>
      </c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 t="n">
        <v>39</v>
      </c>
      <c r="AH2005" s="19" t="n">
        <v>1</v>
      </c>
      <c r="AI2005" s="19"/>
      <c r="AJ2005" s="19"/>
      <c r="AK2005" s="19"/>
      <c r="AL2005" s="19" t="n">
        <v>1</v>
      </c>
      <c r="AM2005" s="19" t="n">
        <v>39</v>
      </c>
      <c r="AN2005" s="19"/>
      <c r="AO2005" s="19"/>
      <c r="AP2005" s="19"/>
      <c r="AQ2005" s="19"/>
      <c r="AR2005" s="19"/>
      <c r="AS2005" s="20" t="str">
        <f aca="false">HYPERLINK("http://www.openstreetmap.org/?mlat=32.7183&amp;mlon=44.2091&amp;zoom=12#map=12/32.7183/44.2091","Maplink1")</f>
        <v>Maplink1</v>
      </c>
      <c r="AT2005" s="20" t="str">
        <f aca="false">HYPERLINK("https://www.google.iq/maps/search/+32.7183,44.2091/@32.7183,44.2091,14z?hl=en","Maplink2")</f>
        <v>Maplink2</v>
      </c>
      <c r="AU2005" s="20" t="str">
        <f aca="false">HYPERLINK("http://www.bing.com/maps/?lvl=14&amp;sty=h&amp;cp=32.7183~44.2091&amp;sp=point.32.7183_44.2091","Maplink3")</f>
        <v>Maplink3</v>
      </c>
    </row>
    <row r="2006" customFormat="false" ht="15" hidden="false" customHeight="true" outlineLevel="0" collapsed="false">
      <c r="A2006" s="15" t="n">
        <v>25942</v>
      </c>
      <c r="B2006" s="16" t="s">
        <v>22</v>
      </c>
      <c r="C2006" s="16" t="s">
        <v>22</v>
      </c>
      <c r="D2006" s="16" t="s">
        <v>3950</v>
      </c>
      <c r="E2006" s="17" t="s">
        <v>3951</v>
      </c>
      <c r="F2006" s="16" t="n">
        <v>32.71953247</v>
      </c>
      <c r="G2006" s="16" t="n">
        <v>44.21438903</v>
      </c>
      <c r="H2006" s="18" t="n">
        <v>11</v>
      </c>
      <c r="I2006" s="18" t="n">
        <v>66</v>
      </c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 t="n">
        <v>11</v>
      </c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 t="n">
        <v>11</v>
      </c>
      <c r="AH2006" s="19"/>
      <c r="AI2006" s="19"/>
      <c r="AJ2006" s="19"/>
      <c r="AK2006" s="19"/>
      <c r="AL2006" s="19"/>
      <c r="AM2006" s="19" t="n">
        <v>11</v>
      </c>
      <c r="AN2006" s="19"/>
      <c r="AO2006" s="19"/>
      <c r="AP2006" s="19"/>
      <c r="AQ2006" s="19"/>
      <c r="AR2006" s="19"/>
      <c r="AS2006" s="20" t="str">
        <f aca="false">HYPERLINK("http://www.openstreetmap.org/?mlat=32.7195&amp;mlon=44.2144&amp;zoom=12#map=12/32.7195/44.2144","Maplink1")</f>
        <v>Maplink1</v>
      </c>
      <c r="AT2006" s="20" t="str">
        <f aca="false">HYPERLINK("https://www.google.iq/maps/search/+32.7195,44.2144/@32.7195,44.2144,14z?hl=en","Maplink2")</f>
        <v>Maplink2</v>
      </c>
      <c r="AU2006" s="20" t="str">
        <f aca="false">HYPERLINK("http://www.bing.com/maps/?lvl=14&amp;sty=h&amp;cp=32.7195~44.2144&amp;sp=point.32.7195_44.2144","Maplink3")</f>
        <v>Maplink3</v>
      </c>
    </row>
    <row r="2007" customFormat="false" ht="15" hidden="false" customHeight="true" outlineLevel="0" collapsed="false">
      <c r="A2007" s="15" t="n">
        <v>25940</v>
      </c>
      <c r="B2007" s="16" t="s">
        <v>22</v>
      </c>
      <c r="C2007" s="16" t="s">
        <v>22</v>
      </c>
      <c r="D2007" s="16" t="s">
        <v>3952</v>
      </c>
      <c r="E2007" s="17" t="s">
        <v>3953</v>
      </c>
      <c r="F2007" s="16" t="n">
        <v>32.72209038</v>
      </c>
      <c r="G2007" s="16" t="n">
        <v>44.22222108</v>
      </c>
      <c r="H2007" s="18" t="n">
        <v>35</v>
      </c>
      <c r="I2007" s="18" t="n">
        <v>210</v>
      </c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 t="n">
        <v>35</v>
      </c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 t="n">
        <v>35</v>
      </c>
      <c r="AH2007" s="19"/>
      <c r="AI2007" s="19"/>
      <c r="AJ2007" s="19"/>
      <c r="AK2007" s="19"/>
      <c r="AL2007" s="19"/>
      <c r="AM2007" s="19" t="n">
        <v>35</v>
      </c>
      <c r="AN2007" s="19"/>
      <c r="AO2007" s="19"/>
      <c r="AP2007" s="19"/>
      <c r="AQ2007" s="19"/>
      <c r="AR2007" s="19"/>
      <c r="AS2007" s="20" t="str">
        <f aca="false">HYPERLINK("http://www.openstreetmap.org/?mlat=32.7221&amp;mlon=44.2222&amp;zoom=12#map=12/32.7221/44.2222","Maplink1")</f>
        <v>Maplink1</v>
      </c>
      <c r="AT2007" s="20" t="str">
        <f aca="false">HYPERLINK("https://www.google.iq/maps/search/+32.7221,44.2222/@32.7221,44.2222,14z?hl=en","Maplink2")</f>
        <v>Maplink2</v>
      </c>
      <c r="AU2007" s="20" t="str">
        <f aca="false">HYPERLINK("http://www.bing.com/maps/?lvl=14&amp;sty=h&amp;cp=32.7221~44.2222&amp;sp=point.32.7221_44.2222","Maplink3")</f>
        <v>Maplink3</v>
      </c>
    </row>
    <row r="2008" customFormat="false" ht="15" hidden="false" customHeight="true" outlineLevel="0" collapsed="false">
      <c r="A2008" s="15" t="n">
        <v>25938</v>
      </c>
      <c r="B2008" s="16" t="s">
        <v>22</v>
      </c>
      <c r="C2008" s="16" t="s">
        <v>22</v>
      </c>
      <c r="D2008" s="16" t="s">
        <v>3954</v>
      </c>
      <c r="E2008" s="17" t="s">
        <v>3955</v>
      </c>
      <c r="F2008" s="16" t="n">
        <v>32.71044816</v>
      </c>
      <c r="G2008" s="16" t="n">
        <v>44.18489881</v>
      </c>
      <c r="H2008" s="18" t="n">
        <v>27</v>
      </c>
      <c r="I2008" s="18" t="n">
        <v>162</v>
      </c>
      <c r="J2008" s="19"/>
      <c r="K2008" s="19" t="n">
        <v>4</v>
      </c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 t="n">
        <v>23</v>
      </c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 t="n">
        <v>27</v>
      </c>
      <c r="AH2008" s="19"/>
      <c r="AI2008" s="19"/>
      <c r="AJ2008" s="19"/>
      <c r="AK2008" s="19"/>
      <c r="AL2008" s="19"/>
      <c r="AM2008" s="19" t="n">
        <v>27</v>
      </c>
      <c r="AN2008" s="19"/>
      <c r="AO2008" s="19"/>
      <c r="AP2008" s="19"/>
      <c r="AQ2008" s="19"/>
      <c r="AR2008" s="19"/>
      <c r="AS2008" s="20" t="str">
        <f aca="false">HYPERLINK("http://www.openstreetmap.org/?mlat=32.7104&amp;mlon=44.1849&amp;zoom=12#map=12/32.7104/44.1849","Maplink1")</f>
        <v>Maplink1</v>
      </c>
      <c r="AT2008" s="20" t="str">
        <f aca="false">HYPERLINK("https://www.google.iq/maps/search/+32.7104,44.1849/@32.7104,44.1849,14z?hl=en","Maplink2")</f>
        <v>Maplink2</v>
      </c>
      <c r="AU2008" s="20" t="str">
        <f aca="false">HYPERLINK("http://www.bing.com/maps/?lvl=14&amp;sty=h&amp;cp=32.7104~44.1849&amp;sp=point.32.7104_44.1849","Maplink3")</f>
        <v>Maplink3</v>
      </c>
    </row>
    <row r="2009" customFormat="false" ht="15" hidden="false" customHeight="true" outlineLevel="0" collapsed="false">
      <c r="A2009" s="15" t="n">
        <v>25939</v>
      </c>
      <c r="B2009" s="16" t="s">
        <v>22</v>
      </c>
      <c r="C2009" s="16" t="s">
        <v>22</v>
      </c>
      <c r="D2009" s="16" t="s">
        <v>3956</v>
      </c>
      <c r="E2009" s="17" t="s">
        <v>3957</v>
      </c>
      <c r="F2009" s="16" t="n">
        <v>32.71405678</v>
      </c>
      <c r="G2009" s="16" t="n">
        <v>44.19485492</v>
      </c>
      <c r="H2009" s="18" t="n">
        <v>4</v>
      </c>
      <c r="I2009" s="18" t="n">
        <v>24</v>
      </c>
      <c r="J2009" s="19"/>
      <c r="K2009" s="19" t="n">
        <v>2</v>
      </c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 t="n">
        <v>2</v>
      </c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 t="n">
        <v>4</v>
      </c>
      <c r="AH2009" s="19"/>
      <c r="AI2009" s="19"/>
      <c r="AJ2009" s="19"/>
      <c r="AK2009" s="19"/>
      <c r="AL2009" s="19" t="n">
        <v>2</v>
      </c>
      <c r="AM2009" s="19" t="n">
        <v>2</v>
      </c>
      <c r="AN2009" s="19"/>
      <c r="AO2009" s="19"/>
      <c r="AP2009" s="19"/>
      <c r="AQ2009" s="19"/>
      <c r="AR2009" s="19"/>
      <c r="AS2009" s="20" t="str">
        <f aca="false">HYPERLINK("http://www.openstreetmap.org/?mlat=32.7141&amp;mlon=44.1949&amp;zoom=12#map=12/32.7141/44.1949","Maplink1")</f>
        <v>Maplink1</v>
      </c>
      <c r="AT2009" s="20" t="str">
        <f aca="false">HYPERLINK("https://www.google.iq/maps/search/+32.7141,44.1949/@32.7141,44.1949,14z?hl=en","Maplink2")</f>
        <v>Maplink2</v>
      </c>
      <c r="AU2009" s="20" t="str">
        <f aca="false">HYPERLINK("http://www.bing.com/maps/?lvl=14&amp;sty=h&amp;cp=32.7141~44.1949&amp;sp=point.32.7141_44.1949","Maplink3")</f>
        <v>Maplink3</v>
      </c>
    </row>
    <row r="2010" customFormat="false" ht="15" hidden="false" customHeight="true" outlineLevel="0" collapsed="false">
      <c r="A2010" s="15" t="n">
        <v>25362</v>
      </c>
      <c r="B2010" s="16" t="s">
        <v>22</v>
      </c>
      <c r="C2010" s="16" t="s">
        <v>22</v>
      </c>
      <c r="D2010" s="16" t="s">
        <v>3958</v>
      </c>
      <c r="E2010" s="17" t="s">
        <v>3959</v>
      </c>
      <c r="F2010" s="16" t="n">
        <v>32.62592426</v>
      </c>
      <c r="G2010" s="16" t="n">
        <v>43.98079678</v>
      </c>
      <c r="H2010" s="18" t="n">
        <v>11</v>
      </c>
      <c r="I2010" s="18" t="n">
        <v>66</v>
      </c>
      <c r="J2010" s="19" t="n">
        <v>2</v>
      </c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 t="n">
        <v>8</v>
      </c>
      <c r="W2010" s="19"/>
      <c r="X2010" s="19" t="n">
        <v>1</v>
      </c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 t="n">
        <v>11</v>
      </c>
      <c r="AI2010" s="19"/>
      <c r="AJ2010" s="19"/>
      <c r="AK2010" s="19"/>
      <c r="AL2010" s="19" t="n">
        <v>2</v>
      </c>
      <c r="AM2010" s="19" t="n">
        <v>8</v>
      </c>
      <c r="AN2010" s="19" t="n">
        <v>1</v>
      </c>
      <c r="AO2010" s="19"/>
      <c r="AP2010" s="19"/>
      <c r="AQ2010" s="19"/>
      <c r="AR2010" s="19"/>
      <c r="AS2010" s="20" t="str">
        <f aca="false">HYPERLINK("http://www.openstreetmap.org/?mlat=32.6259&amp;mlon=43.9808&amp;zoom=12#map=12/32.6259/43.9808","Maplink1")</f>
        <v>Maplink1</v>
      </c>
      <c r="AT2010" s="20" t="str">
        <f aca="false">HYPERLINK("https://www.google.iq/maps/search/+32.6259,43.9808/@32.6259,43.9808,14z?hl=en","Maplink2")</f>
        <v>Maplink2</v>
      </c>
      <c r="AU2010" s="20" t="str">
        <f aca="false">HYPERLINK("http://www.bing.com/maps/?lvl=14&amp;sty=h&amp;cp=32.6259~43.9808&amp;sp=point.32.6259_43.9808","Maplink3")</f>
        <v>Maplink3</v>
      </c>
    </row>
    <row r="2011" customFormat="false" ht="15" hidden="false" customHeight="true" outlineLevel="0" collapsed="false">
      <c r="A2011" s="15" t="n">
        <v>23707</v>
      </c>
      <c r="B2011" s="16" t="s">
        <v>22</v>
      </c>
      <c r="C2011" s="16" t="s">
        <v>22</v>
      </c>
      <c r="D2011" s="16" t="s">
        <v>3960</v>
      </c>
      <c r="E2011" s="17" t="s">
        <v>3961</v>
      </c>
      <c r="F2011" s="16" t="n">
        <v>32.67475295</v>
      </c>
      <c r="G2011" s="16" t="n">
        <v>44.07455374</v>
      </c>
      <c r="H2011" s="18" t="n">
        <v>78</v>
      </c>
      <c r="I2011" s="18" t="n">
        <v>468</v>
      </c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 t="n">
        <v>78</v>
      </c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 t="n">
        <v>78</v>
      </c>
      <c r="AH2011" s="19"/>
      <c r="AI2011" s="19"/>
      <c r="AJ2011" s="19"/>
      <c r="AK2011" s="19"/>
      <c r="AL2011" s="19"/>
      <c r="AM2011" s="19" t="n">
        <v>78</v>
      </c>
      <c r="AN2011" s="19"/>
      <c r="AO2011" s="19"/>
      <c r="AP2011" s="19"/>
      <c r="AQ2011" s="19"/>
      <c r="AR2011" s="19"/>
      <c r="AS2011" s="20" t="str">
        <f aca="false">HYPERLINK("http://www.openstreetmap.org/?mlat=32.6748&amp;mlon=44.0746&amp;zoom=12#map=12/32.6748/44.0746","Maplink1")</f>
        <v>Maplink1</v>
      </c>
      <c r="AT2011" s="20" t="str">
        <f aca="false">HYPERLINK("https://www.google.iq/maps/search/+32.6748,44.0746/@32.6748,44.0746,14z?hl=en","Maplink2")</f>
        <v>Maplink2</v>
      </c>
      <c r="AU2011" s="20" t="str">
        <f aca="false">HYPERLINK("http://www.bing.com/maps/?lvl=14&amp;sty=h&amp;cp=32.6748~44.0746&amp;sp=point.32.6748_44.0746","Maplink3")</f>
        <v>Maplink3</v>
      </c>
    </row>
    <row r="2012" customFormat="false" ht="15" hidden="false" customHeight="true" outlineLevel="0" collapsed="false">
      <c r="A2012" s="15" t="n">
        <v>25262</v>
      </c>
      <c r="B2012" s="16" t="s">
        <v>22</v>
      </c>
      <c r="C2012" s="16" t="s">
        <v>22</v>
      </c>
      <c r="D2012" s="16" t="s">
        <v>3962</v>
      </c>
      <c r="E2012" s="17" t="s">
        <v>3963</v>
      </c>
      <c r="F2012" s="16" t="n">
        <v>32.59325097</v>
      </c>
      <c r="G2012" s="16" t="n">
        <v>44.05294033</v>
      </c>
      <c r="H2012" s="18" t="n">
        <v>9</v>
      </c>
      <c r="I2012" s="18" t="n">
        <v>54</v>
      </c>
      <c r="J2012" s="19" t="n">
        <v>3</v>
      </c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 t="n">
        <v>6</v>
      </c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 t="n">
        <v>9</v>
      </c>
      <c r="AI2012" s="19"/>
      <c r="AJ2012" s="19"/>
      <c r="AK2012" s="19"/>
      <c r="AL2012" s="19" t="n">
        <v>1</v>
      </c>
      <c r="AM2012" s="19" t="n">
        <v>4</v>
      </c>
      <c r="AN2012" s="19"/>
      <c r="AO2012" s="19"/>
      <c r="AP2012" s="19" t="n">
        <v>4</v>
      </c>
      <c r="AQ2012" s="19"/>
      <c r="AR2012" s="19"/>
      <c r="AS2012" s="20" t="str">
        <f aca="false">HYPERLINK("http://www.openstreetmap.org/?mlat=32.5933&amp;mlon=44.0529&amp;zoom=12#map=12/32.5933/44.0529","Maplink1")</f>
        <v>Maplink1</v>
      </c>
      <c r="AT2012" s="20" t="str">
        <f aca="false">HYPERLINK("https://www.google.iq/maps/search/+32.5933,44.0529/@32.5933,44.0529,14z?hl=en","Maplink2")</f>
        <v>Maplink2</v>
      </c>
      <c r="AU2012" s="20" t="str">
        <f aca="false">HYPERLINK("http://www.bing.com/maps/?lvl=14&amp;sty=h&amp;cp=32.5933~44.0529&amp;sp=point.32.5933_44.0529","Maplink3")</f>
        <v>Maplink3</v>
      </c>
    </row>
    <row r="2013" customFormat="false" ht="15" hidden="false" customHeight="true" outlineLevel="0" collapsed="false">
      <c r="A2013" s="15" t="n">
        <v>14085</v>
      </c>
      <c r="B2013" s="16" t="s">
        <v>22</v>
      </c>
      <c r="C2013" s="16" t="s">
        <v>22</v>
      </c>
      <c r="D2013" s="16" t="s">
        <v>3964</v>
      </c>
      <c r="E2013" s="17" t="s">
        <v>3965</v>
      </c>
      <c r="F2013" s="16" t="n">
        <v>32.60863356</v>
      </c>
      <c r="G2013" s="16" t="n">
        <v>44.03303616</v>
      </c>
      <c r="H2013" s="18" t="n">
        <v>30</v>
      </c>
      <c r="I2013" s="18" t="n">
        <v>180</v>
      </c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 t="n">
        <v>30</v>
      </c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 t="n">
        <v>30</v>
      </c>
      <c r="AI2013" s="19"/>
      <c r="AJ2013" s="19"/>
      <c r="AK2013" s="19"/>
      <c r="AL2013" s="19"/>
      <c r="AM2013" s="19"/>
      <c r="AN2013" s="19" t="n">
        <v>30</v>
      </c>
      <c r="AO2013" s="19"/>
      <c r="AP2013" s="19"/>
      <c r="AQ2013" s="19"/>
      <c r="AR2013" s="19"/>
      <c r="AS2013" s="20" t="str">
        <f aca="false">HYPERLINK("http://www.openstreetmap.org/?mlat=32.6086&amp;mlon=44.033&amp;zoom=12#map=12/32.6086/44.033","Maplink1")</f>
        <v>Maplink1</v>
      </c>
      <c r="AT2013" s="20" t="str">
        <f aca="false">HYPERLINK("https://www.google.iq/maps/search/+32.6086,44.033/@32.6086,44.033,14z?hl=en","Maplink2")</f>
        <v>Maplink2</v>
      </c>
      <c r="AU2013" s="20" t="str">
        <f aca="false">HYPERLINK("http://www.bing.com/maps/?lvl=14&amp;sty=h&amp;cp=32.6086~44.033&amp;sp=point.32.6086_44.033","Maplink3")</f>
        <v>Maplink3</v>
      </c>
    </row>
    <row r="2014" customFormat="false" ht="15" hidden="false" customHeight="true" outlineLevel="0" collapsed="false">
      <c r="A2014" s="15" t="n">
        <v>14093</v>
      </c>
      <c r="B2014" s="16" t="s">
        <v>22</v>
      </c>
      <c r="C2014" s="16" t="s">
        <v>22</v>
      </c>
      <c r="D2014" s="16" t="s">
        <v>3966</v>
      </c>
      <c r="E2014" s="17" t="s">
        <v>3967</v>
      </c>
      <c r="F2014" s="16" t="n">
        <v>32.60779244</v>
      </c>
      <c r="G2014" s="16" t="n">
        <v>44.03727246</v>
      </c>
      <c r="H2014" s="18" t="n">
        <v>33</v>
      </c>
      <c r="I2014" s="18" t="n">
        <v>198</v>
      </c>
      <c r="J2014" s="19" t="n">
        <v>1</v>
      </c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 t="n">
        <v>30</v>
      </c>
      <c r="W2014" s="19"/>
      <c r="X2014" s="19" t="n">
        <v>2</v>
      </c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 t="n">
        <v>33</v>
      </c>
      <c r="AI2014" s="19"/>
      <c r="AJ2014" s="19"/>
      <c r="AK2014" s="19"/>
      <c r="AL2014" s="19" t="n">
        <v>1</v>
      </c>
      <c r="AM2014" s="19" t="n">
        <v>32</v>
      </c>
      <c r="AN2014" s="19"/>
      <c r="AO2014" s="19"/>
      <c r="AP2014" s="19"/>
      <c r="AQ2014" s="19"/>
      <c r="AR2014" s="19"/>
      <c r="AS2014" s="20" t="str">
        <f aca="false">HYPERLINK("http://www.openstreetmap.org/?mlat=32.6078&amp;mlon=44.0373&amp;zoom=12#map=12/32.6078/44.0373","Maplink1")</f>
        <v>Maplink1</v>
      </c>
      <c r="AT2014" s="20" t="str">
        <f aca="false">HYPERLINK("https://www.google.iq/maps/search/+32.6078,44.0373/@32.6078,44.0373,14z?hl=en","Maplink2")</f>
        <v>Maplink2</v>
      </c>
      <c r="AU2014" s="20" t="str">
        <f aca="false">HYPERLINK("http://www.bing.com/maps/?lvl=14&amp;sty=h&amp;cp=32.6078~44.0373&amp;sp=point.32.6078_44.0373","Maplink3")</f>
        <v>Maplink3</v>
      </c>
    </row>
    <row r="2015" customFormat="false" ht="15" hidden="false" customHeight="true" outlineLevel="0" collapsed="false">
      <c r="A2015" s="15" t="n">
        <v>14167</v>
      </c>
      <c r="B2015" s="16" t="s">
        <v>22</v>
      </c>
      <c r="C2015" s="16" t="s">
        <v>22</v>
      </c>
      <c r="D2015" s="16" t="s">
        <v>3968</v>
      </c>
      <c r="E2015" s="17" t="s">
        <v>662</v>
      </c>
      <c r="F2015" s="16" t="n">
        <v>32.66080718</v>
      </c>
      <c r="G2015" s="16" t="n">
        <v>44.13966704</v>
      </c>
      <c r="H2015" s="18" t="n">
        <v>4</v>
      </c>
      <c r="I2015" s="18" t="n">
        <v>24</v>
      </c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 t="n">
        <v>4</v>
      </c>
      <c r="W2015" s="19"/>
      <c r="X2015" s="19"/>
      <c r="Y2015" s="19"/>
      <c r="Z2015" s="19"/>
      <c r="AA2015" s="19"/>
      <c r="AB2015" s="19"/>
      <c r="AC2015" s="19" t="n">
        <v>4</v>
      </c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 t="n">
        <v>4</v>
      </c>
      <c r="AN2015" s="19"/>
      <c r="AO2015" s="19"/>
      <c r="AP2015" s="19"/>
      <c r="AQ2015" s="19"/>
      <c r="AR2015" s="19"/>
      <c r="AS2015" s="20" t="str">
        <f aca="false">HYPERLINK("http://www.openstreetmap.org/?mlat=32.6608&amp;mlon=44.1397&amp;zoom=12#map=12/32.6608/44.1397","Maplink1")</f>
        <v>Maplink1</v>
      </c>
      <c r="AT2015" s="20" t="str">
        <f aca="false">HYPERLINK("https://www.google.iq/maps/search/+32.6608,44.1397/@32.6608,44.1397,14z?hl=en","Maplink2")</f>
        <v>Maplink2</v>
      </c>
      <c r="AU2015" s="20" t="str">
        <f aca="false">HYPERLINK("http://www.bing.com/maps/?lvl=14&amp;sty=h&amp;cp=32.6608~44.1397&amp;sp=point.32.6608_44.1397","Maplink3")</f>
        <v>Maplink3</v>
      </c>
    </row>
    <row r="2016" customFormat="false" ht="15" hidden="false" customHeight="true" outlineLevel="0" collapsed="false">
      <c r="A2016" s="15" t="n">
        <v>14302</v>
      </c>
      <c r="B2016" s="16" t="s">
        <v>22</v>
      </c>
      <c r="C2016" s="16" t="s">
        <v>22</v>
      </c>
      <c r="D2016" s="16" t="s">
        <v>3969</v>
      </c>
      <c r="E2016" s="17" t="s">
        <v>3970</v>
      </c>
      <c r="F2016" s="16" t="n">
        <v>32.6224676</v>
      </c>
      <c r="G2016" s="16" t="n">
        <v>43.97323555</v>
      </c>
      <c r="H2016" s="18" t="n">
        <v>12</v>
      </c>
      <c r="I2016" s="18" t="n">
        <v>72</v>
      </c>
      <c r="J2016" s="19" t="n">
        <v>4</v>
      </c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 t="n">
        <v>6</v>
      </c>
      <c r="W2016" s="19"/>
      <c r="X2016" s="19" t="n">
        <v>2</v>
      </c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 t="n">
        <v>12</v>
      </c>
      <c r="AI2016" s="19"/>
      <c r="AJ2016" s="19"/>
      <c r="AK2016" s="19"/>
      <c r="AL2016" s="19"/>
      <c r="AM2016" s="19" t="n">
        <v>6</v>
      </c>
      <c r="AN2016" s="19" t="n">
        <v>2</v>
      </c>
      <c r="AO2016" s="19"/>
      <c r="AP2016" s="19" t="n">
        <v>4</v>
      </c>
      <c r="AQ2016" s="19"/>
      <c r="AR2016" s="19"/>
      <c r="AS2016" s="20" t="str">
        <f aca="false">HYPERLINK("http://www.openstreetmap.org/?mlat=32.6225&amp;mlon=43.9732&amp;zoom=12#map=12/32.6225/43.9732","Maplink1")</f>
        <v>Maplink1</v>
      </c>
      <c r="AT2016" s="20" t="str">
        <f aca="false">HYPERLINK("https://www.google.iq/maps/search/+32.6225,43.9732/@32.6225,43.9732,14z?hl=en","Maplink2")</f>
        <v>Maplink2</v>
      </c>
      <c r="AU2016" s="20" t="str">
        <f aca="false">HYPERLINK("http://www.bing.com/maps/?lvl=14&amp;sty=h&amp;cp=32.6225~43.9732&amp;sp=point.32.6225_43.9732","Maplink3")</f>
        <v>Maplink3</v>
      </c>
    </row>
    <row r="2017" customFormat="false" ht="15" hidden="false" customHeight="true" outlineLevel="0" collapsed="false">
      <c r="A2017" s="15" t="n">
        <v>14282</v>
      </c>
      <c r="B2017" s="16" t="s">
        <v>22</v>
      </c>
      <c r="C2017" s="16" t="s">
        <v>22</v>
      </c>
      <c r="D2017" s="16" t="s">
        <v>3971</v>
      </c>
      <c r="E2017" s="17" t="s">
        <v>3972</v>
      </c>
      <c r="F2017" s="16" t="n">
        <v>32.6321189</v>
      </c>
      <c r="G2017" s="16" t="n">
        <v>43.96555765</v>
      </c>
      <c r="H2017" s="18" t="n">
        <v>13</v>
      </c>
      <c r="I2017" s="18" t="n">
        <v>78</v>
      </c>
      <c r="J2017" s="19" t="n">
        <v>2</v>
      </c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 t="n">
        <v>11</v>
      </c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 t="n">
        <v>13</v>
      </c>
      <c r="AI2017" s="19"/>
      <c r="AJ2017" s="19"/>
      <c r="AK2017" s="19"/>
      <c r="AL2017" s="19"/>
      <c r="AM2017" s="19" t="n">
        <v>11</v>
      </c>
      <c r="AN2017" s="19"/>
      <c r="AO2017" s="19"/>
      <c r="AP2017" s="19" t="n">
        <v>2</v>
      </c>
      <c r="AQ2017" s="19"/>
      <c r="AR2017" s="19"/>
      <c r="AS2017" s="20" t="str">
        <f aca="false">HYPERLINK("http://www.openstreetmap.org/?mlat=32.6321&amp;mlon=43.9656&amp;zoom=12#map=12/32.6321/43.9656","Maplink1")</f>
        <v>Maplink1</v>
      </c>
      <c r="AT2017" s="20" t="str">
        <f aca="false">HYPERLINK("https://www.google.iq/maps/search/+32.6321,43.9656/@32.6321,43.9656,14z?hl=en","Maplink2")</f>
        <v>Maplink2</v>
      </c>
      <c r="AU2017" s="20" t="str">
        <f aca="false">HYPERLINK("http://www.bing.com/maps/?lvl=14&amp;sty=h&amp;cp=32.6321~43.9656&amp;sp=point.32.6321_43.9656","Maplink3")</f>
        <v>Maplink3</v>
      </c>
    </row>
    <row r="2018" customFormat="false" ht="15" hidden="false" customHeight="true" outlineLevel="0" collapsed="false">
      <c r="A2018" s="15" t="n">
        <v>14287</v>
      </c>
      <c r="B2018" s="16" t="s">
        <v>22</v>
      </c>
      <c r="C2018" s="16" t="s">
        <v>22</v>
      </c>
      <c r="D2018" s="16" t="s">
        <v>3973</v>
      </c>
      <c r="E2018" s="17" t="s">
        <v>3974</v>
      </c>
      <c r="F2018" s="16" t="n">
        <v>32.63206153</v>
      </c>
      <c r="G2018" s="16" t="n">
        <v>44.02076463</v>
      </c>
      <c r="H2018" s="18" t="n">
        <v>150</v>
      </c>
      <c r="I2018" s="18" t="n">
        <v>900</v>
      </c>
      <c r="J2018" s="19" t="n">
        <v>6</v>
      </c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 t="n">
        <v>144</v>
      </c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 t="n">
        <v>128</v>
      </c>
      <c r="AH2018" s="19" t="n">
        <v>22</v>
      </c>
      <c r="AI2018" s="19"/>
      <c r="AJ2018" s="19"/>
      <c r="AK2018" s="19"/>
      <c r="AL2018" s="19" t="n">
        <v>6</v>
      </c>
      <c r="AM2018" s="19" t="n">
        <v>16</v>
      </c>
      <c r="AN2018" s="19" t="n">
        <v>128</v>
      </c>
      <c r="AO2018" s="19"/>
      <c r="AP2018" s="19"/>
      <c r="AQ2018" s="19"/>
      <c r="AR2018" s="19"/>
      <c r="AS2018" s="20" t="str">
        <f aca="false">HYPERLINK("http://www.openstreetmap.org/?mlat=32.6321&amp;mlon=44.0208&amp;zoom=12#map=12/32.6321/44.0208","Maplink1")</f>
        <v>Maplink1</v>
      </c>
      <c r="AT2018" s="20" t="str">
        <f aca="false">HYPERLINK("https://www.google.iq/maps/search/+32.6321,44.0208/@32.6321,44.0208,14z?hl=en","Maplink2")</f>
        <v>Maplink2</v>
      </c>
      <c r="AU2018" s="20" t="str">
        <f aca="false">HYPERLINK("http://www.bing.com/maps/?lvl=14&amp;sty=h&amp;cp=32.6321~44.0208&amp;sp=point.32.6321_44.0208","Maplink3")</f>
        <v>Maplink3</v>
      </c>
    </row>
    <row r="2019" customFormat="false" ht="15" hidden="false" customHeight="true" outlineLevel="0" collapsed="false">
      <c r="A2019" s="15" t="n">
        <v>13781</v>
      </c>
      <c r="B2019" s="16" t="s">
        <v>22</v>
      </c>
      <c r="C2019" s="16" t="s">
        <v>22</v>
      </c>
      <c r="D2019" s="16" t="s">
        <v>3975</v>
      </c>
      <c r="E2019" s="17" t="s">
        <v>3976</v>
      </c>
      <c r="F2019" s="16" t="n">
        <v>32.55912594</v>
      </c>
      <c r="G2019" s="16" t="n">
        <v>44.02787232</v>
      </c>
      <c r="H2019" s="18" t="n">
        <v>6</v>
      </c>
      <c r="I2019" s="18" t="n">
        <v>36</v>
      </c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 t="n">
        <v>6</v>
      </c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 t="n">
        <v>6</v>
      </c>
      <c r="AI2019" s="19"/>
      <c r="AJ2019" s="19"/>
      <c r="AK2019" s="19"/>
      <c r="AL2019" s="19"/>
      <c r="AM2019" s="19" t="n">
        <v>6</v>
      </c>
      <c r="AN2019" s="19"/>
      <c r="AO2019" s="19"/>
      <c r="AP2019" s="19"/>
      <c r="AQ2019" s="19"/>
      <c r="AR2019" s="19"/>
      <c r="AS2019" s="20" t="str">
        <f aca="false">HYPERLINK("http://www.openstreetmap.org/?mlat=32.5591&amp;mlon=44.0279&amp;zoom=12#map=12/32.5591/44.0279","Maplink1")</f>
        <v>Maplink1</v>
      </c>
      <c r="AT2019" s="20" t="str">
        <f aca="false">HYPERLINK("https://www.google.iq/maps/search/+32.5591,44.0279/@32.5591,44.0279,14z?hl=en","Maplink2")</f>
        <v>Maplink2</v>
      </c>
      <c r="AU2019" s="20" t="str">
        <f aca="false">HYPERLINK("http://www.bing.com/maps/?lvl=14&amp;sty=h&amp;cp=32.5591~44.0279&amp;sp=point.32.5591_44.0279","Maplink3")</f>
        <v>Maplink3</v>
      </c>
    </row>
    <row r="2020" customFormat="false" ht="15" hidden="false" customHeight="true" outlineLevel="0" collapsed="false">
      <c r="A2020" s="15" t="n">
        <v>25735</v>
      </c>
      <c r="B2020" s="16" t="s">
        <v>22</v>
      </c>
      <c r="C2020" s="16" t="s">
        <v>22</v>
      </c>
      <c r="D2020" s="16" t="s">
        <v>3977</v>
      </c>
      <c r="E2020" s="17" t="s">
        <v>3978</v>
      </c>
      <c r="F2020" s="16" t="n">
        <v>32.5922303</v>
      </c>
      <c r="G2020" s="16" t="n">
        <v>44.04996576</v>
      </c>
      <c r="H2020" s="18" t="n">
        <v>63</v>
      </c>
      <c r="I2020" s="18" t="n">
        <v>378</v>
      </c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 t="n">
        <v>61</v>
      </c>
      <c r="W2020" s="19"/>
      <c r="X2020" s="19" t="n">
        <v>2</v>
      </c>
      <c r="Y2020" s="19"/>
      <c r="Z2020" s="19"/>
      <c r="AA2020" s="19"/>
      <c r="AB2020" s="19"/>
      <c r="AC2020" s="19"/>
      <c r="AD2020" s="19"/>
      <c r="AE2020" s="19"/>
      <c r="AF2020" s="19"/>
      <c r="AG2020" s="19" t="n">
        <v>17</v>
      </c>
      <c r="AH2020" s="19" t="n">
        <v>46</v>
      </c>
      <c r="AI2020" s="19"/>
      <c r="AJ2020" s="19"/>
      <c r="AK2020" s="19"/>
      <c r="AL2020" s="19"/>
      <c r="AM2020" s="19" t="n">
        <v>61</v>
      </c>
      <c r="AN2020" s="19" t="n">
        <v>2</v>
      </c>
      <c r="AO2020" s="19"/>
      <c r="AP2020" s="19"/>
      <c r="AQ2020" s="19"/>
      <c r="AR2020" s="19"/>
      <c r="AS2020" s="20" t="str">
        <f aca="false">HYPERLINK("http://www.openstreetmap.org/?mlat=32.5922&amp;mlon=44.05&amp;zoom=12#map=12/32.5922/44.05","Maplink1")</f>
        <v>Maplink1</v>
      </c>
      <c r="AT2020" s="20" t="str">
        <f aca="false">HYPERLINK("https://www.google.iq/maps/search/+32.5922,44.05/@32.5922,44.05,14z?hl=en","Maplink2")</f>
        <v>Maplink2</v>
      </c>
      <c r="AU2020" s="20" t="str">
        <f aca="false">HYPERLINK("http://www.bing.com/maps/?lvl=14&amp;sty=h&amp;cp=32.5922~44.05&amp;sp=point.32.5922_44.05","Maplink3")</f>
        <v>Maplink3</v>
      </c>
    </row>
    <row r="2021" customFormat="false" ht="15" hidden="false" customHeight="true" outlineLevel="0" collapsed="false">
      <c r="A2021" s="15" t="n">
        <v>25060</v>
      </c>
      <c r="B2021" s="16" t="s">
        <v>22</v>
      </c>
      <c r="C2021" s="16" t="s">
        <v>22</v>
      </c>
      <c r="D2021" s="16" t="s">
        <v>3979</v>
      </c>
      <c r="E2021" s="17" t="s">
        <v>3980</v>
      </c>
      <c r="F2021" s="16" t="n">
        <v>32.64341121</v>
      </c>
      <c r="G2021" s="16" t="n">
        <v>43.99403893</v>
      </c>
      <c r="H2021" s="18" t="n">
        <v>16</v>
      </c>
      <c r="I2021" s="18" t="n">
        <v>96</v>
      </c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 t="n">
        <v>16</v>
      </c>
      <c r="W2021" s="19"/>
      <c r="X2021" s="19"/>
      <c r="Y2021" s="19"/>
      <c r="Z2021" s="19"/>
      <c r="AA2021" s="19"/>
      <c r="AB2021" s="19"/>
      <c r="AC2021" s="19"/>
      <c r="AD2021" s="19"/>
      <c r="AE2021" s="19"/>
      <c r="AF2021" s="19"/>
      <c r="AG2021" s="19" t="n">
        <v>3</v>
      </c>
      <c r="AH2021" s="19" t="n">
        <v>13</v>
      </c>
      <c r="AI2021" s="19"/>
      <c r="AJ2021" s="19"/>
      <c r="AK2021" s="19"/>
      <c r="AL2021" s="19"/>
      <c r="AM2021" s="19" t="n">
        <v>16</v>
      </c>
      <c r="AN2021" s="19"/>
      <c r="AO2021" s="19"/>
      <c r="AP2021" s="19"/>
      <c r="AQ2021" s="19"/>
      <c r="AR2021" s="19"/>
      <c r="AS2021" s="20" t="str">
        <f aca="false">HYPERLINK("http://www.openstreetmap.org/?mlat=32.6434&amp;mlon=43.994&amp;zoom=12#map=12/32.6434/43.994","Maplink1")</f>
        <v>Maplink1</v>
      </c>
      <c r="AT2021" s="20" t="str">
        <f aca="false">HYPERLINK("https://www.google.iq/maps/search/+32.6434,43.994/@32.6434,43.994,14z?hl=en","Maplink2")</f>
        <v>Maplink2</v>
      </c>
      <c r="AU2021" s="20" t="str">
        <f aca="false">HYPERLINK("http://www.bing.com/maps/?lvl=14&amp;sty=h&amp;cp=32.6434~43.994&amp;sp=point.32.6434_43.994","Maplink3")</f>
        <v>Maplink3</v>
      </c>
    </row>
    <row r="2022" customFormat="false" ht="15" hidden="false" customHeight="true" outlineLevel="0" collapsed="false">
      <c r="A2022" s="15" t="n">
        <v>21587</v>
      </c>
      <c r="B2022" s="16" t="s">
        <v>22</v>
      </c>
      <c r="C2022" s="16" t="s">
        <v>22</v>
      </c>
      <c r="D2022" s="16" t="s">
        <v>3981</v>
      </c>
      <c r="E2022" s="17" t="s">
        <v>3982</v>
      </c>
      <c r="F2022" s="16" t="n">
        <v>32.68086285</v>
      </c>
      <c r="G2022" s="16" t="n">
        <v>44.16155764</v>
      </c>
      <c r="H2022" s="18" t="n">
        <v>93</v>
      </c>
      <c r="I2022" s="18" t="n">
        <v>558</v>
      </c>
      <c r="J2022" s="19" t="n">
        <v>8</v>
      </c>
      <c r="K2022" s="19" t="n">
        <v>55</v>
      </c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 t="n">
        <v>30</v>
      </c>
      <c r="W2022" s="19"/>
      <c r="X2022" s="19"/>
      <c r="Y2022" s="19"/>
      <c r="Z2022" s="19"/>
      <c r="AA2022" s="19"/>
      <c r="AB2022" s="19"/>
      <c r="AC2022" s="19"/>
      <c r="AD2022" s="19"/>
      <c r="AE2022" s="19"/>
      <c r="AF2022" s="19"/>
      <c r="AG2022" s="19"/>
      <c r="AH2022" s="19" t="n">
        <v>93</v>
      </c>
      <c r="AI2022" s="19"/>
      <c r="AJ2022" s="19"/>
      <c r="AK2022" s="19"/>
      <c r="AL2022" s="19"/>
      <c r="AM2022" s="19" t="n">
        <v>93</v>
      </c>
      <c r="AN2022" s="19"/>
      <c r="AO2022" s="19"/>
      <c r="AP2022" s="19"/>
      <c r="AQ2022" s="19"/>
      <c r="AR2022" s="19"/>
      <c r="AS2022" s="20" t="str">
        <f aca="false">HYPERLINK("http://www.openstreetmap.org/?mlat=32.6809&amp;mlon=44.1616&amp;zoom=12#map=12/32.6809/44.1616","Maplink1")</f>
        <v>Maplink1</v>
      </c>
      <c r="AT2022" s="20" t="str">
        <f aca="false">HYPERLINK("https://www.google.iq/maps/search/+32.6809,44.1616/@32.6809,44.1616,14z?hl=en","Maplink2")</f>
        <v>Maplink2</v>
      </c>
      <c r="AU2022" s="20" t="str">
        <f aca="false">HYPERLINK("http://www.bing.com/maps/?lvl=14&amp;sty=h&amp;cp=32.6809~44.1616&amp;sp=point.32.6809_44.1616","Maplink3")</f>
        <v>Maplink3</v>
      </c>
    </row>
    <row r="2023" customFormat="false" ht="15" hidden="false" customHeight="true" outlineLevel="0" collapsed="false">
      <c r="A2023" s="15" t="n">
        <v>21682</v>
      </c>
      <c r="B2023" s="16" t="s">
        <v>22</v>
      </c>
      <c r="C2023" s="16" t="s">
        <v>22</v>
      </c>
      <c r="D2023" s="16" t="s">
        <v>3983</v>
      </c>
      <c r="E2023" s="17" t="s">
        <v>3984</v>
      </c>
      <c r="F2023" s="16" t="n">
        <v>32.68711839</v>
      </c>
      <c r="G2023" s="16" t="n">
        <v>44.16590407</v>
      </c>
      <c r="H2023" s="18" t="n">
        <v>69</v>
      </c>
      <c r="I2023" s="18" t="n">
        <v>414</v>
      </c>
      <c r="J2023" s="19" t="n">
        <v>3</v>
      </c>
      <c r="K2023" s="19" t="n">
        <v>55</v>
      </c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 t="n">
        <v>11</v>
      </c>
      <c r="W2023" s="19"/>
      <c r="X2023" s="19"/>
      <c r="Y2023" s="19"/>
      <c r="Z2023" s="19"/>
      <c r="AA2023" s="19"/>
      <c r="AB2023" s="19"/>
      <c r="AC2023" s="19"/>
      <c r="AD2023" s="19"/>
      <c r="AE2023" s="19"/>
      <c r="AF2023" s="19"/>
      <c r="AG2023" s="19"/>
      <c r="AH2023" s="19" t="n">
        <v>69</v>
      </c>
      <c r="AI2023" s="19"/>
      <c r="AJ2023" s="19"/>
      <c r="AK2023" s="19"/>
      <c r="AL2023" s="19" t="n">
        <v>53</v>
      </c>
      <c r="AM2023" s="19" t="n">
        <v>11</v>
      </c>
      <c r="AN2023" s="19"/>
      <c r="AO2023" s="19"/>
      <c r="AP2023" s="19" t="n">
        <v>5</v>
      </c>
      <c r="AQ2023" s="19"/>
      <c r="AR2023" s="19"/>
      <c r="AS2023" s="20" t="str">
        <f aca="false">HYPERLINK("http://www.openstreetmap.org/?mlat=32.6871&amp;mlon=44.1659&amp;zoom=12#map=12/32.6871/44.1659","Maplink1")</f>
        <v>Maplink1</v>
      </c>
      <c r="AT2023" s="20" t="str">
        <f aca="false">HYPERLINK("https://www.google.iq/maps/search/+32.6871,44.1659/@32.6871,44.1659,14z?hl=en","Maplink2")</f>
        <v>Maplink2</v>
      </c>
      <c r="AU2023" s="20" t="str">
        <f aca="false">HYPERLINK("http://www.bing.com/maps/?lvl=14&amp;sty=h&amp;cp=32.6871~44.1659&amp;sp=point.32.6871_44.1659","Maplink3")</f>
        <v>Maplink3</v>
      </c>
    </row>
    <row r="2024" customFormat="false" ht="15" hidden="false" customHeight="true" outlineLevel="0" collapsed="false">
      <c r="A2024" s="15" t="n">
        <v>24140</v>
      </c>
      <c r="B2024" s="16" t="s">
        <v>22</v>
      </c>
      <c r="C2024" s="16" t="s">
        <v>22</v>
      </c>
      <c r="D2024" s="16" t="s">
        <v>3985</v>
      </c>
      <c r="E2024" s="17" t="s">
        <v>3986</v>
      </c>
      <c r="F2024" s="16" t="n">
        <v>32.68370641</v>
      </c>
      <c r="G2024" s="16" t="n">
        <v>44.17136924</v>
      </c>
      <c r="H2024" s="18" t="n">
        <v>35</v>
      </c>
      <c r="I2024" s="18" t="n">
        <v>210</v>
      </c>
      <c r="J2024" s="19" t="n">
        <v>5</v>
      </c>
      <c r="K2024" s="19" t="n">
        <v>17</v>
      </c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 t="n">
        <v>11</v>
      </c>
      <c r="W2024" s="19"/>
      <c r="X2024" s="19" t="n">
        <v>2</v>
      </c>
      <c r="Y2024" s="19"/>
      <c r="Z2024" s="19"/>
      <c r="AA2024" s="19"/>
      <c r="AB2024" s="19"/>
      <c r="AC2024" s="19"/>
      <c r="AD2024" s="19"/>
      <c r="AE2024" s="19"/>
      <c r="AF2024" s="19"/>
      <c r="AG2024" s="19"/>
      <c r="AH2024" s="19" t="n">
        <v>35</v>
      </c>
      <c r="AI2024" s="19"/>
      <c r="AJ2024" s="19"/>
      <c r="AK2024" s="19"/>
      <c r="AL2024" s="19" t="n">
        <v>14</v>
      </c>
      <c r="AM2024" s="19" t="n">
        <v>11</v>
      </c>
      <c r="AN2024" s="19" t="n">
        <v>2</v>
      </c>
      <c r="AO2024" s="19" t="n">
        <v>8</v>
      </c>
      <c r="AP2024" s="19"/>
      <c r="AQ2024" s="19"/>
      <c r="AR2024" s="19"/>
      <c r="AS2024" s="20" t="str">
        <f aca="false">HYPERLINK("http://www.openstreetmap.org/?mlat=32.6837&amp;mlon=44.1714&amp;zoom=12#map=12/32.6837/44.1714","Maplink1")</f>
        <v>Maplink1</v>
      </c>
      <c r="AT2024" s="20" t="str">
        <f aca="false">HYPERLINK("https://www.google.iq/maps/search/+32.6837,44.1714/@32.6837,44.1714,14z?hl=en","Maplink2")</f>
        <v>Maplink2</v>
      </c>
      <c r="AU2024" s="20" t="str">
        <f aca="false">HYPERLINK("http://www.bing.com/maps/?lvl=14&amp;sty=h&amp;cp=32.6837~44.1714&amp;sp=point.32.6837_44.1714","Maplink3")</f>
        <v>Maplink3</v>
      </c>
    </row>
    <row r="2025" customFormat="false" ht="15" hidden="false" customHeight="true" outlineLevel="0" collapsed="false">
      <c r="A2025" s="15" t="n">
        <v>14120</v>
      </c>
      <c r="B2025" s="16" t="s">
        <v>22</v>
      </c>
      <c r="C2025" s="16" t="s">
        <v>22</v>
      </c>
      <c r="D2025" s="16" t="s">
        <v>3987</v>
      </c>
      <c r="E2025" s="17" t="s">
        <v>3988</v>
      </c>
      <c r="F2025" s="16" t="n">
        <v>32.68199718</v>
      </c>
      <c r="G2025" s="16" t="n">
        <v>44.16929103</v>
      </c>
      <c r="H2025" s="18" t="n">
        <v>16</v>
      </c>
      <c r="I2025" s="18" t="n">
        <v>96</v>
      </c>
      <c r="J2025" s="19" t="n">
        <v>1</v>
      </c>
      <c r="K2025" s="19" t="n">
        <v>11</v>
      </c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 t="n">
        <v>4</v>
      </c>
      <c r="W2025" s="19"/>
      <c r="X2025" s="19"/>
      <c r="Y2025" s="19"/>
      <c r="Z2025" s="19"/>
      <c r="AA2025" s="19"/>
      <c r="AB2025" s="19"/>
      <c r="AC2025" s="19"/>
      <c r="AD2025" s="19"/>
      <c r="AE2025" s="19"/>
      <c r="AF2025" s="19"/>
      <c r="AG2025" s="19"/>
      <c r="AH2025" s="19" t="n">
        <v>16</v>
      </c>
      <c r="AI2025" s="19"/>
      <c r="AJ2025" s="19"/>
      <c r="AK2025" s="19"/>
      <c r="AL2025" s="19" t="n">
        <v>10</v>
      </c>
      <c r="AM2025" s="19" t="n">
        <v>4</v>
      </c>
      <c r="AN2025" s="19"/>
      <c r="AO2025" s="19" t="n">
        <v>2</v>
      </c>
      <c r="AP2025" s="19"/>
      <c r="AQ2025" s="19"/>
      <c r="AR2025" s="19"/>
      <c r="AS2025" s="20" t="str">
        <f aca="false">HYPERLINK("http://www.openstreetmap.org/?mlat=32.682&amp;mlon=44.1693&amp;zoom=12#map=12/32.682/44.1693","Maplink1")</f>
        <v>Maplink1</v>
      </c>
      <c r="AT2025" s="20" t="str">
        <f aca="false">HYPERLINK("https://www.google.iq/maps/search/+32.682,44.1693/@32.682,44.1693,14z?hl=en","Maplink2")</f>
        <v>Maplink2</v>
      </c>
      <c r="AU2025" s="20" t="str">
        <f aca="false">HYPERLINK("http://www.bing.com/maps/?lvl=14&amp;sty=h&amp;cp=32.682~44.1693&amp;sp=point.32.682_44.1693","Maplink3")</f>
        <v>Maplink3</v>
      </c>
    </row>
    <row r="2026" customFormat="false" ht="15" hidden="false" customHeight="true" outlineLevel="0" collapsed="false">
      <c r="A2026" s="15" t="n">
        <v>25479</v>
      </c>
      <c r="B2026" s="16" t="s">
        <v>22</v>
      </c>
      <c r="C2026" s="16" t="s">
        <v>22</v>
      </c>
      <c r="D2026" s="16" t="s">
        <v>3989</v>
      </c>
      <c r="E2026" s="17" t="s">
        <v>3990</v>
      </c>
      <c r="F2026" s="16" t="n">
        <v>32.67008733</v>
      </c>
      <c r="G2026" s="16" t="n">
        <v>44.13680605</v>
      </c>
      <c r="H2026" s="18" t="n">
        <v>12</v>
      </c>
      <c r="I2026" s="18" t="n">
        <v>72</v>
      </c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 t="n">
        <v>12</v>
      </c>
      <c r="W2026" s="19"/>
      <c r="X2026" s="19"/>
      <c r="Y2026" s="19"/>
      <c r="Z2026" s="19"/>
      <c r="AA2026" s="19"/>
      <c r="AB2026" s="19"/>
      <c r="AC2026" s="19" t="n">
        <v>5</v>
      </c>
      <c r="AD2026" s="19"/>
      <c r="AE2026" s="19"/>
      <c r="AF2026" s="19"/>
      <c r="AG2026" s="19"/>
      <c r="AH2026" s="19" t="n">
        <v>7</v>
      </c>
      <c r="AI2026" s="19"/>
      <c r="AJ2026" s="19"/>
      <c r="AK2026" s="19"/>
      <c r="AL2026" s="19"/>
      <c r="AM2026" s="19" t="n">
        <v>12</v>
      </c>
      <c r="AN2026" s="19"/>
      <c r="AO2026" s="19"/>
      <c r="AP2026" s="19"/>
      <c r="AQ2026" s="19"/>
      <c r="AR2026" s="19"/>
      <c r="AS2026" s="20" t="str">
        <f aca="false">HYPERLINK("http://www.openstreetmap.org/?mlat=32.6701&amp;mlon=44.1368&amp;zoom=12#map=12/32.6701/44.1368","Maplink1")</f>
        <v>Maplink1</v>
      </c>
      <c r="AT2026" s="20" t="str">
        <f aca="false">HYPERLINK("https://www.google.iq/maps/search/+32.6701,44.1368/@32.6701,44.1368,14z?hl=en","Maplink2")</f>
        <v>Maplink2</v>
      </c>
      <c r="AU2026" s="20" t="str">
        <f aca="false">HYPERLINK("http://www.bing.com/maps/?lvl=14&amp;sty=h&amp;cp=32.6701~44.1368&amp;sp=point.32.6701_44.1368","Maplink3")</f>
        <v>Maplink3</v>
      </c>
    </row>
    <row r="2027" customFormat="false" ht="15" hidden="false" customHeight="true" outlineLevel="0" collapsed="false">
      <c r="A2027" s="15" t="n">
        <v>14191</v>
      </c>
      <c r="B2027" s="16" t="s">
        <v>22</v>
      </c>
      <c r="C2027" s="16" t="s">
        <v>22</v>
      </c>
      <c r="D2027" s="16" t="s">
        <v>3991</v>
      </c>
      <c r="E2027" s="17" t="s">
        <v>3992</v>
      </c>
      <c r="F2027" s="16" t="n">
        <v>32.69650131</v>
      </c>
      <c r="G2027" s="16" t="n">
        <v>44.14002964</v>
      </c>
      <c r="H2027" s="18" t="n">
        <v>152</v>
      </c>
      <c r="I2027" s="18" t="n">
        <v>912</v>
      </c>
      <c r="J2027" s="19"/>
      <c r="K2027" s="19" t="n">
        <v>11</v>
      </c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 t="n">
        <v>141</v>
      </c>
      <c r="W2027" s="19"/>
      <c r="X2027" s="19"/>
      <c r="Y2027" s="19"/>
      <c r="Z2027" s="19"/>
      <c r="AA2027" s="19"/>
      <c r="AB2027" s="19"/>
      <c r="AC2027" s="19" t="n">
        <v>11</v>
      </c>
      <c r="AD2027" s="19"/>
      <c r="AE2027" s="19"/>
      <c r="AF2027" s="19"/>
      <c r="AG2027" s="19" t="n">
        <v>130</v>
      </c>
      <c r="AH2027" s="19" t="n">
        <v>11</v>
      </c>
      <c r="AI2027" s="19"/>
      <c r="AJ2027" s="19"/>
      <c r="AK2027" s="19"/>
      <c r="AL2027" s="19" t="n">
        <v>11</v>
      </c>
      <c r="AM2027" s="19" t="n">
        <v>141</v>
      </c>
      <c r="AN2027" s="19"/>
      <c r="AO2027" s="19"/>
      <c r="AP2027" s="19"/>
      <c r="AQ2027" s="19"/>
      <c r="AR2027" s="19"/>
      <c r="AS2027" s="20" t="str">
        <f aca="false">HYPERLINK("http://www.openstreetmap.org/?mlat=32.6965&amp;mlon=44.14&amp;zoom=12#map=12/32.6965/44.14","Maplink1")</f>
        <v>Maplink1</v>
      </c>
      <c r="AT2027" s="20" t="str">
        <f aca="false">HYPERLINK("https://www.google.iq/maps/search/+32.6965,44.14/@32.6965,44.14,14z?hl=en","Maplink2")</f>
        <v>Maplink2</v>
      </c>
      <c r="AU2027" s="20" t="str">
        <f aca="false">HYPERLINK("http://www.bing.com/maps/?lvl=14&amp;sty=h&amp;cp=32.6965~44.14&amp;sp=point.32.6965_44.14","Maplink3")</f>
        <v>Maplink3</v>
      </c>
    </row>
    <row r="2028" customFormat="false" ht="15" hidden="false" customHeight="true" outlineLevel="0" collapsed="false">
      <c r="A2028" s="15" t="n">
        <v>14050</v>
      </c>
      <c r="B2028" s="16" t="s">
        <v>22</v>
      </c>
      <c r="C2028" s="16" t="s">
        <v>22</v>
      </c>
      <c r="D2028" s="16" t="s">
        <v>3993</v>
      </c>
      <c r="E2028" s="17" t="s">
        <v>3994</v>
      </c>
      <c r="F2028" s="16" t="n">
        <v>32.57540606</v>
      </c>
      <c r="G2028" s="16" t="n">
        <v>44.02167206</v>
      </c>
      <c r="H2028" s="18" t="n">
        <v>7</v>
      </c>
      <c r="I2028" s="18" t="n">
        <v>42</v>
      </c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 t="n">
        <v>6</v>
      </c>
      <c r="W2028" s="19"/>
      <c r="X2028" s="19" t="n">
        <v>1</v>
      </c>
      <c r="Y2028" s="19"/>
      <c r="Z2028" s="19"/>
      <c r="AA2028" s="19"/>
      <c r="AB2028" s="19"/>
      <c r="AC2028" s="19"/>
      <c r="AD2028" s="19"/>
      <c r="AE2028" s="19"/>
      <c r="AF2028" s="19"/>
      <c r="AG2028" s="19"/>
      <c r="AH2028" s="19" t="n">
        <v>7</v>
      </c>
      <c r="AI2028" s="19"/>
      <c r="AJ2028" s="19"/>
      <c r="AK2028" s="19"/>
      <c r="AL2028" s="19"/>
      <c r="AM2028" s="19" t="n">
        <v>7</v>
      </c>
      <c r="AN2028" s="19"/>
      <c r="AO2028" s="19"/>
      <c r="AP2028" s="19"/>
      <c r="AQ2028" s="19"/>
      <c r="AR2028" s="19"/>
      <c r="AS2028" s="20" t="str">
        <f aca="false">HYPERLINK("http://www.openstreetmap.org/?mlat=32.5754&amp;mlon=44.0217&amp;zoom=12#map=12/32.5754/44.0217","Maplink1")</f>
        <v>Maplink1</v>
      </c>
      <c r="AT2028" s="20" t="str">
        <f aca="false">HYPERLINK("https://www.google.iq/maps/search/+32.5754,44.0217/@32.5754,44.0217,14z?hl=en","Maplink2")</f>
        <v>Maplink2</v>
      </c>
      <c r="AU2028" s="20" t="str">
        <f aca="false">HYPERLINK("http://www.bing.com/maps/?lvl=14&amp;sty=h&amp;cp=32.5754~44.0217&amp;sp=point.32.5754_44.0217","Maplink3")</f>
        <v>Maplink3</v>
      </c>
    </row>
    <row r="2029" customFormat="false" ht="15" hidden="false" customHeight="true" outlineLevel="0" collapsed="false">
      <c r="A2029" s="15" t="n">
        <v>14319</v>
      </c>
      <c r="B2029" s="16" t="s">
        <v>22</v>
      </c>
      <c r="C2029" s="16" t="s">
        <v>22</v>
      </c>
      <c r="D2029" s="16" t="s">
        <v>3995</v>
      </c>
      <c r="E2029" s="17" t="s">
        <v>828</v>
      </c>
      <c r="F2029" s="16" t="n">
        <v>32.58561673</v>
      </c>
      <c r="G2029" s="16" t="n">
        <v>44.03475621</v>
      </c>
      <c r="H2029" s="18" t="n">
        <v>5</v>
      </c>
      <c r="I2029" s="18" t="n">
        <v>30</v>
      </c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 t="n">
        <v>5</v>
      </c>
      <c r="W2029" s="19"/>
      <c r="X2029" s="19"/>
      <c r="Y2029" s="19"/>
      <c r="Z2029" s="19"/>
      <c r="AA2029" s="19"/>
      <c r="AB2029" s="19"/>
      <c r="AC2029" s="19"/>
      <c r="AD2029" s="19"/>
      <c r="AE2029" s="19"/>
      <c r="AF2029" s="19"/>
      <c r="AG2029" s="19"/>
      <c r="AH2029" s="19" t="n">
        <v>5</v>
      </c>
      <c r="AI2029" s="19"/>
      <c r="AJ2029" s="19"/>
      <c r="AK2029" s="19"/>
      <c r="AL2029" s="19"/>
      <c r="AM2029" s="19" t="n">
        <v>5</v>
      </c>
      <c r="AN2029" s="19"/>
      <c r="AO2029" s="19"/>
      <c r="AP2029" s="19"/>
      <c r="AQ2029" s="19"/>
      <c r="AR2029" s="19"/>
      <c r="AS2029" s="20" t="str">
        <f aca="false">HYPERLINK("http://www.openstreetmap.org/?mlat=32.5856&amp;mlon=44.0348&amp;zoom=12#map=12/32.5856/44.0348","Maplink1")</f>
        <v>Maplink1</v>
      </c>
      <c r="AT2029" s="20" t="str">
        <f aca="false">HYPERLINK("https://www.google.iq/maps/search/+32.5856,44.0348/@32.5856,44.0348,14z?hl=en","Maplink2")</f>
        <v>Maplink2</v>
      </c>
      <c r="AU2029" s="20" t="str">
        <f aca="false">HYPERLINK("http://www.bing.com/maps/?lvl=14&amp;sty=h&amp;cp=32.5856~44.0348&amp;sp=point.32.5856_44.0348","Maplink3")</f>
        <v>Maplink3</v>
      </c>
    </row>
    <row r="2030" customFormat="false" ht="15" hidden="false" customHeight="true" outlineLevel="0" collapsed="false">
      <c r="A2030" s="15" t="n">
        <v>14286</v>
      </c>
      <c r="B2030" s="16" t="s">
        <v>22</v>
      </c>
      <c r="C2030" s="16" t="s">
        <v>22</v>
      </c>
      <c r="D2030" s="16" t="s">
        <v>3996</v>
      </c>
      <c r="E2030" s="17" t="s">
        <v>3997</v>
      </c>
      <c r="F2030" s="16" t="n">
        <v>32.61184333</v>
      </c>
      <c r="G2030" s="16" t="n">
        <v>43.97654154</v>
      </c>
      <c r="H2030" s="18" t="n">
        <v>17</v>
      </c>
      <c r="I2030" s="18" t="n">
        <v>102</v>
      </c>
      <c r="J2030" s="19"/>
      <c r="K2030" s="19"/>
      <c r="L2030" s="19"/>
      <c r="M2030" s="19"/>
      <c r="N2030" s="19"/>
      <c r="O2030" s="19" t="n">
        <v>2</v>
      </c>
      <c r="P2030" s="19"/>
      <c r="Q2030" s="19"/>
      <c r="R2030" s="19"/>
      <c r="S2030" s="19"/>
      <c r="T2030" s="19"/>
      <c r="U2030" s="19"/>
      <c r="V2030" s="19" t="n">
        <v>15</v>
      </c>
      <c r="W2030" s="19"/>
      <c r="X2030" s="19"/>
      <c r="Y2030" s="19"/>
      <c r="Z2030" s="19"/>
      <c r="AA2030" s="19"/>
      <c r="AB2030" s="19"/>
      <c r="AC2030" s="19"/>
      <c r="AD2030" s="19"/>
      <c r="AE2030" s="19"/>
      <c r="AF2030" s="19"/>
      <c r="AG2030" s="19"/>
      <c r="AH2030" s="19" t="n">
        <v>17</v>
      </c>
      <c r="AI2030" s="19"/>
      <c r="AJ2030" s="19"/>
      <c r="AK2030" s="19"/>
      <c r="AL2030" s="19"/>
      <c r="AM2030" s="19" t="n">
        <v>17</v>
      </c>
      <c r="AN2030" s="19"/>
      <c r="AO2030" s="19"/>
      <c r="AP2030" s="19"/>
      <c r="AQ2030" s="19"/>
      <c r="AR2030" s="19"/>
      <c r="AS2030" s="20" t="str">
        <f aca="false">HYPERLINK("http://www.openstreetmap.org/?mlat=32.6118&amp;mlon=43.9765&amp;zoom=12#map=12/32.6118/43.9765","Maplink1")</f>
        <v>Maplink1</v>
      </c>
      <c r="AT2030" s="20" t="str">
        <f aca="false">HYPERLINK("https://www.google.iq/maps/search/+32.6118,43.9765/@32.6118,43.9765,14z?hl=en","Maplink2")</f>
        <v>Maplink2</v>
      </c>
      <c r="AU2030" s="20" t="str">
        <f aca="false">HYPERLINK("http://www.bing.com/maps/?lvl=14&amp;sty=h&amp;cp=32.6118~43.9765&amp;sp=point.32.6118_43.9765","Maplink3")</f>
        <v>Maplink3</v>
      </c>
    </row>
    <row r="2031" customFormat="false" ht="15" hidden="false" customHeight="true" outlineLevel="0" collapsed="false">
      <c r="A2031" s="15" t="n">
        <v>24285</v>
      </c>
      <c r="B2031" s="16" t="s">
        <v>22</v>
      </c>
      <c r="C2031" s="16" t="s">
        <v>22</v>
      </c>
      <c r="D2031" s="16" t="s">
        <v>3998</v>
      </c>
      <c r="E2031" s="17" t="s">
        <v>3999</v>
      </c>
      <c r="F2031" s="16" t="n">
        <v>32.65637869</v>
      </c>
      <c r="G2031" s="16" t="n">
        <v>44.04085203</v>
      </c>
      <c r="H2031" s="18" t="n">
        <v>500</v>
      </c>
      <c r="I2031" s="18" t="n">
        <v>3000</v>
      </c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 t="n">
        <v>500</v>
      </c>
      <c r="W2031" s="19"/>
      <c r="X2031" s="19"/>
      <c r="Y2031" s="19"/>
      <c r="Z2031" s="19"/>
      <c r="AA2031" s="19"/>
      <c r="AB2031" s="19"/>
      <c r="AC2031" s="19"/>
      <c r="AD2031" s="19"/>
      <c r="AE2031" s="19"/>
      <c r="AF2031" s="19"/>
      <c r="AG2031" s="19"/>
      <c r="AH2031" s="19" t="n">
        <v>500</v>
      </c>
      <c r="AI2031" s="19"/>
      <c r="AJ2031" s="19"/>
      <c r="AK2031" s="19"/>
      <c r="AL2031" s="19"/>
      <c r="AM2031" s="19" t="n">
        <v>500</v>
      </c>
      <c r="AN2031" s="19"/>
      <c r="AO2031" s="19"/>
      <c r="AP2031" s="19"/>
      <c r="AQ2031" s="19"/>
      <c r="AR2031" s="19"/>
      <c r="AS2031" s="20" t="str">
        <f aca="false">HYPERLINK("http://www.openstreetmap.org/?mlat=32.6564&amp;mlon=44.0409&amp;zoom=12#map=12/32.6564/44.0409","Maplink1")</f>
        <v>Maplink1</v>
      </c>
      <c r="AT2031" s="20" t="str">
        <f aca="false">HYPERLINK("https://www.google.iq/maps/search/+32.6564,44.0409/@32.6564,44.0409,14z?hl=en","Maplink2")</f>
        <v>Maplink2</v>
      </c>
      <c r="AU2031" s="20" t="str">
        <f aca="false">HYPERLINK("http://www.bing.com/maps/?lvl=14&amp;sty=h&amp;cp=32.6564~44.0409&amp;sp=point.32.6564_44.0409","Maplink3")</f>
        <v>Maplink3</v>
      </c>
    </row>
    <row r="2032" customFormat="false" ht="15" hidden="false" customHeight="true" outlineLevel="0" collapsed="false">
      <c r="A2032" s="15" t="n">
        <v>14072</v>
      </c>
      <c r="B2032" s="16" t="s">
        <v>22</v>
      </c>
      <c r="C2032" s="16" t="s">
        <v>22</v>
      </c>
      <c r="D2032" s="16" t="s">
        <v>4000</v>
      </c>
      <c r="E2032" s="17" t="s">
        <v>4001</v>
      </c>
      <c r="F2032" s="16" t="n">
        <v>32.58839122</v>
      </c>
      <c r="G2032" s="16" t="n">
        <v>44.06302661</v>
      </c>
      <c r="H2032" s="18" t="n">
        <v>6</v>
      </c>
      <c r="I2032" s="18" t="n">
        <v>36</v>
      </c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 t="n">
        <v>6</v>
      </c>
      <c r="W2032" s="19"/>
      <c r="X2032" s="19"/>
      <c r="Y2032" s="19"/>
      <c r="Z2032" s="19"/>
      <c r="AA2032" s="19"/>
      <c r="AB2032" s="19"/>
      <c r="AC2032" s="19"/>
      <c r="AD2032" s="19"/>
      <c r="AE2032" s="19"/>
      <c r="AF2032" s="19"/>
      <c r="AG2032" s="19"/>
      <c r="AH2032" s="19" t="n">
        <v>6</v>
      </c>
      <c r="AI2032" s="19"/>
      <c r="AJ2032" s="19"/>
      <c r="AK2032" s="19"/>
      <c r="AL2032" s="19"/>
      <c r="AM2032" s="19" t="n">
        <v>6</v>
      </c>
      <c r="AN2032" s="19"/>
      <c r="AO2032" s="19"/>
      <c r="AP2032" s="19"/>
      <c r="AQ2032" s="19"/>
      <c r="AR2032" s="19"/>
      <c r="AS2032" s="20" t="str">
        <f aca="false">HYPERLINK("http://www.openstreetmap.org/?mlat=32.5884&amp;mlon=44.063&amp;zoom=12#map=12/32.5884/44.063","Maplink1")</f>
        <v>Maplink1</v>
      </c>
      <c r="AT2032" s="20" t="str">
        <f aca="false">HYPERLINK("https://www.google.iq/maps/search/+32.5884,44.063/@32.5884,44.063,14z?hl=en","Maplink2")</f>
        <v>Maplink2</v>
      </c>
      <c r="AU2032" s="20" t="str">
        <f aca="false">HYPERLINK("http://www.bing.com/maps/?lvl=14&amp;sty=h&amp;cp=32.5884~44.063&amp;sp=point.32.5884_44.063","Maplink3")</f>
        <v>Maplink3</v>
      </c>
    </row>
    <row r="2033" customFormat="false" ht="15" hidden="false" customHeight="true" outlineLevel="0" collapsed="false">
      <c r="A2033" s="15" t="n">
        <v>21683</v>
      </c>
      <c r="B2033" s="16" t="s">
        <v>22</v>
      </c>
      <c r="C2033" s="16" t="s">
        <v>22</v>
      </c>
      <c r="D2033" s="16" t="s">
        <v>4002</v>
      </c>
      <c r="E2033" s="17" t="s">
        <v>4003</v>
      </c>
      <c r="F2033" s="16" t="n">
        <v>32.59065857</v>
      </c>
      <c r="G2033" s="16" t="n">
        <v>44.07241937</v>
      </c>
      <c r="H2033" s="18" t="n">
        <v>11</v>
      </c>
      <c r="I2033" s="18" t="n">
        <v>66</v>
      </c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 t="n">
        <v>11</v>
      </c>
      <c r="W2033" s="19"/>
      <c r="X2033" s="19"/>
      <c r="Y2033" s="19"/>
      <c r="Z2033" s="19"/>
      <c r="AA2033" s="19"/>
      <c r="AB2033" s="19"/>
      <c r="AC2033" s="19"/>
      <c r="AD2033" s="19"/>
      <c r="AE2033" s="19"/>
      <c r="AF2033" s="19"/>
      <c r="AG2033" s="19" t="n">
        <v>1</v>
      </c>
      <c r="AH2033" s="19" t="n">
        <v>10</v>
      </c>
      <c r="AI2033" s="19"/>
      <c r="AJ2033" s="19"/>
      <c r="AK2033" s="19"/>
      <c r="AL2033" s="19"/>
      <c r="AM2033" s="19" t="n">
        <v>11</v>
      </c>
      <c r="AN2033" s="19"/>
      <c r="AO2033" s="19"/>
      <c r="AP2033" s="19"/>
      <c r="AQ2033" s="19"/>
      <c r="AR2033" s="19"/>
      <c r="AS2033" s="20" t="str">
        <f aca="false">HYPERLINK("http://www.openstreetmap.org/?mlat=32.5907&amp;mlon=44.0724&amp;zoom=12#map=12/32.5907/44.0724","Maplink1")</f>
        <v>Maplink1</v>
      </c>
      <c r="AT2033" s="20" t="str">
        <f aca="false">HYPERLINK("https://www.google.iq/maps/search/+32.5907,44.0724/@32.5907,44.0724,14z?hl=en","Maplink2")</f>
        <v>Maplink2</v>
      </c>
      <c r="AU2033" s="20" t="str">
        <f aca="false">HYPERLINK("http://www.bing.com/maps/?lvl=14&amp;sty=h&amp;cp=32.5907~44.0724&amp;sp=point.32.5907_44.0724","Maplink3")</f>
        <v>Maplink3</v>
      </c>
    </row>
    <row r="2034" customFormat="false" ht="15" hidden="false" customHeight="true" outlineLevel="0" collapsed="false">
      <c r="A2034" s="15" t="n">
        <v>14186</v>
      </c>
      <c r="B2034" s="16" t="s">
        <v>22</v>
      </c>
      <c r="C2034" s="16" t="s">
        <v>22</v>
      </c>
      <c r="D2034" s="16" t="s">
        <v>4004</v>
      </c>
      <c r="E2034" s="17" t="s">
        <v>4005</v>
      </c>
      <c r="F2034" s="16" t="n">
        <v>32.69387626</v>
      </c>
      <c r="G2034" s="16" t="n">
        <v>44.01036663</v>
      </c>
      <c r="H2034" s="18" t="n">
        <v>10</v>
      </c>
      <c r="I2034" s="18" t="n">
        <v>60</v>
      </c>
      <c r="J2034" s="19" t="n">
        <v>10</v>
      </c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  <c r="AA2034" s="19"/>
      <c r="AB2034" s="19"/>
      <c r="AC2034" s="19" t="n">
        <v>2</v>
      </c>
      <c r="AD2034" s="19"/>
      <c r="AE2034" s="19"/>
      <c r="AF2034" s="19"/>
      <c r="AG2034" s="19"/>
      <c r="AH2034" s="19" t="n">
        <v>8</v>
      </c>
      <c r="AI2034" s="19"/>
      <c r="AJ2034" s="19"/>
      <c r="AK2034" s="19"/>
      <c r="AL2034" s="19" t="n">
        <v>10</v>
      </c>
      <c r="AM2034" s="19"/>
      <c r="AN2034" s="19"/>
      <c r="AO2034" s="19"/>
      <c r="AP2034" s="19"/>
      <c r="AQ2034" s="19"/>
      <c r="AR2034" s="19"/>
      <c r="AS2034" s="20" t="str">
        <f aca="false">HYPERLINK("http://www.openstreetmap.org/?mlat=32.6939&amp;mlon=44.0104&amp;zoom=12#map=12/32.6939/44.0104","Maplink1")</f>
        <v>Maplink1</v>
      </c>
      <c r="AT2034" s="20" t="str">
        <f aca="false">HYPERLINK("https://www.google.iq/maps/search/+32.6939,44.0104/@32.6939,44.0104,14z?hl=en","Maplink2")</f>
        <v>Maplink2</v>
      </c>
      <c r="AU2034" s="20" t="str">
        <f aca="false">HYPERLINK("http://www.bing.com/maps/?lvl=14&amp;sty=h&amp;cp=32.6939~44.0104&amp;sp=point.32.6939_44.0104","Maplink3")</f>
        <v>Maplink3</v>
      </c>
    </row>
    <row r="2035" customFormat="false" ht="15" hidden="false" customHeight="true" outlineLevel="0" collapsed="false">
      <c r="A2035" s="15" t="n">
        <v>21142</v>
      </c>
      <c r="B2035" s="16" t="s">
        <v>22</v>
      </c>
      <c r="C2035" s="16" t="s">
        <v>22</v>
      </c>
      <c r="D2035" s="16" t="s">
        <v>4006</v>
      </c>
      <c r="E2035" s="17" t="s">
        <v>4007</v>
      </c>
      <c r="F2035" s="16" t="n">
        <v>32.61705335</v>
      </c>
      <c r="G2035" s="16" t="n">
        <v>44.01363892</v>
      </c>
      <c r="H2035" s="18" t="n">
        <v>8</v>
      </c>
      <c r="I2035" s="18" t="n">
        <v>48</v>
      </c>
      <c r="J2035" s="19" t="n">
        <v>4</v>
      </c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 t="n">
        <v>4</v>
      </c>
      <c r="W2035" s="19"/>
      <c r="X2035" s="19"/>
      <c r="Y2035" s="19"/>
      <c r="Z2035" s="19"/>
      <c r="AA2035" s="19"/>
      <c r="AB2035" s="19"/>
      <c r="AC2035" s="19"/>
      <c r="AD2035" s="19"/>
      <c r="AE2035" s="19"/>
      <c r="AF2035" s="19"/>
      <c r="AG2035" s="19"/>
      <c r="AH2035" s="19" t="n">
        <v>8</v>
      </c>
      <c r="AI2035" s="19"/>
      <c r="AJ2035" s="19"/>
      <c r="AK2035" s="19"/>
      <c r="AL2035" s="19" t="n">
        <v>4</v>
      </c>
      <c r="AM2035" s="19" t="n">
        <v>4</v>
      </c>
      <c r="AN2035" s="19"/>
      <c r="AO2035" s="19"/>
      <c r="AP2035" s="19"/>
      <c r="AQ2035" s="19"/>
      <c r="AR2035" s="19"/>
      <c r="AS2035" s="20" t="str">
        <f aca="false">HYPERLINK("http://www.openstreetmap.org/?mlat=32.6171&amp;mlon=44.0136&amp;zoom=12#map=12/32.6171/44.0136","Maplink1")</f>
        <v>Maplink1</v>
      </c>
      <c r="AT2035" s="20" t="str">
        <f aca="false">HYPERLINK("https://www.google.iq/maps/search/+32.6171,44.0136/@32.6171,44.0136,14z?hl=en","Maplink2")</f>
        <v>Maplink2</v>
      </c>
      <c r="AU2035" s="20" t="str">
        <f aca="false">HYPERLINK("http://www.bing.com/maps/?lvl=14&amp;sty=h&amp;cp=32.6171~44.0136&amp;sp=point.32.6171_44.0136","Maplink3")</f>
        <v>Maplink3</v>
      </c>
    </row>
    <row r="2036" customFormat="false" ht="15" hidden="false" customHeight="true" outlineLevel="0" collapsed="false">
      <c r="A2036" s="15" t="n">
        <v>21111</v>
      </c>
      <c r="B2036" s="16" t="s">
        <v>22</v>
      </c>
      <c r="C2036" s="16" t="s">
        <v>22</v>
      </c>
      <c r="D2036" s="16" t="s">
        <v>4008</v>
      </c>
      <c r="E2036" s="17" t="s">
        <v>4009</v>
      </c>
      <c r="F2036" s="16" t="n">
        <v>32.63998871</v>
      </c>
      <c r="G2036" s="16" t="n">
        <v>43.97290355</v>
      </c>
      <c r="H2036" s="18" t="n">
        <v>8</v>
      </c>
      <c r="I2036" s="18" t="n">
        <v>48</v>
      </c>
      <c r="J2036" s="19" t="n">
        <v>2</v>
      </c>
      <c r="K2036" s="19"/>
      <c r="L2036" s="19"/>
      <c r="M2036" s="19"/>
      <c r="N2036" s="19"/>
      <c r="O2036" s="19"/>
      <c r="P2036" s="19"/>
      <c r="Q2036" s="19"/>
      <c r="R2036" s="19" t="n">
        <v>6</v>
      </c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  <c r="AD2036" s="19"/>
      <c r="AE2036" s="19"/>
      <c r="AF2036" s="19"/>
      <c r="AG2036" s="19"/>
      <c r="AH2036" s="19" t="n">
        <v>8</v>
      </c>
      <c r="AI2036" s="19"/>
      <c r="AJ2036" s="19"/>
      <c r="AK2036" s="19"/>
      <c r="AL2036" s="19"/>
      <c r="AM2036" s="19" t="n">
        <v>6</v>
      </c>
      <c r="AN2036" s="19"/>
      <c r="AO2036" s="19"/>
      <c r="AP2036" s="19" t="n">
        <v>2</v>
      </c>
      <c r="AQ2036" s="19"/>
      <c r="AR2036" s="19"/>
      <c r="AS2036" s="20" t="str">
        <f aca="false">HYPERLINK("http://www.openstreetmap.org/?mlat=32.64&amp;mlon=43.9729&amp;zoom=12#map=12/32.64/43.9729","Maplink1")</f>
        <v>Maplink1</v>
      </c>
      <c r="AT2036" s="20" t="str">
        <f aca="false">HYPERLINK("https://www.google.iq/maps/search/+32.64,43.9729/@32.64,43.9729,14z?hl=en","Maplink2")</f>
        <v>Maplink2</v>
      </c>
      <c r="AU2036" s="20" t="str">
        <f aca="false">HYPERLINK("http://www.bing.com/maps/?lvl=14&amp;sty=h&amp;cp=32.64~43.9729&amp;sp=point.32.64_43.9729","Maplink3")</f>
        <v>Maplink3</v>
      </c>
    </row>
    <row r="2037" customFormat="false" ht="15" hidden="false" customHeight="true" outlineLevel="0" collapsed="false">
      <c r="A2037" s="15" t="n">
        <v>14037</v>
      </c>
      <c r="B2037" s="16" t="s">
        <v>22</v>
      </c>
      <c r="C2037" s="16" t="s">
        <v>22</v>
      </c>
      <c r="D2037" s="16" t="s">
        <v>4010</v>
      </c>
      <c r="E2037" s="17" t="s">
        <v>4011</v>
      </c>
      <c r="F2037" s="16" t="n">
        <v>32.5915287</v>
      </c>
      <c r="G2037" s="16" t="n">
        <v>44.11846443</v>
      </c>
      <c r="H2037" s="18" t="n">
        <v>83</v>
      </c>
      <c r="I2037" s="18" t="n">
        <v>498</v>
      </c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 t="n">
        <v>83</v>
      </c>
      <c r="W2037" s="19"/>
      <c r="X2037" s="19"/>
      <c r="Y2037" s="19"/>
      <c r="Z2037" s="19"/>
      <c r="AA2037" s="19"/>
      <c r="AB2037" s="19"/>
      <c r="AC2037" s="19"/>
      <c r="AD2037" s="19"/>
      <c r="AE2037" s="19"/>
      <c r="AF2037" s="19"/>
      <c r="AG2037" s="19" t="n">
        <v>9</v>
      </c>
      <c r="AH2037" s="19" t="n">
        <v>74</v>
      </c>
      <c r="AI2037" s="19"/>
      <c r="AJ2037" s="19"/>
      <c r="AK2037" s="19"/>
      <c r="AL2037" s="19"/>
      <c r="AM2037" s="19" t="n">
        <v>83</v>
      </c>
      <c r="AN2037" s="19"/>
      <c r="AO2037" s="19"/>
      <c r="AP2037" s="19"/>
      <c r="AQ2037" s="19"/>
      <c r="AR2037" s="19"/>
      <c r="AS2037" s="20" t="str">
        <f aca="false">HYPERLINK("http://www.openstreetmap.org/?mlat=32.5915&amp;mlon=44.1185&amp;zoom=12#map=12/32.5915/44.1185","Maplink1")</f>
        <v>Maplink1</v>
      </c>
      <c r="AT2037" s="20" t="str">
        <f aca="false">HYPERLINK("https://www.google.iq/maps/search/+32.5915,44.1185/@32.5915,44.1185,14z?hl=en","Maplink2")</f>
        <v>Maplink2</v>
      </c>
      <c r="AU2037" s="20" t="str">
        <f aca="false">HYPERLINK("http://www.bing.com/maps/?lvl=14&amp;sty=h&amp;cp=32.5915~44.1185&amp;sp=point.32.5915_44.1185","Maplink3")</f>
        <v>Maplink3</v>
      </c>
    </row>
    <row r="2038" customFormat="false" ht="15" hidden="false" customHeight="true" outlineLevel="0" collapsed="false">
      <c r="A2038" s="15" t="n">
        <v>13785</v>
      </c>
      <c r="B2038" s="16" t="s">
        <v>22</v>
      </c>
      <c r="C2038" s="16" t="s">
        <v>22</v>
      </c>
      <c r="D2038" s="16" t="s">
        <v>4012</v>
      </c>
      <c r="E2038" s="17" t="s">
        <v>2027</v>
      </c>
      <c r="F2038" s="16" t="n">
        <v>32.64772647</v>
      </c>
      <c r="G2038" s="16" t="n">
        <v>44.05060261</v>
      </c>
      <c r="H2038" s="18" t="n">
        <v>82</v>
      </c>
      <c r="I2038" s="18" t="n">
        <v>492</v>
      </c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 t="n">
        <v>82</v>
      </c>
      <c r="W2038" s="19"/>
      <c r="X2038" s="19"/>
      <c r="Y2038" s="19"/>
      <c r="Z2038" s="19"/>
      <c r="AA2038" s="19"/>
      <c r="AB2038" s="19"/>
      <c r="AC2038" s="19"/>
      <c r="AD2038" s="19"/>
      <c r="AE2038" s="19"/>
      <c r="AF2038" s="19"/>
      <c r="AG2038" s="19" t="n">
        <v>25</v>
      </c>
      <c r="AH2038" s="19" t="n">
        <v>57</v>
      </c>
      <c r="AI2038" s="19"/>
      <c r="AJ2038" s="19"/>
      <c r="AK2038" s="19"/>
      <c r="AL2038" s="19"/>
      <c r="AM2038" s="19" t="n">
        <v>82</v>
      </c>
      <c r="AN2038" s="19"/>
      <c r="AO2038" s="19"/>
      <c r="AP2038" s="19"/>
      <c r="AQ2038" s="19"/>
      <c r="AR2038" s="19"/>
      <c r="AS2038" s="20" t="str">
        <f aca="false">HYPERLINK("http://www.openstreetmap.org/?mlat=32.6477&amp;mlon=44.0506&amp;zoom=12#map=12/32.6477/44.0506","Maplink1")</f>
        <v>Maplink1</v>
      </c>
      <c r="AT2038" s="20" t="str">
        <f aca="false">HYPERLINK("https://www.google.iq/maps/search/+32.6477,44.0506/@32.6477,44.0506,14z?hl=en","Maplink2")</f>
        <v>Maplink2</v>
      </c>
      <c r="AU2038" s="20" t="str">
        <f aca="false">HYPERLINK("http://www.bing.com/maps/?lvl=14&amp;sty=h&amp;cp=32.6477~44.0506&amp;sp=point.32.6477_44.0506","Maplink3")</f>
        <v>Maplink3</v>
      </c>
    </row>
    <row r="2039" customFormat="false" ht="15" hidden="false" customHeight="true" outlineLevel="0" collapsed="false">
      <c r="A2039" s="15" t="n">
        <v>14309</v>
      </c>
      <c r="B2039" s="16" t="s">
        <v>22</v>
      </c>
      <c r="C2039" s="16" t="s">
        <v>22</v>
      </c>
      <c r="D2039" s="16" t="s">
        <v>4013</v>
      </c>
      <c r="E2039" s="17" t="s">
        <v>4014</v>
      </c>
      <c r="F2039" s="16" t="n">
        <v>32.61661636</v>
      </c>
      <c r="G2039" s="16" t="n">
        <v>44.01868584</v>
      </c>
      <c r="H2039" s="18" t="n">
        <v>12</v>
      </c>
      <c r="I2039" s="18" t="n">
        <v>72</v>
      </c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 t="n">
        <v>12</v>
      </c>
      <c r="W2039" s="19"/>
      <c r="X2039" s="19"/>
      <c r="Y2039" s="19"/>
      <c r="Z2039" s="19"/>
      <c r="AA2039" s="19"/>
      <c r="AB2039" s="19"/>
      <c r="AC2039" s="19"/>
      <c r="AD2039" s="19"/>
      <c r="AE2039" s="19"/>
      <c r="AF2039" s="19"/>
      <c r="AG2039" s="19" t="n">
        <v>1</v>
      </c>
      <c r="AH2039" s="19" t="n">
        <v>11</v>
      </c>
      <c r="AI2039" s="19"/>
      <c r="AJ2039" s="19"/>
      <c r="AK2039" s="19"/>
      <c r="AL2039" s="19"/>
      <c r="AM2039" s="19" t="n">
        <v>12</v>
      </c>
      <c r="AN2039" s="19"/>
      <c r="AO2039" s="19"/>
      <c r="AP2039" s="19"/>
      <c r="AQ2039" s="19"/>
      <c r="AR2039" s="19"/>
      <c r="AS2039" s="20" t="str">
        <f aca="false">HYPERLINK("http://www.openstreetmap.org/?mlat=32.6166&amp;mlon=44.0187&amp;zoom=12#map=12/32.6166/44.0187","Maplink1")</f>
        <v>Maplink1</v>
      </c>
      <c r="AT2039" s="20" t="str">
        <f aca="false">HYPERLINK("https://www.google.iq/maps/search/+32.6166,44.0187/@32.6166,44.0187,14z?hl=en","Maplink2")</f>
        <v>Maplink2</v>
      </c>
      <c r="AU2039" s="20" t="str">
        <f aca="false">HYPERLINK("http://www.bing.com/maps/?lvl=14&amp;sty=h&amp;cp=32.6166~44.0187&amp;sp=point.32.6166_44.0187","Maplink3")</f>
        <v>Maplink3</v>
      </c>
    </row>
    <row r="2040" customFormat="false" ht="15" hidden="false" customHeight="true" outlineLevel="0" collapsed="false">
      <c r="A2040" s="15" t="n">
        <v>26067</v>
      </c>
      <c r="B2040" s="16" t="s">
        <v>22</v>
      </c>
      <c r="C2040" s="16" t="s">
        <v>22</v>
      </c>
      <c r="D2040" s="16" t="s">
        <v>4015</v>
      </c>
      <c r="E2040" s="17" t="s">
        <v>4016</v>
      </c>
      <c r="F2040" s="16" t="n">
        <v>32.64704837</v>
      </c>
      <c r="G2040" s="16" t="n">
        <v>44.10927728</v>
      </c>
      <c r="H2040" s="18" t="n">
        <v>17</v>
      </c>
      <c r="I2040" s="18" t="n">
        <v>102</v>
      </c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 t="n">
        <v>17</v>
      </c>
      <c r="W2040" s="19"/>
      <c r="X2040" s="19"/>
      <c r="Y2040" s="19"/>
      <c r="Z2040" s="19"/>
      <c r="AA2040" s="19"/>
      <c r="AB2040" s="19"/>
      <c r="AC2040" s="19"/>
      <c r="AD2040" s="19"/>
      <c r="AE2040" s="19"/>
      <c r="AF2040" s="19"/>
      <c r="AG2040" s="19"/>
      <c r="AH2040" s="19" t="n">
        <v>17</v>
      </c>
      <c r="AI2040" s="19"/>
      <c r="AJ2040" s="19"/>
      <c r="AK2040" s="19"/>
      <c r="AL2040" s="19"/>
      <c r="AM2040" s="19" t="n">
        <v>17</v>
      </c>
      <c r="AN2040" s="19"/>
      <c r="AO2040" s="19"/>
      <c r="AP2040" s="19"/>
      <c r="AQ2040" s="19"/>
      <c r="AR2040" s="19"/>
      <c r="AS2040" s="20" t="str">
        <f aca="false">HYPERLINK("http://www.openstreetmap.org/?mlat=32.647&amp;mlon=44.1093&amp;zoom=12#map=12/32.647/44.1093","Maplink1")</f>
        <v>Maplink1</v>
      </c>
      <c r="AT2040" s="20" t="str">
        <f aca="false">HYPERLINK("https://www.google.iq/maps/search/+32.647,44.1093/@32.647,44.1093,14z?hl=en","Maplink2")</f>
        <v>Maplink2</v>
      </c>
      <c r="AU2040" s="20" t="str">
        <f aca="false">HYPERLINK("http://www.bing.com/maps/?lvl=14&amp;sty=h&amp;cp=32.647~44.1093&amp;sp=point.32.647_44.1093","Maplink3")</f>
        <v>Maplink3</v>
      </c>
    </row>
    <row r="2041" customFormat="false" ht="15" hidden="false" customHeight="true" outlineLevel="0" collapsed="false">
      <c r="A2041" s="15" t="n">
        <v>26068</v>
      </c>
      <c r="B2041" s="16" t="s">
        <v>22</v>
      </c>
      <c r="C2041" s="16" t="s">
        <v>22</v>
      </c>
      <c r="D2041" s="16" t="s">
        <v>4017</v>
      </c>
      <c r="E2041" s="17" t="s">
        <v>4018</v>
      </c>
      <c r="F2041" s="16" t="n">
        <v>32.65397626</v>
      </c>
      <c r="G2041" s="16" t="n">
        <v>44.05591884</v>
      </c>
      <c r="H2041" s="18" t="n">
        <v>32</v>
      </c>
      <c r="I2041" s="18" t="n">
        <v>192</v>
      </c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 t="n">
        <v>32</v>
      </c>
      <c r="W2041" s="19"/>
      <c r="X2041" s="19"/>
      <c r="Y2041" s="19"/>
      <c r="Z2041" s="19"/>
      <c r="AA2041" s="19"/>
      <c r="AB2041" s="19"/>
      <c r="AC2041" s="19"/>
      <c r="AD2041" s="19"/>
      <c r="AE2041" s="19" t="n">
        <v>7</v>
      </c>
      <c r="AF2041" s="19"/>
      <c r="AG2041" s="19"/>
      <c r="AH2041" s="19" t="n">
        <v>25</v>
      </c>
      <c r="AI2041" s="19"/>
      <c r="AJ2041" s="19"/>
      <c r="AK2041" s="19"/>
      <c r="AL2041" s="19"/>
      <c r="AM2041" s="19" t="n">
        <v>32</v>
      </c>
      <c r="AN2041" s="19"/>
      <c r="AO2041" s="19"/>
      <c r="AP2041" s="19"/>
      <c r="AQ2041" s="19"/>
      <c r="AR2041" s="19"/>
      <c r="AS2041" s="20" t="str">
        <f aca="false">HYPERLINK("http://www.openstreetmap.org/?mlat=32.654&amp;mlon=44.0559&amp;zoom=12#map=12/32.654/44.0559","Maplink1")</f>
        <v>Maplink1</v>
      </c>
      <c r="AT2041" s="20" t="str">
        <f aca="false">HYPERLINK("https://www.google.iq/maps/search/+32.654,44.0559/@32.654,44.0559,14z?hl=en","Maplink2")</f>
        <v>Maplink2</v>
      </c>
      <c r="AU2041" s="20" t="str">
        <f aca="false">HYPERLINK("http://www.bing.com/maps/?lvl=14&amp;sty=h&amp;cp=32.654~44.0559&amp;sp=point.32.654_44.0559","Maplink3")</f>
        <v>Maplink3</v>
      </c>
    </row>
    <row r="2042" customFormat="false" ht="15" hidden="false" customHeight="true" outlineLevel="0" collapsed="false">
      <c r="A2042" s="15" t="n">
        <v>26065</v>
      </c>
      <c r="B2042" s="16" t="s">
        <v>22</v>
      </c>
      <c r="C2042" s="16" t="s">
        <v>22</v>
      </c>
      <c r="D2042" s="16" t="s">
        <v>4019</v>
      </c>
      <c r="E2042" s="17" t="s">
        <v>4020</v>
      </c>
      <c r="F2042" s="16" t="n">
        <v>32.68404408</v>
      </c>
      <c r="G2042" s="16" t="n">
        <v>44.08778599</v>
      </c>
      <c r="H2042" s="18" t="n">
        <v>120</v>
      </c>
      <c r="I2042" s="18" t="n">
        <v>720</v>
      </c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 t="n">
        <v>120</v>
      </c>
      <c r="W2042" s="19"/>
      <c r="X2042" s="19"/>
      <c r="Y2042" s="19"/>
      <c r="Z2042" s="19"/>
      <c r="AA2042" s="19"/>
      <c r="AB2042" s="19"/>
      <c r="AC2042" s="19"/>
      <c r="AD2042" s="19"/>
      <c r="AE2042" s="19"/>
      <c r="AF2042" s="19"/>
      <c r="AG2042" s="19" t="n">
        <v>120</v>
      </c>
      <c r="AH2042" s="19"/>
      <c r="AI2042" s="19"/>
      <c r="AJ2042" s="19"/>
      <c r="AK2042" s="19"/>
      <c r="AL2042" s="19"/>
      <c r="AM2042" s="19" t="n">
        <v>120</v>
      </c>
      <c r="AN2042" s="19"/>
      <c r="AO2042" s="19"/>
      <c r="AP2042" s="19"/>
      <c r="AQ2042" s="19"/>
      <c r="AR2042" s="19"/>
      <c r="AS2042" s="20" t="str">
        <f aca="false">HYPERLINK("http://www.openstreetmap.org/?mlat=32.684&amp;mlon=44.0878&amp;zoom=12#map=12/32.684/44.0878","Maplink1")</f>
        <v>Maplink1</v>
      </c>
      <c r="AT2042" s="20" t="str">
        <f aca="false">HYPERLINK("https://www.google.iq/maps/search/+32.684,44.0878/@32.684,44.0878,14z?hl=en","Maplink2")</f>
        <v>Maplink2</v>
      </c>
      <c r="AU2042" s="20" t="str">
        <f aca="false">HYPERLINK("http://www.bing.com/maps/?lvl=14&amp;sty=h&amp;cp=32.684~44.0878&amp;sp=point.32.684_44.0878","Maplink3")</f>
        <v>Maplink3</v>
      </c>
    </row>
    <row r="2043" customFormat="false" ht="15" hidden="false" customHeight="true" outlineLevel="0" collapsed="false">
      <c r="A2043" s="15" t="n">
        <v>25901</v>
      </c>
      <c r="B2043" s="16" t="s">
        <v>22</v>
      </c>
      <c r="C2043" s="16" t="s">
        <v>22</v>
      </c>
      <c r="D2043" s="16" t="s">
        <v>4021</v>
      </c>
      <c r="E2043" s="17" t="s">
        <v>4022</v>
      </c>
      <c r="F2043" s="16" t="n">
        <v>32.65974247</v>
      </c>
      <c r="G2043" s="16" t="n">
        <v>44.06605993</v>
      </c>
      <c r="H2043" s="18" t="n">
        <v>10</v>
      </c>
      <c r="I2043" s="18" t="n">
        <v>60</v>
      </c>
      <c r="J2043" s="19"/>
      <c r="K2043" s="19" t="n">
        <v>10</v>
      </c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  <c r="AA2043" s="19"/>
      <c r="AB2043" s="19"/>
      <c r="AC2043" s="19" t="n">
        <v>10</v>
      </c>
      <c r="AD2043" s="19"/>
      <c r="AE2043" s="19"/>
      <c r="AF2043" s="19"/>
      <c r="AG2043" s="19"/>
      <c r="AH2043" s="19"/>
      <c r="AI2043" s="19"/>
      <c r="AJ2043" s="19"/>
      <c r="AK2043" s="19"/>
      <c r="AL2043" s="19" t="n">
        <v>10</v>
      </c>
      <c r="AM2043" s="19"/>
      <c r="AN2043" s="19"/>
      <c r="AO2043" s="19"/>
      <c r="AP2043" s="19"/>
      <c r="AQ2043" s="19"/>
      <c r="AR2043" s="19"/>
      <c r="AS2043" s="20" t="str">
        <f aca="false">HYPERLINK("http://www.openstreetmap.org/?mlat=32.6597&amp;mlon=44.0661&amp;zoom=12#map=12/32.6597/44.0661","Maplink1")</f>
        <v>Maplink1</v>
      </c>
      <c r="AT2043" s="20" t="str">
        <f aca="false">HYPERLINK("https://www.google.iq/maps/search/+32.6597,44.0661/@32.6597,44.0661,14z?hl=en","Maplink2")</f>
        <v>Maplink2</v>
      </c>
      <c r="AU2043" s="20" t="str">
        <f aca="false">HYPERLINK("http://www.bing.com/maps/?lvl=14&amp;sty=h&amp;cp=32.6597~44.0661&amp;sp=point.32.6597_44.0661","Maplink3")</f>
        <v>Maplink3</v>
      </c>
    </row>
    <row r="2044" customFormat="false" ht="15" hidden="false" customHeight="true" outlineLevel="0" collapsed="false">
      <c r="A2044" s="15" t="n">
        <v>26061</v>
      </c>
      <c r="B2044" s="16" t="s">
        <v>22</v>
      </c>
      <c r="C2044" s="16" t="s">
        <v>22</v>
      </c>
      <c r="D2044" s="16" t="s">
        <v>4023</v>
      </c>
      <c r="E2044" s="17" t="s">
        <v>4024</v>
      </c>
      <c r="F2044" s="16" t="n">
        <v>32.66877527</v>
      </c>
      <c r="G2044" s="16" t="n">
        <v>44.07117466</v>
      </c>
      <c r="H2044" s="18" t="n">
        <v>80</v>
      </c>
      <c r="I2044" s="18" t="n">
        <v>480</v>
      </c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 t="n">
        <v>80</v>
      </c>
      <c r="W2044" s="19"/>
      <c r="X2044" s="19"/>
      <c r="Y2044" s="19"/>
      <c r="Z2044" s="19"/>
      <c r="AA2044" s="19"/>
      <c r="AB2044" s="19"/>
      <c r="AC2044" s="19"/>
      <c r="AD2044" s="19"/>
      <c r="AE2044" s="19"/>
      <c r="AF2044" s="19"/>
      <c r="AG2044" s="19" t="n">
        <v>80</v>
      </c>
      <c r="AH2044" s="19"/>
      <c r="AI2044" s="19"/>
      <c r="AJ2044" s="19"/>
      <c r="AK2044" s="19"/>
      <c r="AL2044" s="19"/>
      <c r="AM2044" s="19" t="n">
        <v>80</v>
      </c>
      <c r="AN2044" s="19"/>
      <c r="AO2044" s="19"/>
      <c r="AP2044" s="19"/>
      <c r="AQ2044" s="19"/>
      <c r="AR2044" s="19"/>
      <c r="AS2044" s="20" t="str">
        <f aca="false">HYPERLINK("http://www.openstreetmap.org/?mlat=32.6688&amp;mlon=44.0712&amp;zoom=12#map=12/32.6688/44.0712","Maplink1")</f>
        <v>Maplink1</v>
      </c>
      <c r="AT2044" s="20" t="str">
        <f aca="false">HYPERLINK("https://www.google.iq/maps/search/+32.6688,44.0712/@32.6688,44.0712,14z?hl=en","Maplink2")</f>
        <v>Maplink2</v>
      </c>
      <c r="AU2044" s="20" t="str">
        <f aca="false">HYPERLINK("http://www.bing.com/maps/?lvl=14&amp;sty=h&amp;cp=32.6688~44.0712&amp;sp=point.32.6688_44.0712","Maplink3")</f>
        <v>Maplink3</v>
      </c>
    </row>
    <row r="2045" customFormat="false" ht="15" hidden="false" customHeight="true" outlineLevel="0" collapsed="false">
      <c r="A2045" s="15" t="n">
        <v>14133</v>
      </c>
      <c r="B2045" s="16" t="s">
        <v>22</v>
      </c>
      <c r="C2045" s="16" t="s">
        <v>22</v>
      </c>
      <c r="D2045" s="16" t="s">
        <v>4025</v>
      </c>
      <c r="E2045" s="17" t="s">
        <v>4026</v>
      </c>
      <c r="F2045" s="16" t="n">
        <v>32.6199384872</v>
      </c>
      <c r="G2045" s="16" t="n">
        <v>44.03421239</v>
      </c>
      <c r="H2045" s="18" t="n">
        <v>40</v>
      </c>
      <c r="I2045" s="18" t="n">
        <v>240</v>
      </c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 t="n">
        <v>40</v>
      </c>
      <c r="W2045" s="19"/>
      <c r="X2045" s="19"/>
      <c r="Y2045" s="19"/>
      <c r="Z2045" s="19"/>
      <c r="AA2045" s="19"/>
      <c r="AB2045" s="19"/>
      <c r="AC2045" s="19"/>
      <c r="AD2045" s="19"/>
      <c r="AE2045" s="19"/>
      <c r="AF2045" s="19"/>
      <c r="AG2045" s="19"/>
      <c r="AH2045" s="19" t="n">
        <v>40</v>
      </c>
      <c r="AI2045" s="19"/>
      <c r="AJ2045" s="19"/>
      <c r="AK2045" s="19"/>
      <c r="AL2045" s="19"/>
      <c r="AM2045" s="19" t="n">
        <v>40</v>
      </c>
      <c r="AN2045" s="19"/>
      <c r="AO2045" s="19"/>
      <c r="AP2045" s="19"/>
      <c r="AQ2045" s="19"/>
      <c r="AR2045" s="19"/>
      <c r="AS2045" s="20" t="str">
        <f aca="false">HYPERLINK("http://www.openstreetmap.org/?mlat=32.6199&amp;mlon=44.0342&amp;zoom=12#map=12/32.6199/44.0342","Maplink1")</f>
        <v>Maplink1</v>
      </c>
      <c r="AT2045" s="20" t="str">
        <f aca="false">HYPERLINK("https://www.google.iq/maps/search/+32.6199,44.0342/@32.6199,44.0342,14z?hl=en","Maplink2")</f>
        <v>Maplink2</v>
      </c>
      <c r="AU2045" s="20" t="str">
        <f aca="false">HYPERLINK("http://www.bing.com/maps/?lvl=14&amp;sty=h&amp;cp=32.6199~44.0342&amp;sp=point.32.6199_44.0342","Maplink3")</f>
        <v>Maplink3</v>
      </c>
    </row>
    <row r="2046" customFormat="false" ht="15" hidden="false" customHeight="true" outlineLevel="0" collapsed="false">
      <c r="A2046" s="15" t="n">
        <v>25850</v>
      </c>
      <c r="B2046" s="16" t="s">
        <v>22</v>
      </c>
      <c r="C2046" s="16" t="s">
        <v>22</v>
      </c>
      <c r="D2046" s="16" t="s">
        <v>4027</v>
      </c>
      <c r="E2046" s="17" t="s">
        <v>4028</v>
      </c>
      <c r="F2046" s="16" t="n">
        <v>32.60611861</v>
      </c>
      <c r="G2046" s="16" t="n">
        <v>44.02164373</v>
      </c>
      <c r="H2046" s="18" t="n">
        <v>12</v>
      </c>
      <c r="I2046" s="18" t="n">
        <v>72</v>
      </c>
      <c r="J2046" s="19" t="n">
        <v>2</v>
      </c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 t="n">
        <v>10</v>
      </c>
      <c r="W2046" s="19"/>
      <c r="X2046" s="19"/>
      <c r="Y2046" s="19"/>
      <c r="Z2046" s="19"/>
      <c r="AA2046" s="19"/>
      <c r="AB2046" s="19"/>
      <c r="AC2046" s="19" t="n">
        <v>2</v>
      </c>
      <c r="AD2046" s="19"/>
      <c r="AE2046" s="19"/>
      <c r="AF2046" s="19"/>
      <c r="AG2046" s="19" t="n">
        <v>1</v>
      </c>
      <c r="AH2046" s="19" t="n">
        <v>9</v>
      </c>
      <c r="AI2046" s="19"/>
      <c r="AJ2046" s="19"/>
      <c r="AK2046" s="19"/>
      <c r="AL2046" s="19"/>
      <c r="AM2046" s="19" t="n">
        <v>10</v>
      </c>
      <c r="AN2046" s="19" t="n">
        <v>2</v>
      </c>
      <c r="AO2046" s="19"/>
      <c r="AP2046" s="19"/>
      <c r="AQ2046" s="19"/>
      <c r="AR2046" s="19"/>
      <c r="AS2046" s="20" t="str">
        <f aca="false">HYPERLINK("http://www.openstreetmap.org/?mlat=32.6061&amp;mlon=44.0216&amp;zoom=12#map=12/32.6061/44.0216","Maplink1")</f>
        <v>Maplink1</v>
      </c>
      <c r="AT2046" s="20" t="str">
        <f aca="false">HYPERLINK("https://www.google.iq/maps/search/+32.6061,44.0216/@32.6061,44.0216,14z?hl=en","Maplink2")</f>
        <v>Maplink2</v>
      </c>
      <c r="AU2046" s="20" t="str">
        <f aca="false">HYPERLINK("http://www.bing.com/maps/?lvl=14&amp;sty=h&amp;cp=32.6061~44.0216&amp;sp=point.32.6061_44.0216","Maplink3")</f>
        <v>Maplink3</v>
      </c>
    </row>
    <row r="2047" customFormat="false" ht="15" hidden="false" customHeight="true" outlineLevel="0" collapsed="false">
      <c r="A2047" s="15" t="n">
        <v>13740</v>
      </c>
      <c r="B2047" s="16" t="s">
        <v>22</v>
      </c>
      <c r="C2047" s="16" t="s">
        <v>22</v>
      </c>
      <c r="D2047" s="16" t="s">
        <v>4029</v>
      </c>
      <c r="E2047" s="17" t="s">
        <v>4030</v>
      </c>
      <c r="F2047" s="16" t="n">
        <v>32.65675088</v>
      </c>
      <c r="G2047" s="16" t="n">
        <v>44.05915886</v>
      </c>
      <c r="H2047" s="18" t="n">
        <v>4</v>
      </c>
      <c r="I2047" s="18" t="n">
        <v>24</v>
      </c>
      <c r="J2047" s="19"/>
      <c r="K2047" s="19" t="n">
        <v>1</v>
      </c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 t="n">
        <v>3</v>
      </c>
      <c r="W2047" s="19"/>
      <c r="X2047" s="19"/>
      <c r="Y2047" s="19"/>
      <c r="Z2047" s="19"/>
      <c r="AA2047" s="19"/>
      <c r="AB2047" s="19"/>
      <c r="AC2047" s="19"/>
      <c r="AD2047" s="19"/>
      <c r="AE2047" s="19"/>
      <c r="AF2047" s="19"/>
      <c r="AG2047" s="19"/>
      <c r="AH2047" s="19" t="n">
        <v>4</v>
      </c>
      <c r="AI2047" s="19"/>
      <c r="AJ2047" s="19"/>
      <c r="AK2047" s="19"/>
      <c r="AL2047" s="19"/>
      <c r="AM2047" s="19" t="n">
        <v>4</v>
      </c>
      <c r="AN2047" s="19"/>
      <c r="AO2047" s="19"/>
      <c r="AP2047" s="19"/>
      <c r="AQ2047" s="19"/>
      <c r="AR2047" s="19"/>
      <c r="AS2047" s="20" t="str">
        <f aca="false">HYPERLINK("http://www.openstreetmap.org/?mlat=32.6568&amp;mlon=44.0592&amp;zoom=12#map=12/32.6568/44.0592","Maplink1")</f>
        <v>Maplink1</v>
      </c>
      <c r="AT2047" s="20" t="str">
        <f aca="false">HYPERLINK("https://www.google.iq/maps/search/+32.6568,44.0592/@32.6568,44.0592,14z?hl=en","Maplink2")</f>
        <v>Maplink2</v>
      </c>
      <c r="AU2047" s="20" t="str">
        <f aca="false">HYPERLINK("http://www.bing.com/maps/?lvl=14&amp;sty=h&amp;cp=32.6568~44.0592&amp;sp=point.32.6568_44.0592","Maplink3")</f>
        <v>Maplink3</v>
      </c>
    </row>
    <row r="2048" customFormat="false" ht="15" hidden="false" customHeight="true" outlineLevel="0" collapsed="false">
      <c r="A2048" s="15" t="n">
        <v>25268</v>
      </c>
      <c r="B2048" s="16" t="s">
        <v>22</v>
      </c>
      <c r="C2048" s="16" t="s">
        <v>22</v>
      </c>
      <c r="D2048" s="16" t="s">
        <v>4031</v>
      </c>
      <c r="E2048" s="17" t="s">
        <v>4032</v>
      </c>
      <c r="F2048" s="16" t="n">
        <v>32.61073218</v>
      </c>
      <c r="G2048" s="16" t="n">
        <v>44.01160246</v>
      </c>
      <c r="H2048" s="18" t="n">
        <v>4</v>
      </c>
      <c r="I2048" s="18" t="n">
        <v>24</v>
      </c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 t="n">
        <v>4</v>
      </c>
      <c r="W2048" s="19"/>
      <c r="X2048" s="19"/>
      <c r="Y2048" s="19"/>
      <c r="Z2048" s="19"/>
      <c r="AA2048" s="19"/>
      <c r="AB2048" s="19"/>
      <c r="AC2048" s="19"/>
      <c r="AD2048" s="19"/>
      <c r="AE2048" s="19"/>
      <c r="AF2048" s="19"/>
      <c r="AG2048" s="19"/>
      <c r="AH2048" s="19" t="n">
        <v>4</v>
      </c>
      <c r="AI2048" s="19"/>
      <c r="AJ2048" s="19"/>
      <c r="AK2048" s="19"/>
      <c r="AL2048" s="19"/>
      <c r="AM2048" s="19" t="n">
        <v>4</v>
      </c>
      <c r="AN2048" s="19"/>
      <c r="AO2048" s="19"/>
      <c r="AP2048" s="19"/>
      <c r="AQ2048" s="19"/>
      <c r="AR2048" s="19"/>
      <c r="AS2048" s="20" t="str">
        <f aca="false">HYPERLINK("http://www.openstreetmap.org/?mlat=32.6107&amp;mlon=44.0116&amp;zoom=12#map=12/32.6107/44.0116","Maplink1")</f>
        <v>Maplink1</v>
      </c>
      <c r="AT2048" s="20" t="str">
        <f aca="false">HYPERLINK("https://www.google.iq/maps/search/+32.6107,44.0116/@32.6107,44.0116,14z?hl=en","Maplink2")</f>
        <v>Maplink2</v>
      </c>
      <c r="AU2048" s="20" t="str">
        <f aca="false">HYPERLINK("http://www.bing.com/maps/?lvl=14&amp;sty=h&amp;cp=32.6107~44.0116&amp;sp=point.32.6107_44.0116","Maplink3")</f>
        <v>Maplink3</v>
      </c>
    </row>
    <row r="2049" customFormat="false" ht="15" hidden="false" customHeight="true" outlineLevel="0" collapsed="false">
      <c r="A2049" s="15" t="n">
        <v>26062</v>
      </c>
      <c r="B2049" s="16" t="s">
        <v>22</v>
      </c>
      <c r="C2049" s="16" t="s">
        <v>22</v>
      </c>
      <c r="D2049" s="16" t="s">
        <v>4033</v>
      </c>
      <c r="E2049" s="17" t="s">
        <v>4034</v>
      </c>
      <c r="F2049" s="16" t="n">
        <v>32.60684545</v>
      </c>
      <c r="G2049" s="16" t="n">
        <v>44.07300468</v>
      </c>
      <c r="H2049" s="18" t="n">
        <v>20</v>
      </c>
      <c r="I2049" s="18" t="n">
        <v>120</v>
      </c>
      <c r="J2049" s="19" t="n">
        <v>2</v>
      </c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 t="n">
        <v>18</v>
      </c>
      <c r="W2049" s="19"/>
      <c r="X2049" s="19"/>
      <c r="Y2049" s="19"/>
      <c r="Z2049" s="19"/>
      <c r="AA2049" s="19"/>
      <c r="AB2049" s="19"/>
      <c r="AC2049" s="19"/>
      <c r="AD2049" s="19"/>
      <c r="AE2049" s="19"/>
      <c r="AF2049" s="19"/>
      <c r="AG2049" s="19" t="n">
        <v>3</v>
      </c>
      <c r="AH2049" s="19" t="n">
        <v>17</v>
      </c>
      <c r="AI2049" s="19"/>
      <c r="AJ2049" s="19"/>
      <c r="AK2049" s="19"/>
      <c r="AL2049" s="19"/>
      <c r="AM2049" s="19" t="n">
        <v>20</v>
      </c>
      <c r="AN2049" s="19"/>
      <c r="AO2049" s="19"/>
      <c r="AP2049" s="19"/>
      <c r="AQ2049" s="19"/>
      <c r="AR2049" s="19"/>
      <c r="AS2049" s="20" t="str">
        <f aca="false">HYPERLINK("http://www.openstreetmap.org/?mlat=32.6068&amp;mlon=44.073&amp;zoom=12#map=12/32.6068/44.073","Maplink1")</f>
        <v>Maplink1</v>
      </c>
      <c r="AT2049" s="20" t="str">
        <f aca="false">HYPERLINK("https://www.google.iq/maps/search/+32.6068,44.073/@32.6068,44.073,14z?hl=en","Maplink2")</f>
        <v>Maplink2</v>
      </c>
      <c r="AU2049" s="20" t="str">
        <f aca="false">HYPERLINK("http://www.bing.com/maps/?lvl=14&amp;sty=h&amp;cp=32.6068~44.073&amp;sp=point.32.6068_44.073","Maplink3")</f>
        <v>Maplink3</v>
      </c>
    </row>
    <row r="2050" customFormat="false" ht="15" hidden="false" customHeight="true" outlineLevel="0" collapsed="false">
      <c r="A2050" s="15" t="n">
        <v>26063</v>
      </c>
      <c r="B2050" s="16" t="s">
        <v>22</v>
      </c>
      <c r="C2050" s="16" t="s">
        <v>22</v>
      </c>
      <c r="D2050" s="16" t="s">
        <v>4035</v>
      </c>
      <c r="E2050" s="17" t="s">
        <v>4036</v>
      </c>
      <c r="F2050" s="16" t="n">
        <v>32.67543578</v>
      </c>
      <c r="G2050" s="16" t="n">
        <v>44.12639095</v>
      </c>
      <c r="H2050" s="18" t="n">
        <v>6</v>
      </c>
      <c r="I2050" s="18" t="n">
        <v>36</v>
      </c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 t="n">
        <v>1</v>
      </c>
      <c r="W2050" s="19"/>
      <c r="X2050" s="19" t="n">
        <v>5</v>
      </c>
      <c r="Y2050" s="19"/>
      <c r="Z2050" s="19"/>
      <c r="AA2050" s="19"/>
      <c r="AB2050" s="19"/>
      <c r="AC2050" s="19"/>
      <c r="AD2050" s="19"/>
      <c r="AE2050" s="19"/>
      <c r="AF2050" s="19"/>
      <c r="AG2050" s="19"/>
      <c r="AH2050" s="19" t="n">
        <v>6</v>
      </c>
      <c r="AI2050" s="19"/>
      <c r="AJ2050" s="19"/>
      <c r="AK2050" s="19"/>
      <c r="AL2050" s="19"/>
      <c r="AM2050" s="19" t="n">
        <v>6</v>
      </c>
      <c r="AN2050" s="19"/>
      <c r="AO2050" s="19"/>
      <c r="AP2050" s="19"/>
      <c r="AQ2050" s="19"/>
      <c r="AR2050" s="19"/>
      <c r="AS2050" s="20" t="str">
        <f aca="false">HYPERLINK("http://www.openstreetmap.org/?mlat=32.6754&amp;mlon=44.1264&amp;zoom=12#map=12/32.6754/44.1264","Maplink1")</f>
        <v>Maplink1</v>
      </c>
      <c r="AT2050" s="20" t="str">
        <f aca="false">HYPERLINK("https://www.google.iq/maps/search/+32.6754,44.1264/@32.6754,44.1264,14z?hl=en","Maplink2")</f>
        <v>Maplink2</v>
      </c>
      <c r="AU2050" s="20" t="str">
        <f aca="false">HYPERLINK("http://www.bing.com/maps/?lvl=14&amp;sty=h&amp;cp=32.6754~44.1264&amp;sp=point.32.6754_44.1264","Maplink3")</f>
        <v>Maplink3</v>
      </c>
    </row>
    <row r="2051" customFormat="false" ht="15" hidden="false" customHeight="true" outlineLevel="0" collapsed="false">
      <c r="A2051" s="15" t="n">
        <v>22396</v>
      </c>
      <c r="B2051" s="16" t="s">
        <v>22</v>
      </c>
      <c r="C2051" s="16" t="s">
        <v>22</v>
      </c>
      <c r="D2051" s="16" t="s">
        <v>689</v>
      </c>
      <c r="E2051" s="17" t="s">
        <v>4037</v>
      </c>
      <c r="F2051" s="16" t="n">
        <v>32.62787594</v>
      </c>
      <c r="G2051" s="16" t="n">
        <v>43.97698838</v>
      </c>
      <c r="H2051" s="18" t="n">
        <v>11</v>
      </c>
      <c r="I2051" s="18" t="n">
        <v>66</v>
      </c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 t="n">
        <v>11</v>
      </c>
      <c r="W2051" s="19"/>
      <c r="X2051" s="19"/>
      <c r="Y2051" s="19"/>
      <c r="Z2051" s="19"/>
      <c r="AA2051" s="19"/>
      <c r="AB2051" s="19"/>
      <c r="AC2051" s="19"/>
      <c r="AD2051" s="19"/>
      <c r="AE2051" s="19"/>
      <c r="AF2051" s="19"/>
      <c r="AG2051" s="19"/>
      <c r="AH2051" s="19" t="n">
        <v>11</v>
      </c>
      <c r="AI2051" s="19"/>
      <c r="AJ2051" s="19"/>
      <c r="AK2051" s="19"/>
      <c r="AL2051" s="19"/>
      <c r="AM2051" s="19" t="n">
        <v>11</v>
      </c>
      <c r="AN2051" s="19"/>
      <c r="AO2051" s="19"/>
      <c r="AP2051" s="19"/>
      <c r="AQ2051" s="19"/>
      <c r="AR2051" s="19"/>
      <c r="AS2051" s="20" t="str">
        <f aca="false">HYPERLINK("http://www.openstreetmap.org/?mlat=32.6279&amp;mlon=43.977&amp;zoom=12#map=12/32.6279/43.977","Maplink1")</f>
        <v>Maplink1</v>
      </c>
      <c r="AT2051" s="20" t="str">
        <f aca="false">HYPERLINK("https://www.google.iq/maps/search/+32.6279,43.977/@32.6279,43.977,14z?hl=en","Maplink2")</f>
        <v>Maplink2</v>
      </c>
      <c r="AU2051" s="20" t="str">
        <f aca="false">HYPERLINK("http://www.bing.com/maps/?lvl=14&amp;sty=h&amp;cp=32.6279~43.977&amp;sp=point.32.6279_43.977","Maplink3")</f>
        <v>Maplink3</v>
      </c>
    </row>
    <row r="2052" customFormat="false" ht="15" hidden="false" customHeight="true" outlineLevel="0" collapsed="false">
      <c r="A2052" s="15" t="n">
        <v>25349</v>
      </c>
      <c r="B2052" s="16" t="s">
        <v>22</v>
      </c>
      <c r="C2052" s="16" t="s">
        <v>22</v>
      </c>
      <c r="D2052" s="16" t="s">
        <v>4038</v>
      </c>
      <c r="E2052" s="17" t="s">
        <v>4039</v>
      </c>
      <c r="F2052" s="16" t="n">
        <v>32.621945953</v>
      </c>
      <c r="G2052" s="16" t="n">
        <v>43.9891756698</v>
      </c>
      <c r="H2052" s="18" t="n">
        <v>12</v>
      </c>
      <c r="I2052" s="18" t="n">
        <v>72</v>
      </c>
      <c r="J2052" s="19" t="n">
        <v>2</v>
      </c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 t="n">
        <v>10</v>
      </c>
      <c r="W2052" s="19"/>
      <c r="X2052" s="19"/>
      <c r="Y2052" s="19"/>
      <c r="Z2052" s="19"/>
      <c r="AA2052" s="19"/>
      <c r="AB2052" s="19"/>
      <c r="AC2052" s="19"/>
      <c r="AD2052" s="19"/>
      <c r="AE2052" s="19"/>
      <c r="AF2052" s="19"/>
      <c r="AG2052" s="19"/>
      <c r="AH2052" s="19" t="n">
        <v>12</v>
      </c>
      <c r="AI2052" s="19"/>
      <c r="AJ2052" s="19"/>
      <c r="AK2052" s="19"/>
      <c r="AL2052" s="19" t="n">
        <v>2</v>
      </c>
      <c r="AM2052" s="19" t="n">
        <v>10</v>
      </c>
      <c r="AN2052" s="19"/>
      <c r="AO2052" s="19"/>
      <c r="AP2052" s="19"/>
      <c r="AQ2052" s="19"/>
      <c r="AR2052" s="19"/>
      <c r="AS2052" s="20" t="str">
        <f aca="false">HYPERLINK("http://www.openstreetmap.org/?mlat=32.6219&amp;mlon=43.9892&amp;zoom=12#map=12/32.6219/43.9892","Maplink1")</f>
        <v>Maplink1</v>
      </c>
      <c r="AT2052" s="20" t="str">
        <f aca="false">HYPERLINK("https://www.google.iq/maps/search/+32.6219,43.9892/@32.6219,43.9892,14z?hl=en","Maplink2")</f>
        <v>Maplink2</v>
      </c>
      <c r="AU2052" s="20" t="str">
        <f aca="false">HYPERLINK("http://www.bing.com/maps/?lvl=14&amp;sty=h&amp;cp=32.6219~43.9892&amp;sp=point.32.6219_43.9892","Maplink3")</f>
        <v>Maplink3</v>
      </c>
    </row>
    <row r="2053" customFormat="false" ht="15" hidden="false" customHeight="true" outlineLevel="0" collapsed="false">
      <c r="A2053" s="15" t="n">
        <v>25350</v>
      </c>
      <c r="B2053" s="16" t="s">
        <v>22</v>
      </c>
      <c r="C2053" s="16" t="s">
        <v>22</v>
      </c>
      <c r="D2053" s="16" t="s">
        <v>4040</v>
      </c>
      <c r="E2053" s="17" t="s">
        <v>4041</v>
      </c>
      <c r="F2053" s="16" t="n">
        <v>32.62509235</v>
      </c>
      <c r="G2053" s="16" t="n">
        <v>43.99036012</v>
      </c>
      <c r="H2053" s="18" t="n">
        <v>2</v>
      </c>
      <c r="I2053" s="18" t="n">
        <v>12</v>
      </c>
      <c r="J2053" s="19" t="n">
        <v>2</v>
      </c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  <c r="AD2053" s="19"/>
      <c r="AE2053" s="19"/>
      <c r="AF2053" s="19"/>
      <c r="AG2053" s="19"/>
      <c r="AH2053" s="19" t="n">
        <v>2</v>
      </c>
      <c r="AI2053" s="19"/>
      <c r="AJ2053" s="19"/>
      <c r="AK2053" s="19"/>
      <c r="AL2053" s="19"/>
      <c r="AM2053" s="19"/>
      <c r="AN2053" s="19" t="n">
        <v>2</v>
      </c>
      <c r="AO2053" s="19"/>
      <c r="AP2053" s="19"/>
      <c r="AQ2053" s="19"/>
      <c r="AR2053" s="19"/>
      <c r="AS2053" s="20" t="str">
        <f aca="false">HYPERLINK("http://www.openstreetmap.org/?mlat=32.6251&amp;mlon=43.9904&amp;zoom=12#map=12/32.6251/43.9904","Maplink1")</f>
        <v>Maplink1</v>
      </c>
      <c r="AT2053" s="20" t="str">
        <f aca="false">HYPERLINK("https://www.google.iq/maps/search/+32.6251,43.9904/@32.6251,43.9904,14z?hl=en","Maplink2")</f>
        <v>Maplink2</v>
      </c>
      <c r="AU2053" s="20" t="str">
        <f aca="false">HYPERLINK("http://www.bing.com/maps/?lvl=14&amp;sty=h&amp;cp=32.6251~43.9904&amp;sp=point.32.6251_43.9904","Maplink3")</f>
        <v>Maplink3</v>
      </c>
    </row>
    <row r="2054" customFormat="false" ht="15" hidden="false" customHeight="true" outlineLevel="0" collapsed="false">
      <c r="A2054" s="15" t="n">
        <v>25351</v>
      </c>
      <c r="B2054" s="16" t="s">
        <v>22</v>
      </c>
      <c r="C2054" s="16" t="s">
        <v>22</v>
      </c>
      <c r="D2054" s="16" t="s">
        <v>4042</v>
      </c>
      <c r="E2054" s="17" t="s">
        <v>4043</v>
      </c>
      <c r="F2054" s="16" t="n">
        <v>32.62645936</v>
      </c>
      <c r="G2054" s="16" t="n">
        <v>43.98573582</v>
      </c>
      <c r="H2054" s="18" t="n">
        <v>10</v>
      </c>
      <c r="I2054" s="18" t="n">
        <v>60</v>
      </c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 t="n">
        <v>10</v>
      </c>
      <c r="W2054" s="19"/>
      <c r="X2054" s="19"/>
      <c r="Y2054" s="19"/>
      <c r="Z2054" s="19"/>
      <c r="AA2054" s="19"/>
      <c r="AB2054" s="19"/>
      <c r="AC2054" s="19"/>
      <c r="AD2054" s="19"/>
      <c r="AE2054" s="19"/>
      <c r="AF2054" s="19"/>
      <c r="AG2054" s="19"/>
      <c r="AH2054" s="19" t="n">
        <v>10</v>
      </c>
      <c r="AI2054" s="19"/>
      <c r="AJ2054" s="19"/>
      <c r="AK2054" s="19"/>
      <c r="AL2054" s="19"/>
      <c r="AM2054" s="19" t="n">
        <v>10</v>
      </c>
      <c r="AN2054" s="19"/>
      <c r="AO2054" s="19"/>
      <c r="AP2054" s="19"/>
      <c r="AQ2054" s="19"/>
      <c r="AR2054" s="19"/>
      <c r="AS2054" s="20" t="str">
        <f aca="false">HYPERLINK("http://www.openstreetmap.org/?mlat=32.6265&amp;mlon=43.9857&amp;zoom=12#map=12/32.6265/43.9857","Maplink1")</f>
        <v>Maplink1</v>
      </c>
      <c r="AT2054" s="20" t="str">
        <f aca="false">HYPERLINK("https://www.google.iq/maps/search/+32.6265,43.9857/@32.6265,43.9857,14z?hl=en","Maplink2")</f>
        <v>Maplink2</v>
      </c>
      <c r="AU2054" s="20" t="str">
        <f aca="false">HYPERLINK("http://www.bing.com/maps/?lvl=14&amp;sty=h&amp;cp=32.6265~43.9857&amp;sp=point.32.6265_43.9857","Maplink3")</f>
        <v>Maplink3</v>
      </c>
    </row>
    <row r="2055" customFormat="false" ht="15" hidden="false" customHeight="true" outlineLevel="0" collapsed="false">
      <c r="A2055" s="15" t="n">
        <v>25352</v>
      </c>
      <c r="B2055" s="16" t="s">
        <v>22</v>
      </c>
      <c r="C2055" s="16" t="s">
        <v>22</v>
      </c>
      <c r="D2055" s="16" t="s">
        <v>4044</v>
      </c>
      <c r="E2055" s="17" t="s">
        <v>4045</v>
      </c>
      <c r="F2055" s="16" t="n">
        <v>32.62936193</v>
      </c>
      <c r="G2055" s="16" t="n">
        <v>43.98379331</v>
      </c>
      <c r="H2055" s="18" t="n">
        <v>2</v>
      </c>
      <c r="I2055" s="18" t="n">
        <v>12</v>
      </c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 t="n">
        <v>2</v>
      </c>
      <c r="W2055" s="19"/>
      <c r="X2055" s="19"/>
      <c r="Y2055" s="19"/>
      <c r="Z2055" s="19"/>
      <c r="AA2055" s="19"/>
      <c r="AB2055" s="19"/>
      <c r="AC2055" s="19"/>
      <c r="AD2055" s="19"/>
      <c r="AE2055" s="19"/>
      <c r="AF2055" s="19"/>
      <c r="AG2055" s="19"/>
      <c r="AH2055" s="19" t="n">
        <v>2</v>
      </c>
      <c r="AI2055" s="19"/>
      <c r="AJ2055" s="19"/>
      <c r="AK2055" s="19"/>
      <c r="AL2055" s="19"/>
      <c r="AM2055" s="19" t="n">
        <v>2</v>
      </c>
      <c r="AN2055" s="19"/>
      <c r="AO2055" s="19"/>
      <c r="AP2055" s="19"/>
      <c r="AQ2055" s="19"/>
      <c r="AR2055" s="19"/>
      <c r="AS2055" s="20" t="str">
        <f aca="false">HYPERLINK("http://www.openstreetmap.org/?mlat=32.6294&amp;mlon=43.9838&amp;zoom=12#map=12/32.6294/43.9838","Maplink1")</f>
        <v>Maplink1</v>
      </c>
      <c r="AT2055" s="20" t="str">
        <f aca="false">HYPERLINK("https://www.google.iq/maps/search/+32.6294,43.9838/@32.6294,43.9838,14z?hl=en","Maplink2")</f>
        <v>Maplink2</v>
      </c>
      <c r="AU2055" s="20" t="str">
        <f aca="false">HYPERLINK("http://www.bing.com/maps/?lvl=14&amp;sty=h&amp;cp=32.6294~43.9838&amp;sp=point.32.6294_43.9838","Maplink3")</f>
        <v>Maplink3</v>
      </c>
    </row>
    <row r="2056" customFormat="false" ht="15" hidden="false" customHeight="true" outlineLevel="0" collapsed="false">
      <c r="A2056" s="15" t="n">
        <v>25353</v>
      </c>
      <c r="B2056" s="16" t="s">
        <v>22</v>
      </c>
      <c r="C2056" s="16" t="s">
        <v>22</v>
      </c>
      <c r="D2056" s="16" t="s">
        <v>4046</v>
      </c>
      <c r="E2056" s="17" t="s">
        <v>4047</v>
      </c>
      <c r="F2056" s="16" t="n">
        <v>32.63038448</v>
      </c>
      <c r="G2056" s="16" t="n">
        <v>43.98199271</v>
      </c>
      <c r="H2056" s="18" t="n">
        <v>5</v>
      </c>
      <c r="I2056" s="18" t="n">
        <v>30</v>
      </c>
      <c r="J2056" s="19" t="n">
        <v>2</v>
      </c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 t="n">
        <v>3</v>
      </c>
      <c r="W2056" s="19"/>
      <c r="X2056" s="19"/>
      <c r="Y2056" s="19"/>
      <c r="Z2056" s="19"/>
      <c r="AA2056" s="19"/>
      <c r="AB2056" s="19"/>
      <c r="AC2056" s="19"/>
      <c r="AD2056" s="19"/>
      <c r="AE2056" s="19"/>
      <c r="AF2056" s="19"/>
      <c r="AG2056" s="19"/>
      <c r="AH2056" s="19" t="n">
        <v>5</v>
      </c>
      <c r="AI2056" s="19"/>
      <c r="AJ2056" s="19"/>
      <c r="AK2056" s="19"/>
      <c r="AL2056" s="19"/>
      <c r="AM2056" s="19" t="n">
        <v>3</v>
      </c>
      <c r="AN2056" s="19" t="n">
        <v>2</v>
      </c>
      <c r="AO2056" s="19"/>
      <c r="AP2056" s="19"/>
      <c r="AQ2056" s="19"/>
      <c r="AR2056" s="19"/>
      <c r="AS2056" s="20" t="str">
        <f aca="false">HYPERLINK("http://www.openstreetmap.org/?mlat=32.6304&amp;mlon=43.982&amp;zoom=12#map=12/32.6304/43.982","Maplink1")</f>
        <v>Maplink1</v>
      </c>
      <c r="AT2056" s="20" t="str">
        <f aca="false">HYPERLINK("https://www.google.iq/maps/search/+32.6304,43.982/@32.6304,43.982,14z?hl=en","Maplink2")</f>
        <v>Maplink2</v>
      </c>
      <c r="AU2056" s="20" t="str">
        <f aca="false">HYPERLINK("http://www.bing.com/maps/?lvl=14&amp;sty=h&amp;cp=32.6304~43.982&amp;sp=point.32.6304_43.982","Maplink3")</f>
        <v>Maplink3</v>
      </c>
    </row>
    <row r="2057" customFormat="false" ht="15" hidden="false" customHeight="true" outlineLevel="0" collapsed="false">
      <c r="A2057" s="15" t="n">
        <v>23495</v>
      </c>
      <c r="B2057" s="16" t="s">
        <v>22</v>
      </c>
      <c r="C2057" s="16" t="s">
        <v>22</v>
      </c>
      <c r="D2057" s="16" t="s">
        <v>4048</v>
      </c>
      <c r="E2057" s="17" t="s">
        <v>4049</v>
      </c>
      <c r="F2057" s="16" t="n">
        <v>32.6224139985</v>
      </c>
      <c r="G2057" s="16" t="n">
        <v>43.9888251387</v>
      </c>
      <c r="H2057" s="18" t="n">
        <v>5</v>
      </c>
      <c r="I2057" s="18" t="n">
        <v>30</v>
      </c>
      <c r="J2057" s="19" t="n">
        <v>5</v>
      </c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  <c r="AD2057" s="19"/>
      <c r="AE2057" s="19"/>
      <c r="AF2057" s="19"/>
      <c r="AG2057" s="19"/>
      <c r="AH2057" s="19" t="n">
        <v>5</v>
      </c>
      <c r="AI2057" s="19"/>
      <c r="AJ2057" s="19"/>
      <c r="AK2057" s="19"/>
      <c r="AL2057" s="19" t="n">
        <v>5</v>
      </c>
      <c r="AM2057" s="19"/>
      <c r="AN2057" s="19"/>
      <c r="AO2057" s="19"/>
      <c r="AP2057" s="19"/>
      <c r="AQ2057" s="19"/>
      <c r="AR2057" s="19"/>
      <c r="AS2057" s="20" t="str">
        <f aca="false">HYPERLINK("http://www.openstreetmap.org/?mlat=32.6224&amp;mlon=43.9888&amp;zoom=12#map=12/32.6224/43.9888","Maplink1")</f>
        <v>Maplink1</v>
      </c>
      <c r="AT2057" s="20" t="str">
        <f aca="false">HYPERLINK("https://www.google.iq/maps/search/+32.6224,43.9888/@32.6224,43.9888,14z?hl=en","Maplink2")</f>
        <v>Maplink2</v>
      </c>
      <c r="AU2057" s="20" t="str">
        <f aca="false">HYPERLINK("http://www.bing.com/maps/?lvl=14&amp;sty=h&amp;cp=32.6224~43.9888&amp;sp=point.32.6224_43.9888","Maplink3")</f>
        <v>Maplink3</v>
      </c>
    </row>
    <row r="2058" customFormat="false" ht="15" hidden="false" customHeight="true" outlineLevel="0" collapsed="false">
      <c r="A2058" s="15" t="n">
        <v>23594</v>
      </c>
      <c r="B2058" s="16" t="s">
        <v>22</v>
      </c>
      <c r="C2058" s="16" t="s">
        <v>22</v>
      </c>
      <c r="D2058" s="16" t="s">
        <v>4050</v>
      </c>
      <c r="E2058" s="17" t="s">
        <v>4051</v>
      </c>
      <c r="F2058" s="16" t="n">
        <v>32.58120068</v>
      </c>
      <c r="G2058" s="16" t="n">
        <v>43.99543393</v>
      </c>
      <c r="H2058" s="18" t="n">
        <v>15</v>
      </c>
      <c r="I2058" s="18" t="n">
        <v>90</v>
      </c>
      <c r="J2058" s="19" t="n">
        <v>2</v>
      </c>
      <c r="K2058" s="19"/>
      <c r="L2058" s="19"/>
      <c r="M2058" s="19"/>
      <c r="N2058" s="19"/>
      <c r="O2058" s="19" t="n">
        <v>2</v>
      </c>
      <c r="P2058" s="19"/>
      <c r="Q2058" s="19"/>
      <c r="R2058" s="19"/>
      <c r="S2058" s="19"/>
      <c r="T2058" s="19"/>
      <c r="U2058" s="19"/>
      <c r="V2058" s="19" t="n">
        <v>11</v>
      </c>
      <c r="W2058" s="19"/>
      <c r="X2058" s="19"/>
      <c r="Y2058" s="19"/>
      <c r="Z2058" s="19"/>
      <c r="AA2058" s="19"/>
      <c r="AB2058" s="19"/>
      <c r="AC2058" s="19" t="n">
        <v>2</v>
      </c>
      <c r="AD2058" s="19"/>
      <c r="AE2058" s="19"/>
      <c r="AF2058" s="19"/>
      <c r="AG2058" s="19"/>
      <c r="AH2058" s="19" t="n">
        <v>13</v>
      </c>
      <c r="AI2058" s="19"/>
      <c r="AJ2058" s="19"/>
      <c r="AK2058" s="19"/>
      <c r="AL2058" s="19" t="n">
        <v>2</v>
      </c>
      <c r="AM2058" s="19" t="n">
        <v>11</v>
      </c>
      <c r="AN2058" s="19" t="n">
        <v>2</v>
      </c>
      <c r="AO2058" s="19"/>
      <c r="AP2058" s="19"/>
      <c r="AQ2058" s="19"/>
      <c r="AR2058" s="19"/>
      <c r="AS2058" s="20" t="str">
        <f aca="false">HYPERLINK("http://www.openstreetmap.org/?mlat=32.5812&amp;mlon=43.9954&amp;zoom=12#map=12/32.5812/43.9954","Maplink1")</f>
        <v>Maplink1</v>
      </c>
      <c r="AT2058" s="20" t="str">
        <f aca="false">HYPERLINK("https://www.google.iq/maps/search/+32.5812,43.9954/@32.5812,43.9954,14z?hl=en","Maplink2")</f>
        <v>Maplink2</v>
      </c>
      <c r="AU2058" s="20" t="str">
        <f aca="false">HYPERLINK("http://www.bing.com/maps/?lvl=14&amp;sty=h&amp;cp=32.5812~43.9954&amp;sp=point.32.5812_43.9954","Maplink3")</f>
        <v>Maplink3</v>
      </c>
    </row>
    <row r="2059" customFormat="false" ht="15" hidden="false" customHeight="true" outlineLevel="0" collapsed="false">
      <c r="A2059" s="15" t="n">
        <v>25063</v>
      </c>
      <c r="B2059" s="16" t="s">
        <v>22</v>
      </c>
      <c r="C2059" s="16" t="s">
        <v>22</v>
      </c>
      <c r="D2059" s="16" t="s">
        <v>4052</v>
      </c>
      <c r="E2059" s="17" t="s">
        <v>572</v>
      </c>
      <c r="F2059" s="16" t="n">
        <v>32.60084024</v>
      </c>
      <c r="G2059" s="16" t="n">
        <v>44.01704726</v>
      </c>
      <c r="H2059" s="18" t="n">
        <v>14</v>
      </c>
      <c r="I2059" s="18" t="n">
        <v>84</v>
      </c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 t="n">
        <v>14</v>
      </c>
      <c r="W2059" s="19"/>
      <c r="X2059" s="19"/>
      <c r="Y2059" s="19"/>
      <c r="Z2059" s="19"/>
      <c r="AA2059" s="19"/>
      <c r="AB2059" s="19"/>
      <c r="AC2059" s="19"/>
      <c r="AD2059" s="19"/>
      <c r="AE2059" s="19"/>
      <c r="AF2059" s="19"/>
      <c r="AG2059" s="19"/>
      <c r="AH2059" s="19" t="n">
        <v>14</v>
      </c>
      <c r="AI2059" s="19"/>
      <c r="AJ2059" s="19"/>
      <c r="AK2059" s="19"/>
      <c r="AL2059" s="19"/>
      <c r="AM2059" s="19" t="n">
        <v>14</v>
      </c>
      <c r="AN2059" s="19"/>
      <c r="AO2059" s="19"/>
      <c r="AP2059" s="19"/>
      <c r="AQ2059" s="19"/>
      <c r="AR2059" s="19"/>
      <c r="AS2059" s="20" t="str">
        <f aca="false">HYPERLINK("http://www.openstreetmap.org/?mlat=32.6008&amp;mlon=44.017&amp;zoom=12#map=12/32.6008/44.017","Maplink1")</f>
        <v>Maplink1</v>
      </c>
      <c r="AT2059" s="20" t="str">
        <f aca="false">HYPERLINK("https://www.google.iq/maps/search/+32.6008,44.017/@32.6008,44.017,14z?hl=en","Maplink2")</f>
        <v>Maplink2</v>
      </c>
      <c r="AU2059" s="20" t="str">
        <f aca="false">HYPERLINK("http://www.bing.com/maps/?lvl=14&amp;sty=h&amp;cp=32.6008~44.017&amp;sp=point.32.6008_44.017","Maplink3")</f>
        <v>Maplink3</v>
      </c>
    </row>
    <row r="2060" customFormat="false" ht="15" hidden="false" customHeight="true" outlineLevel="0" collapsed="false">
      <c r="A2060" s="15" t="n">
        <v>25266</v>
      </c>
      <c r="B2060" s="16" t="s">
        <v>22</v>
      </c>
      <c r="C2060" s="16" t="s">
        <v>22</v>
      </c>
      <c r="D2060" s="16" t="s">
        <v>4053</v>
      </c>
      <c r="E2060" s="17" t="s">
        <v>2668</v>
      </c>
      <c r="F2060" s="16" t="n">
        <v>32.62071059</v>
      </c>
      <c r="G2060" s="16" t="n">
        <v>44.04672925</v>
      </c>
      <c r="H2060" s="18" t="n">
        <v>60</v>
      </c>
      <c r="I2060" s="18" t="n">
        <v>360</v>
      </c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 t="n">
        <v>60</v>
      </c>
      <c r="W2060" s="19"/>
      <c r="X2060" s="19"/>
      <c r="Y2060" s="19"/>
      <c r="Z2060" s="19"/>
      <c r="AA2060" s="19"/>
      <c r="AB2060" s="19"/>
      <c r="AC2060" s="19"/>
      <c r="AD2060" s="19"/>
      <c r="AE2060" s="19"/>
      <c r="AF2060" s="19"/>
      <c r="AG2060" s="19" t="n">
        <v>3</v>
      </c>
      <c r="AH2060" s="19" t="n">
        <v>57</v>
      </c>
      <c r="AI2060" s="19"/>
      <c r="AJ2060" s="19"/>
      <c r="AK2060" s="19"/>
      <c r="AL2060" s="19"/>
      <c r="AM2060" s="19" t="n">
        <v>60</v>
      </c>
      <c r="AN2060" s="19"/>
      <c r="AO2060" s="19"/>
      <c r="AP2060" s="19"/>
      <c r="AQ2060" s="19"/>
      <c r="AR2060" s="19"/>
      <c r="AS2060" s="20" t="str">
        <f aca="false">HYPERLINK("http://www.openstreetmap.org/?mlat=32.6207&amp;mlon=44.0467&amp;zoom=12#map=12/32.6207/44.0467","Maplink1")</f>
        <v>Maplink1</v>
      </c>
      <c r="AT2060" s="20" t="str">
        <f aca="false">HYPERLINK("https://www.google.iq/maps/search/+32.6207,44.0467/@32.6207,44.0467,14z?hl=en","Maplink2")</f>
        <v>Maplink2</v>
      </c>
      <c r="AU2060" s="20" t="str">
        <f aca="false">HYPERLINK("http://www.bing.com/maps/?lvl=14&amp;sty=h&amp;cp=32.6207~44.0467&amp;sp=point.32.6207_44.0467","Maplink3")</f>
        <v>Maplink3</v>
      </c>
    </row>
    <row r="2061" customFormat="false" ht="15" hidden="false" customHeight="true" outlineLevel="0" collapsed="false">
      <c r="A2061" s="15" t="n">
        <v>22087</v>
      </c>
      <c r="B2061" s="16" t="s">
        <v>22</v>
      </c>
      <c r="C2061" s="16" t="s">
        <v>22</v>
      </c>
      <c r="D2061" s="16" t="s">
        <v>4054</v>
      </c>
      <c r="E2061" s="17" t="s">
        <v>575</v>
      </c>
      <c r="F2061" s="16" t="n">
        <v>32.5917369</v>
      </c>
      <c r="G2061" s="16" t="n">
        <v>44.04660973</v>
      </c>
      <c r="H2061" s="18" t="n">
        <v>28</v>
      </c>
      <c r="I2061" s="18" t="n">
        <v>168</v>
      </c>
      <c r="J2061" s="19" t="n">
        <v>1</v>
      </c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 t="n">
        <v>27</v>
      </c>
      <c r="W2061" s="19"/>
      <c r="X2061" s="19"/>
      <c r="Y2061" s="19"/>
      <c r="Z2061" s="19"/>
      <c r="AA2061" s="19"/>
      <c r="AB2061" s="19"/>
      <c r="AC2061" s="19"/>
      <c r="AD2061" s="19"/>
      <c r="AE2061" s="19"/>
      <c r="AF2061" s="19"/>
      <c r="AG2061" s="19" t="n">
        <v>1</v>
      </c>
      <c r="AH2061" s="19" t="n">
        <v>27</v>
      </c>
      <c r="AI2061" s="19"/>
      <c r="AJ2061" s="19"/>
      <c r="AK2061" s="19"/>
      <c r="AL2061" s="19"/>
      <c r="AM2061" s="19" t="n">
        <v>28</v>
      </c>
      <c r="AN2061" s="19"/>
      <c r="AO2061" s="19"/>
      <c r="AP2061" s="19"/>
      <c r="AQ2061" s="19"/>
      <c r="AR2061" s="19"/>
      <c r="AS2061" s="20" t="str">
        <f aca="false">HYPERLINK("http://www.openstreetmap.org/?mlat=32.5917&amp;mlon=44.0466&amp;zoom=12#map=12/32.5917/44.0466","Maplink1")</f>
        <v>Maplink1</v>
      </c>
      <c r="AT2061" s="20" t="str">
        <f aca="false">HYPERLINK("https://www.google.iq/maps/search/+32.5917,44.0466/@32.5917,44.0466,14z?hl=en","Maplink2")</f>
        <v>Maplink2</v>
      </c>
      <c r="AU2061" s="20" t="str">
        <f aca="false">HYPERLINK("http://www.bing.com/maps/?lvl=14&amp;sty=h&amp;cp=32.5917~44.0466&amp;sp=point.32.5917_44.0466","Maplink3")</f>
        <v>Maplink3</v>
      </c>
    </row>
    <row r="2062" customFormat="false" ht="15" hidden="false" customHeight="true" outlineLevel="0" collapsed="false">
      <c r="A2062" s="15" t="n">
        <v>22716</v>
      </c>
      <c r="B2062" s="16" t="s">
        <v>22</v>
      </c>
      <c r="C2062" s="16" t="s">
        <v>22</v>
      </c>
      <c r="D2062" s="16" t="s">
        <v>2016</v>
      </c>
      <c r="E2062" s="17" t="s">
        <v>2017</v>
      </c>
      <c r="F2062" s="16" t="n">
        <v>32.63719792</v>
      </c>
      <c r="G2062" s="16" t="n">
        <v>43.99174523</v>
      </c>
      <c r="H2062" s="18" t="n">
        <v>9</v>
      </c>
      <c r="I2062" s="18" t="n">
        <v>54</v>
      </c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 t="n">
        <v>9</v>
      </c>
      <c r="W2062" s="19"/>
      <c r="X2062" s="19"/>
      <c r="Y2062" s="19"/>
      <c r="Z2062" s="19"/>
      <c r="AA2062" s="19"/>
      <c r="AB2062" s="19"/>
      <c r="AC2062" s="19"/>
      <c r="AD2062" s="19"/>
      <c r="AE2062" s="19"/>
      <c r="AF2062" s="19"/>
      <c r="AG2062" s="19"/>
      <c r="AH2062" s="19" t="n">
        <v>9</v>
      </c>
      <c r="AI2062" s="19"/>
      <c r="AJ2062" s="19"/>
      <c r="AK2062" s="19"/>
      <c r="AL2062" s="19"/>
      <c r="AM2062" s="19" t="n">
        <v>9</v>
      </c>
      <c r="AN2062" s="19"/>
      <c r="AO2062" s="19"/>
      <c r="AP2062" s="19"/>
      <c r="AQ2062" s="19"/>
      <c r="AR2062" s="19"/>
      <c r="AS2062" s="20" t="str">
        <f aca="false">HYPERLINK("http://www.openstreetmap.org/?mlat=32.6372&amp;mlon=43.9917&amp;zoom=12#map=12/32.6372/43.9917","Maplink1")</f>
        <v>Maplink1</v>
      </c>
      <c r="AT2062" s="20" t="str">
        <f aca="false">HYPERLINK("https://www.google.iq/maps/search/+32.6372,43.9917/@32.6372,43.9917,14z?hl=en","Maplink2")</f>
        <v>Maplink2</v>
      </c>
      <c r="AU2062" s="20" t="str">
        <f aca="false">HYPERLINK("http://www.bing.com/maps/?lvl=14&amp;sty=h&amp;cp=32.6372~43.9917&amp;sp=point.32.6372_43.9917","Maplink3")</f>
        <v>Maplink3</v>
      </c>
    </row>
    <row r="2063" customFormat="false" ht="15" hidden="false" customHeight="true" outlineLevel="0" collapsed="false">
      <c r="A2063" s="15" t="n">
        <v>25888</v>
      </c>
      <c r="B2063" s="16" t="s">
        <v>22</v>
      </c>
      <c r="C2063" s="16" t="s">
        <v>22</v>
      </c>
      <c r="D2063" s="16" t="s">
        <v>4055</v>
      </c>
      <c r="E2063" s="17" t="s">
        <v>4056</v>
      </c>
      <c r="F2063" s="16" t="n">
        <v>32.60206047</v>
      </c>
      <c r="G2063" s="16" t="n">
        <v>43.97931185</v>
      </c>
      <c r="H2063" s="18" t="n">
        <v>2</v>
      </c>
      <c r="I2063" s="18" t="n">
        <v>12</v>
      </c>
      <c r="J2063" s="19"/>
      <c r="K2063" s="19"/>
      <c r="L2063" s="19"/>
      <c r="M2063" s="19"/>
      <c r="N2063" s="19"/>
      <c r="O2063" s="19"/>
      <c r="P2063" s="19"/>
      <c r="Q2063" s="19"/>
      <c r="R2063" s="19" t="n">
        <v>1</v>
      </c>
      <c r="S2063" s="19"/>
      <c r="T2063" s="19"/>
      <c r="U2063" s="19"/>
      <c r="V2063" s="19" t="n">
        <v>1</v>
      </c>
      <c r="W2063" s="19"/>
      <c r="X2063" s="19"/>
      <c r="Y2063" s="19"/>
      <c r="Z2063" s="19"/>
      <c r="AA2063" s="19"/>
      <c r="AB2063" s="19"/>
      <c r="AC2063" s="19"/>
      <c r="AD2063" s="19"/>
      <c r="AE2063" s="19"/>
      <c r="AF2063" s="19"/>
      <c r="AG2063" s="19"/>
      <c r="AH2063" s="19" t="n">
        <v>2</v>
      </c>
      <c r="AI2063" s="19"/>
      <c r="AJ2063" s="19"/>
      <c r="AK2063" s="19"/>
      <c r="AL2063" s="19"/>
      <c r="AM2063" s="19" t="n">
        <v>2</v>
      </c>
      <c r="AN2063" s="19"/>
      <c r="AO2063" s="19"/>
      <c r="AP2063" s="19"/>
      <c r="AQ2063" s="19"/>
      <c r="AR2063" s="19"/>
      <c r="AS2063" s="20" t="str">
        <f aca="false">HYPERLINK("http://www.openstreetmap.org/?mlat=32.6021&amp;mlon=43.9793&amp;zoom=12#map=12/32.6021/43.9793","Maplink1")</f>
        <v>Maplink1</v>
      </c>
      <c r="AT2063" s="20" t="str">
        <f aca="false">HYPERLINK("https://www.google.iq/maps/search/+32.6021,43.9793/@32.6021,43.9793,14z?hl=en","Maplink2")</f>
        <v>Maplink2</v>
      </c>
      <c r="AU2063" s="20" t="str">
        <f aca="false">HYPERLINK("http://www.bing.com/maps/?lvl=14&amp;sty=h&amp;cp=32.6021~43.9793&amp;sp=point.32.6021_43.9793","Maplink3")</f>
        <v>Maplink3</v>
      </c>
    </row>
    <row r="2064" customFormat="false" ht="15" hidden="false" customHeight="true" outlineLevel="0" collapsed="false">
      <c r="A2064" s="15" t="n">
        <v>25062</v>
      </c>
      <c r="B2064" s="16" t="s">
        <v>22</v>
      </c>
      <c r="C2064" s="16" t="s">
        <v>22</v>
      </c>
      <c r="D2064" s="16" t="s">
        <v>4057</v>
      </c>
      <c r="E2064" s="17" t="s">
        <v>465</v>
      </c>
      <c r="F2064" s="16" t="n">
        <v>32.64960498</v>
      </c>
      <c r="G2064" s="16" t="n">
        <v>43.98747347</v>
      </c>
      <c r="H2064" s="18" t="n">
        <v>14</v>
      </c>
      <c r="I2064" s="18" t="n">
        <v>84</v>
      </c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 t="n">
        <v>14</v>
      </c>
      <c r="W2064" s="19"/>
      <c r="X2064" s="19"/>
      <c r="Y2064" s="19"/>
      <c r="Z2064" s="19"/>
      <c r="AA2064" s="19"/>
      <c r="AB2064" s="19"/>
      <c r="AC2064" s="19"/>
      <c r="AD2064" s="19"/>
      <c r="AE2064" s="19"/>
      <c r="AF2064" s="19"/>
      <c r="AG2064" s="19"/>
      <c r="AH2064" s="19" t="n">
        <v>14</v>
      </c>
      <c r="AI2064" s="19"/>
      <c r="AJ2064" s="19"/>
      <c r="AK2064" s="19"/>
      <c r="AL2064" s="19"/>
      <c r="AM2064" s="19" t="n">
        <v>14</v>
      </c>
      <c r="AN2064" s="19"/>
      <c r="AO2064" s="19"/>
      <c r="AP2064" s="19"/>
      <c r="AQ2064" s="19"/>
      <c r="AR2064" s="19"/>
      <c r="AS2064" s="20" t="str">
        <f aca="false">HYPERLINK("http://www.openstreetmap.org/?mlat=32.6496&amp;mlon=43.9875&amp;zoom=12#map=12/32.6496/43.9875","Maplink1")</f>
        <v>Maplink1</v>
      </c>
      <c r="AT2064" s="20" t="str">
        <f aca="false">HYPERLINK("https://www.google.iq/maps/search/+32.6496,43.9875/@32.6496,43.9875,14z?hl=en","Maplink2")</f>
        <v>Maplink2</v>
      </c>
      <c r="AU2064" s="20" t="str">
        <f aca="false">HYPERLINK("http://www.bing.com/maps/?lvl=14&amp;sty=h&amp;cp=32.6496~43.9875&amp;sp=point.32.6496_43.9875","Maplink3")</f>
        <v>Maplink3</v>
      </c>
    </row>
    <row r="2065" customFormat="false" ht="15" hidden="false" customHeight="true" outlineLevel="0" collapsed="false">
      <c r="A2065" s="15" t="n">
        <v>25267</v>
      </c>
      <c r="B2065" s="16" t="s">
        <v>22</v>
      </c>
      <c r="C2065" s="16" t="s">
        <v>22</v>
      </c>
      <c r="D2065" s="16" t="s">
        <v>4058</v>
      </c>
      <c r="E2065" s="17" t="s">
        <v>964</v>
      </c>
      <c r="F2065" s="16" t="n">
        <v>32.61589464</v>
      </c>
      <c r="G2065" s="16" t="n">
        <v>44.04303476</v>
      </c>
      <c r="H2065" s="18" t="n">
        <v>32</v>
      </c>
      <c r="I2065" s="18" t="n">
        <v>192</v>
      </c>
      <c r="J2065" s="19" t="n">
        <v>4</v>
      </c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 t="n">
        <v>28</v>
      </c>
      <c r="W2065" s="19"/>
      <c r="X2065" s="19"/>
      <c r="Y2065" s="19"/>
      <c r="Z2065" s="19"/>
      <c r="AA2065" s="19"/>
      <c r="AB2065" s="19"/>
      <c r="AC2065" s="19"/>
      <c r="AD2065" s="19" t="n">
        <v>5</v>
      </c>
      <c r="AE2065" s="19"/>
      <c r="AF2065" s="19"/>
      <c r="AG2065" s="19"/>
      <c r="AH2065" s="19" t="n">
        <v>27</v>
      </c>
      <c r="AI2065" s="19"/>
      <c r="AJ2065" s="19"/>
      <c r="AK2065" s="19"/>
      <c r="AL2065" s="19"/>
      <c r="AM2065" s="19" t="n">
        <v>30</v>
      </c>
      <c r="AN2065" s="19"/>
      <c r="AO2065" s="19"/>
      <c r="AP2065" s="19" t="n">
        <v>2</v>
      </c>
      <c r="AQ2065" s="19"/>
      <c r="AR2065" s="19"/>
      <c r="AS2065" s="20" t="str">
        <f aca="false">HYPERLINK("http://www.openstreetmap.org/?mlat=32.6159&amp;mlon=44.043&amp;zoom=12#map=12/32.6159/44.043","Maplink1")</f>
        <v>Maplink1</v>
      </c>
      <c r="AT2065" s="20" t="str">
        <f aca="false">HYPERLINK("https://www.google.iq/maps/search/+32.6159,44.043/@32.6159,44.043,14z?hl=en","Maplink2")</f>
        <v>Maplink2</v>
      </c>
      <c r="AU2065" s="20" t="str">
        <f aca="false">HYPERLINK("http://www.bing.com/maps/?lvl=14&amp;sty=h&amp;cp=32.6159~44.043&amp;sp=point.32.6159_44.043","Maplink3")</f>
        <v>Maplink3</v>
      </c>
    </row>
    <row r="2066" customFormat="false" ht="15" hidden="false" customHeight="true" outlineLevel="0" collapsed="false">
      <c r="A2066" s="15" t="n">
        <v>25555</v>
      </c>
      <c r="B2066" s="16" t="s">
        <v>22</v>
      </c>
      <c r="C2066" s="16" t="s">
        <v>22</v>
      </c>
      <c r="D2066" s="16" t="s">
        <v>4059</v>
      </c>
      <c r="E2066" s="17" t="s">
        <v>4060</v>
      </c>
      <c r="F2066" s="16" t="n">
        <v>32.60995723</v>
      </c>
      <c r="G2066" s="16" t="n">
        <v>43.973384</v>
      </c>
      <c r="H2066" s="18" t="n">
        <v>21</v>
      </c>
      <c r="I2066" s="18" t="n">
        <v>126</v>
      </c>
      <c r="J2066" s="19" t="n">
        <v>3</v>
      </c>
      <c r="K2066" s="19"/>
      <c r="L2066" s="19"/>
      <c r="M2066" s="19"/>
      <c r="N2066" s="19"/>
      <c r="O2066" s="19"/>
      <c r="P2066" s="19"/>
      <c r="Q2066" s="19"/>
      <c r="R2066" s="19" t="n">
        <v>8</v>
      </c>
      <c r="S2066" s="19"/>
      <c r="T2066" s="19"/>
      <c r="U2066" s="19"/>
      <c r="V2066" s="19" t="n">
        <v>8</v>
      </c>
      <c r="W2066" s="19"/>
      <c r="X2066" s="19" t="n">
        <v>2</v>
      </c>
      <c r="Y2066" s="19"/>
      <c r="Z2066" s="19"/>
      <c r="AA2066" s="19"/>
      <c r="AB2066" s="19"/>
      <c r="AC2066" s="19"/>
      <c r="AD2066" s="19"/>
      <c r="AE2066" s="19"/>
      <c r="AF2066" s="19"/>
      <c r="AG2066" s="19"/>
      <c r="AH2066" s="19" t="n">
        <v>21</v>
      </c>
      <c r="AI2066" s="19"/>
      <c r="AJ2066" s="19"/>
      <c r="AK2066" s="19"/>
      <c r="AL2066" s="19" t="n">
        <v>3</v>
      </c>
      <c r="AM2066" s="19" t="n">
        <v>16</v>
      </c>
      <c r="AN2066" s="19" t="n">
        <v>2</v>
      </c>
      <c r="AO2066" s="19"/>
      <c r="AP2066" s="19"/>
      <c r="AQ2066" s="19"/>
      <c r="AR2066" s="19"/>
      <c r="AS2066" s="20" t="str">
        <f aca="false">HYPERLINK("http://www.openstreetmap.org/?mlat=32.61&amp;mlon=43.9734&amp;zoom=12#map=12/32.61/43.9734","Maplink1")</f>
        <v>Maplink1</v>
      </c>
      <c r="AT2066" s="20" t="str">
        <f aca="false">HYPERLINK("https://www.google.iq/maps/search/+32.61,43.9734/@32.61,43.9734,14z?hl=en","Maplink2")</f>
        <v>Maplink2</v>
      </c>
      <c r="AU2066" s="20" t="str">
        <f aca="false">HYPERLINK("http://www.bing.com/maps/?lvl=14&amp;sty=h&amp;cp=32.61~43.9734&amp;sp=point.32.61_43.9734","Maplink3")</f>
        <v>Maplink3</v>
      </c>
    </row>
    <row r="2067" customFormat="false" ht="15" hidden="false" customHeight="true" outlineLevel="0" collapsed="false">
      <c r="A2067" s="15" t="n">
        <v>25261</v>
      </c>
      <c r="B2067" s="16" t="s">
        <v>22</v>
      </c>
      <c r="C2067" s="16" t="s">
        <v>22</v>
      </c>
      <c r="D2067" s="16" t="s">
        <v>4061</v>
      </c>
      <c r="E2067" s="17" t="s">
        <v>230</v>
      </c>
      <c r="F2067" s="16" t="n">
        <v>32.60106106</v>
      </c>
      <c r="G2067" s="16" t="n">
        <v>44.04534917</v>
      </c>
      <c r="H2067" s="18" t="n">
        <v>7</v>
      </c>
      <c r="I2067" s="18" t="n">
        <v>42</v>
      </c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 t="n">
        <v>7</v>
      </c>
      <c r="W2067" s="19"/>
      <c r="X2067" s="19"/>
      <c r="Y2067" s="19"/>
      <c r="Z2067" s="19"/>
      <c r="AA2067" s="19"/>
      <c r="AB2067" s="19"/>
      <c r="AC2067" s="19" t="n">
        <v>1</v>
      </c>
      <c r="AD2067" s="19"/>
      <c r="AE2067" s="19"/>
      <c r="AF2067" s="19"/>
      <c r="AG2067" s="19"/>
      <c r="AH2067" s="19" t="n">
        <v>6</v>
      </c>
      <c r="AI2067" s="19"/>
      <c r="AJ2067" s="19"/>
      <c r="AK2067" s="19"/>
      <c r="AL2067" s="19"/>
      <c r="AM2067" s="19" t="n">
        <v>7</v>
      </c>
      <c r="AN2067" s="19"/>
      <c r="AO2067" s="19"/>
      <c r="AP2067" s="19"/>
      <c r="AQ2067" s="19"/>
      <c r="AR2067" s="19"/>
      <c r="AS2067" s="20" t="str">
        <f aca="false">HYPERLINK("http://www.openstreetmap.org/?mlat=32.6011&amp;mlon=44.0453&amp;zoom=12#map=12/32.6011/44.0453","Maplink1")</f>
        <v>Maplink1</v>
      </c>
      <c r="AT2067" s="20" t="str">
        <f aca="false">HYPERLINK("https://www.google.iq/maps/search/+32.6011,44.0453/@32.6011,44.0453,14z?hl=en","Maplink2")</f>
        <v>Maplink2</v>
      </c>
      <c r="AU2067" s="20" t="str">
        <f aca="false">HYPERLINK("http://www.bing.com/maps/?lvl=14&amp;sty=h&amp;cp=32.6011~44.0453&amp;sp=point.32.6011_44.0453","Maplink3")</f>
        <v>Maplink3</v>
      </c>
    </row>
    <row r="2068" customFormat="false" ht="15" hidden="false" customHeight="true" outlineLevel="0" collapsed="false">
      <c r="A2068" s="15" t="n">
        <v>14134</v>
      </c>
      <c r="B2068" s="16" t="s">
        <v>22</v>
      </c>
      <c r="C2068" s="16" t="s">
        <v>22</v>
      </c>
      <c r="D2068" s="16" t="s">
        <v>4062</v>
      </c>
      <c r="E2068" s="17" t="s">
        <v>584</v>
      </c>
      <c r="F2068" s="16" t="n">
        <v>32.6371757</v>
      </c>
      <c r="G2068" s="16" t="n">
        <v>44.0500127</v>
      </c>
      <c r="H2068" s="18" t="n">
        <v>32</v>
      </c>
      <c r="I2068" s="18" t="n">
        <v>192</v>
      </c>
      <c r="J2068" s="19" t="n">
        <v>1</v>
      </c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 t="n">
        <v>26</v>
      </c>
      <c r="W2068" s="19"/>
      <c r="X2068" s="19" t="n">
        <v>5</v>
      </c>
      <c r="Y2068" s="19"/>
      <c r="Z2068" s="19"/>
      <c r="AA2068" s="19"/>
      <c r="AB2068" s="19"/>
      <c r="AC2068" s="19"/>
      <c r="AD2068" s="19"/>
      <c r="AE2068" s="19"/>
      <c r="AF2068" s="19"/>
      <c r="AG2068" s="19"/>
      <c r="AH2068" s="19" t="n">
        <v>32</v>
      </c>
      <c r="AI2068" s="19"/>
      <c r="AJ2068" s="19"/>
      <c r="AK2068" s="19"/>
      <c r="AL2068" s="19" t="n">
        <v>1</v>
      </c>
      <c r="AM2068" s="19" t="n">
        <v>26</v>
      </c>
      <c r="AN2068" s="19" t="n">
        <v>5</v>
      </c>
      <c r="AO2068" s="19"/>
      <c r="AP2068" s="19"/>
      <c r="AQ2068" s="19"/>
      <c r="AR2068" s="19"/>
      <c r="AS2068" s="20" t="str">
        <f aca="false">HYPERLINK("http://www.openstreetmap.org/?mlat=32.6372&amp;mlon=44.05&amp;zoom=12#map=12/32.6372/44.05","Maplink1")</f>
        <v>Maplink1</v>
      </c>
      <c r="AT2068" s="20" t="str">
        <f aca="false">HYPERLINK("https://www.google.iq/maps/search/+32.6372,44.05/@32.6372,44.05,14z?hl=en","Maplink2")</f>
        <v>Maplink2</v>
      </c>
      <c r="AU2068" s="20" t="str">
        <f aca="false">HYPERLINK("http://www.bing.com/maps/?lvl=14&amp;sty=h&amp;cp=32.6372~44.05&amp;sp=point.32.6372_44.05","Maplink3")</f>
        <v>Maplink3</v>
      </c>
    </row>
    <row r="2069" customFormat="false" ht="15" hidden="false" customHeight="true" outlineLevel="0" collapsed="false">
      <c r="A2069" s="15" t="n">
        <v>14138</v>
      </c>
      <c r="B2069" s="16" t="s">
        <v>22</v>
      </c>
      <c r="C2069" s="16" t="s">
        <v>22</v>
      </c>
      <c r="D2069" s="16" t="s">
        <v>4063</v>
      </c>
      <c r="E2069" s="17" t="s">
        <v>4064</v>
      </c>
      <c r="F2069" s="16" t="n">
        <v>32.6107999077</v>
      </c>
      <c r="G2069" s="16" t="n">
        <v>43.9689641353</v>
      </c>
      <c r="H2069" s="18" t="n">
        <v>12</v>
      </c>
      <c r="I2069" s="18" t="n">
        <v>72</v>
      </c>
      <c r="J2069" s="19" t="n">
        <v>4</v>
      </c>
      <c r="K2069" s="19"/>
      <c r="L2069" s="19"/>
      <c r="M2069" s="19"/>
      <c r="N2069" s="19"/>
      <c r="O2069" s="19"/>
      <c r="P2069" s="19"/>
      <c r="Q2069" s="19"/>
      <c r="R2069" s="19" t="n">
        <v>6</v>
      </c>
      <c r="S2069" s="19"/>
      <c r="T2069" s="19"/>
      <c r="U2069" s="19"/>
      <c r="V2069" s="19" t="n">
        <v>2</v>
      </c>
      <c r="W2069" s="19"/>
      <c r="X2069" s="19"/>
      <c r="Y2069" s="19"/>
      <c r="Z2069" s="19"/>
      <c r="AA2069" s="19"/>
      <c r="AB2069" s="19"/>
      <c r="AC2069" s="19"/>
      <c r="AD2069" s="19"/>
      <c r="AE2069" s="19"/>
      <c r="AF2069" s="19"/>
      <c r="AG2069" s="19"/>
      <c r="AH2069" s="19" t="n">
        <v>12</v>
      </c>
      <c r="AI2069" s="19"/>
      <c r="AJ2069" s="19"/>
      <c r="AK2069" s="19"/>
      <c r="AL2069" s="19"/>
      <c r="AM2069" s="19" t="n">
        <v>8</v>
      </c>
      <c r="AN2069" s="19"/>
      <c r="AO2069" s="19"/>
      <c r="AP2069" s="19" t="n">
        <v>4</v>
      </c>
      <c r="AQ2069" s="19"/>
      <c r="AR2069" s="19"/>
      <c r="AS2069" s="20" t="str">
        <f aca="false">HYPERLINK("http://www.openstreetmap.org/?mlat=32.6108&amp;mlon=43.969&amp;zoom=12#map=12/32.6108/43.969","Maplink1")</f>
        <v>Maplink1</v>
      </c>
      <c r="AT2069" s="20" t="str">
        <f aca="false">HYPERLINK("https://www.google.iq/maps/search/+32.6108,43.969/@32.6108,43.969,14z?hl=en","Maplink2")</f>
        <v>Maplink2</v>
      </c>
      <c r="AU2069" s="20" t="str">
        <f aca="false">HYPERLINK("http://www.bing.com/maps/?lvl=14&amp;sty=h&amp;cp=32.6108~43.969&amp;sp=point.32.6108_43.969","Maplink3")</f>
        <v>Maplink3</v>
      </c>
    </row>
    <row r="2070" customFormat="false" ht="15" hidden="false" customHeight="true" outlineLevel="0" collapsed="false">
      <c r="A2070" s="15" t="n">
        <v>14104</v>
      </c>
      <c r="B2070" s="16" t="s">
        <v>22</v>
      </c>
      <c r="C2070" s="16" t="s">
        <v>22</v>
      </c>
      <c r="D2070" s="16" t="s">
        <v>4065</v>
      </c>
      <c r="E2070" s="17" t="s">
        <v>4066</v>
      </c>
      <c r="F2070" s="16" t="n">
        <v>32.61099445</v>
      </c>
      <c r="G2070" s="16" t="n">
        <v>43.99699029</v>
      </c>
      <c r="H2070" s="18" t="n">
        <v>8</v>
      </c>
      <c r="I2070" s="18" t="n">
        <v>48</v>
      </c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 t="n">
        <v>8</v>
      </c>
      <c r="W2070" s="19"/>
      <c r="X2070" s="19"/>
      <c r="Y2070" s="19"/>
      <c r="Z2070" s="19"/>
      <c r="AA2070" s="19"/>
      <c r="AB2070" s="19"/>
      <c r="AC2070" s="19"/>
      <c r="AD2070" s="19"/>
      <c r="AE2070" s="19"/>
      <c r="AF2070" s="19"/>
      <c r="AG2070" s="19"/>
      <c r="AH2070" s="19" t="n">
        <v>8</v>
      </c>
      <c r="AI2070" s="19"/>
      <c r="AJ2070" s="19"/>
      <c r="AK2070" s="19"/>
      <c r="AL2070" s="19"/>
      <c r="AM2070" s="19" t="n">
        <v>8</v>
      </c>
      <c r="AN2070" s="19"/>
      <c r="AO2070" s="19"/>
      <c r="AP2070" s="19"/>
      <c r="AQ2070" s="19"/>
      <c r="AR2070" s="19"/>
      <c r="AS2070" s="20" t="str">
        <f aca="false">HYPERLINK("http://www.openstreetmap.org/?mlat=32.611&amp;mlon=43.997&amp;zoom=12#map=12/32.611/43.997","Maplink1")</f>
        <v>Maplink1</v>
      </c>
      <c r="AT2070" s="20" t="str">
        <f aca="false">HYPERLINK("https://www.google.iq/maps/search/+32.611,43.997/@32.611,43.997,14z?hl=en","Maplink2")</f>
        <v>Maplink2</v>
      </c>
      <c r="AU2070" s="20" t="str">
        <f aca="false">HYPERLINK("http://www.bing.com/maps/?lvl=14&amp;sty=h&amp;cp=32.611~43.997&amp;sp=point.32.611_43.997","Maplink3")</f>
        <v>Maplink3</v>
      </c>
    </row>
    <row r="2071" customFormat="false" ht="15" hidden="false" customHeight="true" outlineLevel="0" collapsed="false">
      <c r="A2071" s="15" t="n">
        <v>14060</v>
      </c>
      <c r="B2071" s="16" t="s">
        <v>22</v>
      </c>
      <c r="C2071" s="16" t="s">
        <v>22</v>
      </c>
      <c r="D2071" s="16" t="s">
        <v>4067</v>
      </c>
      <c r="E2071" s="17" t="s">
        <v>4068</v>
      </c>
      <c r="F2071" s="16" t="n">
        <v>32.59151596</v>
      </c>
      <c r="G2071" s="16" t="n">
        <v>44.02174464</v>
      </c>
      <c r="H2071" s="18" t="n">
        <v>15</v>
      </c>
      <c r="I2071" s="18" t="n">
        <v>90</v>
      </c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 t="n">
        <v>15</v>
      </c>
      <c r="W2071" s="19"/>
      <c r="X2071" s="19"/>
      <c r="Y2071" s="19"/>
      <c r="Z2071" s="19"/>
      <c r="AA2071" s="19"/>
      <c r="AB2071" s="19"/>
      <c r="AC2071" s="19" t="n">
        <v>5</v>
      </c>
      <c r="AD2071" s="19"/>
      <c r="AE2071" s="19"/>
      <c r="AF2071" s="19"/>
      <c r="AG2071" s="19"/>
      <c r="AH2071" s="19" t="n">
        <v>10</v>
      </c>
      <c r="AI2071" s="19"/>
      <c r="AJ2071" s="19"/>
      <c r="AK2071" s="19"/>
      <c r="AL2071" s="19"/>
      <c r="AM2071" s="19" t="n">
        <v>15</v>
      </c>
      <c r="AN2071" s="19"/>
      <c r="AO2071" s="19"/>
      <c r="AP2071" s="19"/>
      <c r="AQ2071" s="19"/>
      <c r="AR2071" s="19"/>
      <c r="AS2071" s="20" t="str">
        <f aca="false">HYPERLINK("http://www.openstreetmap.org/?mlat=32.5915&amp;mlon=44.0217&amp;zoom=12#map=12/32.5915/44.0217","Maplink1")</f>
        <v>Maplink1</v>
      </c>
      <c r="AT2071" s="20" t="str">
        <f aca="false">HYPERLINK("https://www.google.iq/maps/search/+32.5915,44.0217/@32.5915,44.0217,14z?hl=en","Maplink2")</f>
        <v>Maplink2</v>
      </c>
      <c r="AU2071" s="20" t="str">
        <f aca="false">HYPERLINK("http://www.bing.com/maps/?lvl=14&amp;sty=h&amp;cp=32.5915~44.0217&amp;sp=point.32.5915_44.0217","Maplink3")</f>
        <v>Maplink3</v>
      </c>
    </row>
    <row r="2072" customFormat="false" ht="15" hidden="false" customHeight="true" outlineLevel="0" collapsed="false">
      <c r="A2072" s="15" t="n">
        <v>14073</v>
      </c>
      <c r="B2072" s="16" t="s">
        <v>22</v>
      </c>
      <c r="C2072" s="16" t="s">
        <v>22</v>
      </c>
      <c r="D2072" s="16" t="s">
        <v>4069</v>
      </c>
      <c r="E2072" s="17" t="s">
        <v>4070</v>
      </c>
      <c r="F2072" s="16" t="n">
        <v>32.60450757</v>
      </c>
      <c r="G2072" s="16" t="n">
        <v>44.02955264</v>
      </c>
      <c r="H2072" s="18" t="n">
        <v>45</v>
      </c>
      <c r="I2072" s="18" t="n">
        <v>270</v>
      </c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 t="n">
        <v>45</v>
      </c>
      <c r="W2072" s="19"/>
      <c r="X2072" s="19"/>
      <c r="Y2072" s="19"/>
      <c r="Z2072" s="19"/>
      <c r="AA2072" s="19"/>
      <c r="AB2072" s="19"/>
      <c r="AC2072" s="19"/>
      <c r="AD2072" s="19"/>
      <c r="AE2072" s="19"/>
      <c r="AF2072" s="19"/>
      <c r="AG2072" s="19"/>
      <c r="AH2072" s="19" t="n">
        <v>45</v>
      </c>
      <c r="AI2072" s="19"/>
      <c r="AJ2072" s="19"/>
      <c r="AK2072" s="19"/>
      <c r="AL2072" s="19"/>
      <c r="AM2072" s="19" t="n">
        <v>45</v>
      </c>
      <c r="AN2072" s="19"/>
      <c r="AO2072" s="19"/>
      <c r="AP2072" s="19"/>
      <c r="AQ2072" s="19"/>
      <c r="AR2072" s="19"/>
      <c r="AS2072" s="20" t="str">
        <f aca="false">HYPERLINK("http://www.openstreetmap.org/?mlat=32.6045&amp;mlon=44.0296&amp;zoom=12#map=12/32.6045/44.0296","Maplink1")</f>
        <v>Maplink1</v>
      </c>
      <c r="AT2072" s="20" t="str">
        <f aca="false">HYPERLINK("https://www.google.iq/maps/search/+32.6045,44.0296/@32.6045,44.0296,14z?hl=en","Maplink2")</f>
        <v>Maplink2</v>
      </c>
      <c r="AU2072" s="20" t="str">
        <f aca="false">HYPERLINK("http://www.bing.com/maps/?lvl=14&amp;sty=h&amp;cp=32.6045~44.0296&amp;sp=point.32.6045_44.0296","Maplink3")</f>
        <v>Maplink3</v>
      </c>
    </row>
    <row r="2073" customFormat="false" ht="15" hidden="false" customHeight="true" outlineLevel="0" collapsed="false">
      <c r="A2073" s="15" t="n">
        <v>24138</v>
      </c>
      <c r="B2073" s="16" t="s">
        <v>22</v>
      </c>
      <c r="C2073" s="16" t="s">
        <v>22</v>
      </c>
      <c r="D2073" s="16" t="s">
        <v>4071</v>
      </c>
      <c r="E2073" s="17" t="s">
        <v>674</v>
      </c>
      <c r="F2073" s="16" t="n">
        <v>32.60604284</v>
      </c>
      <c r="G2073" s="16" t="n">
        <v>43.99016465</v>
      </c>
      <c r="H2073" s="18" t="n">
        <v>9</v>
      </c>
      <c r="I2073" s="18" t="n">
        <v>54</v>
      </c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 t="n">
        <v>9</v>
      </c>
      <c r="W2073" s="19"/>
      <c r="X2073" s="19"/>
      <c r="Y2073" s="19"/>
      <c r="Z2073" s="19"/>
      <c r="AA2073" s="19"/>
      <c r="AB2073" s="19"/>
      <c r="AC2073" s="19"/>
      <c r="AD2073" s="19"/>
      <c r="AE2073" s="19"/>
      <c r="AF2073" s="19"/>
      <c r="AG2073" s="19"/>
      <c r="AH2073" s="19" t="n">
        <v>9</v>
      </c>
      <c r="AI2073" s="19"/>
      <c r="AJ2073" s="19"/>
      <c r="AK2073" s="19"/>
      <c r="AL2073" s="19"/>
      <c r="AM2073" s="19" t="n">
        <v>9</v>
      </c>
      <c r="AN2073" s="19"/>
      <c r="AO2073" s="19"/>
      <c r="AP2073" s="19"/>
      <c r="AQ2073" s="19"/>
      <c r="AR2073" s="19"/>
      <c r="AS2073" s="20" t="str">
        <f aca="false">HYPERLINK("http://www.openstreetmap.org/?mlat=32.606&amp;mlon=43.9902&amp;zoom=12#map=12/32.606/43.9902","Maplink1")</f>
        <v>Maplink1</v>
      </c>
      <c r="AT2073" s="20" t="str">
        <f aca="false">HYPERLINK("https://www.google.iq/maps/search/+32.606,43.9902/@32.606,43.9902,14z?hl=en","Maplink2")</f>
        <v>Maplink2</v>
      </c>
      <c r="AU2073" s="20" t="str">
        <f aca="false">HYPERLINK("http://www.bing.com/maps/?lvl=14&amp;sty=h&amp;cp=32.606~43.9902&amp;sp=point.32.606_43.9902","Maplink3")</f>
        <v>Maplink3</v>
      </c>
    </row>
    <row r="2074" customFormat="false" ht="15" hidden="false" customHeight="true" outlineLevel="0" collapsed="false">
      <c r="A2074" s="15" t="n">
        <v>25344</v>
      </c>
      <c r="B2074" s="16" t="s">
        <v>22</v>
      </c>
      <c r="C2074" s="16" t="s">
        <v>22</v>
      </c>
      <c r="D2074" s="16" t="s">
        <v>4072</v>
      </c>
      <c r="E2074" s="17" t="s">
        <v>4073</v>
      </c>
      <c r="F2074" s="16" t="n">
        <v>32.60807474</v>
      </c>
      <c r="G2074" s="16" t="n">
        <v>43.98993323</v>
      </c>
      <c r="H2074" s="18" t="n">
        <v>7</v>
      </c>
      <c r="I2074" s="18" t="n">
        <v>42</v>
      </c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 t="n">
        <v>7</v>
      </c>
      <c r="W2074" s="19"/>
      <c r="X2074" s="19"/>
      <c r="Y2074" s="19"/>
      <c r="Z2074" s="19"/>
      <c r="AA2074" s="19"/>
      <c r="AB2074" s="19"/>
      <c r="AC2074" s="19"/>
      <c r="AD2074" s="19"/>
      <c r="AE2074" s="19"/>
      <c r="AF2074" s="19"/>
      <c r="AG2074" s="19"/>
      <c r="AH2074" s="19" t="n">
        <v>7</v>
      </c>
      <c r="AI2074" s="19"/>
      <c r="AJ2074" s="19"/>
      <c r="AK2074" s="19"/>
      <c r="AL2074" s="19"/>
      <c r="AM2074" s="19" t="n">
        <v>7</v>
      </c>
      <c r="AN2074" s="19"/>
      <c r="AO2074" s="19"/>
      <c r="AP2074" s="19"/>
      <c r="AQ2074" s="19"/>
      <c r="AR2074" s="19"/>
      <c r="AS2074" s="20" t="str">
        <f aca="false">HYPERLINK("http://www.openstreetmap.org/?mlat=32.6081&amp;mlon=43.9899&amp;zoom=12#map=12/32.6081/43.9899","Maplink1")</f>
        <v>Maplink1</v>
      </c>
      <c r="AT2074" s="20" t="str">
        <f aca="false">HYPERLINK("https://www.google.iq/maps/search/+32.6081,43.9899/@32.6081,43.9899,14z?hl=en","Maplink2")</f>
        <v>Maplink2</v>
      </c>
      <c r="AU2074" s="20" t="str">
        <f aca="false">HYPERLINK("http://www.bing.com/maps/?lvl=14&amp;sty=h&amp;cp=32.6081~43.9899&amp;sp=point.32.6081_43.9899","Maplink3")</f>
        <v>Maplink3</v>
      </c>
    </row>
    <row r="2075" customFormat="false" ht="15" hidden="false" customHeight="true" outlineLevel="0" collapsed="false">
      <c r="A2075" s="15" t="n">
        <v>25345</v>
      </c>
      <c r="B2075" s="16" t="s">
        <v>22</v>
      </c>
      <c r="C2075" s="16" t="s">
        <v>22</v>
      </c>
      <c r="D2075" s="16" t="s">
        <v>4074</v>
      </c>
      <c r="E2075" s="17" t="s">
        <v>4075</v>
      </c>
      <c r="F2075" s="16" t="n">
        <v>32.60684507</v>
      </c>
      <c r="G2075" s="16" t="n">
        <v>43.98779634</v>
      </c>
      <c r="H2075" s="18" t="n">
        <v>13</v>
      </c>
      <c r="I2075" s="18" t="n">
        <v>78</v>
      </c>
      <c r="J2075" s="19"/>
      <c r="K2075" s="19"/>
      <c r="L2075" s="19" t="n">
        <v>1</v>
      </c>
      <c r="M2075" s="19"/>
      <c r="N2075" s="19"/>
      <c r="O2075" s="19"/>
      <c r="P2075" s="19"/>
      <c r="Q2075" s="19"/>
      <c r="R2075" s="19" t="n">
        <v>3</v>
      </c>
      <c r="S2075" s="19"/>
      <c r="T2075" s="19"/>
      <c r="U2075" s="19"/>
      <c r="V2075" s="19" t="n">
        <v>9</v>
      </c>
      <c r="W2075" s="19"/>
      <c r="X2075" s="19"/>
      <c r="Y2075" s="19"/>
      <c r="Z2075" s="19"/>
      <c r="AA2075" s="19"/>
      <c r="AB2075" s="19"/>
      <c r="AC2075" s="19"/>
      <c r="AD2075" s="19"/>
      <c r="AE2075" s="19"/>
      <c r="AF2075" s="19"/>
      <c r="AG2075" s="19"/>
      <c r="AH2075" s="19" t="n">
        <v>13</v>
      </c>
      <c r="AI2075" s="19"/>
      <c r="AJ2075" s="19"/>
      <c r="AK2075" s="19"/>
      <c r="AL2075" s="19" t="n">
        <v>2</v>
      </c>
      <c r="AM2075" s="19" t="n">
        <v>9</v>
      </c>
      <c r="AN2075" s="19" t="n">
        <v>2</v>
      </c>
      <c r="AO2075" s="19"/>
      <c r="AP2075" s="19"/>
      <c r="AQ2075" s="19"/>
      <c r="AR2075" s="19"/>
      <c r="AS2075" s="20" t="str">
        <f aca="false">HYPERLINK("http://www.openstreetmap.org/?mlat=32.6068&amp;mlon=43.9878&amp;zoom=12#map=12/32.6068/43.9878","Maplink1")</f>
        <v>Maplink1</v>
      </c>
      <c r="AT2075" s="20" t="str">
        <f aca="false">HYPERLINK("https://www.google.iq/maps/search/+32.6068,43.9878/@32.6068,43.9878,14z?hl=en","Maplink2")</f>
        <v>Maplink2</v>
      </c>
      <c r="AU2075" s="20" t="str">
        <f aca="false">HYPERLINK("http://www.bing.com/maps/?lvl=14&amp;sty=h&amp;cp=32.6068~43.9878&amp;sp=point.32.6068_43.9878","Maplink3")</f>
        <v>Maplink3</v>
      </c>
    </row>
    <row r="2076" customFormat="false" ht="15" hidden="false" customHeight="true" outlineLevel="0" collapsed="false">
      <c r="A2076" s="15" t="n">
        <v>25347</v>
      </c>
      <c r="B2076" s="16" t="s">
        <v>22</v>
      </c>
      <c r="C2076" s="16" t="s">
        <v>22</v>
      </c>
      <c r="D2076" s="16" t="s">
        <v>4076</v>
      </c>
      <c r="E2076" s="17" t="s">
        <v>4077</v>
      </c>
      <c r="F2076" s="16" t="n">
        <v>32.6042233</v>
      </c>
      <c r="G2076" s="16" t="n">
        <v>43.98239345</v>
      </c>
      <c r="H2076" s="18" t="n">
        <v>1</v>
      </c>
      <c r="I2076" s="18" t="n">
        <v>6</v>
      </c>
      <c r="J2076" s="19" t="n">
        <v>1</v>
      </c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  <c r="AA2076" s="19"/>
      <c r="AB2076" s="19"/>
      <c r="AC2076" s="19"/>
      <c r="AD2076" s="19"/>
      <c r="AE2076" s="19"/>
      <c r="AF2076" s="19"/>
      <c r="AG2076" s="19"/>
      <c r="AH2076" s="19" t="n">
        <v>1</v>
      </c>
      <c r="AI2076" s="19"/>
      <c r="AJ2076" s="19"/>
      <c r="AK2076" s="19"/>
      <c r="AL2076" s="19" t="n">
        <v>1</v>
      </c>
      <c r="AM2076" s="19"/>
      <c r="AN2076" s="19"/>
      <c r="AO2076" s="19"/>
      <c r="AP2076" s="19"/>
      <c r="AQ2076" s="19"/>
      <c r="AR2076" s="19"/>
      <c r="AS2076" s="20" t="str">
        <f aca="false">HYPERLINK("http://www.openstreetmap.org/?mlat=32.6042&amp;mlon=43.9824&amp;zoom=12#map=12/32.6042/43.9824","Maplink1")</f>
        <v>Maplink1</v>
      </c>
      <c r="AT2076" s="20" t="str">
        <f aca="false">HYPERLINK("https://www.google.iq/maps/search/+32.6042,43.9824/@32.6042,43.9824,14z?hl=en","Maplink2")</f>
        <v>Maplink2</v>
      </c>
      <c r="AU2076" s="20" t="str">
        <f aca="false">HYPERLINK("http://www.bing.com/maps/?lvl=14&amp;sty=h&amp;cp=32.6042~43.9824&amp;sp=point.32.6042_43.9824","Maplink3")</f>
        <v>Maplink3</v>
      </c>
    </row>
    <row r="2077" customFormat="false" ht="15" hidden="false" customHeight="true" outlineLevel="0" collapsed="false">
      <c r="A2077" s="15" t="n">
        <v>25348</v>
      </c>
      <c r="B2077" s="16" t="s">
        <v>22</v>
      </c>
      <c r="C2077" s="16" t="s">
        <v>22</v>
      </c>
      <c r="D2077" s="16" t="s">
        <v>4078</v>
      </c>
      <c r="E2077" s="17" t="s">
        <v>4079</v>
      </c>
      <c r="F2077" s="16" t="n">
        <v>32.60255761</v>
      </c>
      <c r="G2077" s="16" t="n">
        <v>43.98247434</v>
      </c>
      <c r="H2077" s="18" t="n">
        <v>3</v>
      </c>
      <c r="I2077" s="18" t="n">
        <v>18</v>
      </c>
      <c r="J2077" s="19" t="n">
        <v>1</v>
      </c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 t="n">
        <v>2</v>
      </c>
      <c r="W2077" s="19"/>
      <c r="X2077" s="19"/>
      <c r="Y2077" s="19"/>
      <c r="Z2077" s="19"/>
      <c r="AA2077" s="19"/>
      <c r="AB2077" s="19"/>
      <c r="AC2077" s="19"/>
      <c r="AD2077" s="19"/>
      <c r="AE2077" s="19"/>
      <c r="AF2077" s="19"/>
      <c r="AG2077" s="19"/>
      <c r="AH2077" s="19" t="n">
        <v>3</v>
      </c>
      <c r="AI2077" s="19"/>
      <c r="AJ2077" s="19"/>
      <c r="AK2077" s="19"/>
      <c r="AL2077" s="19" t="n">
        <v>1</v>
      </c>
      <c r="AM2077" s="19" t="n">
        <v>2</v>
      </c>
      <c r="AN2077" s="19"/>
      <c r="AO2077" s="19"/>
      <c r="AP2077" s="19"/>
      <c r="AQ2077" s="19"/>
      <c r="AR2077" s="19"/>
      <c r="AS2077" s="20" t="str">
        <f aca="false">HYPERLINK("http://www.openstreetmap.org/?mlat=32.6026&amp;mlon=43.9825&amp;zoom=12#map=12/32.6026/43.9825","Maplink1")</f>
        <v>Maplink1</v>
      </c>
      <c r="AT2077" s="20" t="str">
        <f aca="false">HYPERLINK("https://www.google.iq/maps/search/+32.6026,43.9825/@32.6026,43.9825,14z?hl=en","Maplink2")</f>
        <v>Maplink2</v>
      </c>
      <c r="AU2077" s="20" t="str">
        <f aca="false">HYPERLINK("http://www.bing.com/maps/?lvl=14&amp;sty=h&amp;cp=32.6026~43.9825&amp;sp=point.32.6026_43.9825","Maplink3")</f>
        <v>Maplink3</v>
      </c>
    </row>
    <row r="2078" customFormat="false" ht="15" hidden="false" customHeight="true" outlineLevel="0" collapsed="false">
      <c r="A2078" s="15" t="n">
        <v>25552</v>
      </c>
      <c r="B2078" s="16" t="s">
        <v>22</v>
      </c>
      <c r="C2078" s="16" t="s">
        <v>22</v>
      </c>
      <c r="D2078" s="16" t="s">
        <v>4080</v>
      </c>
      <c r="E2078" s="17" t="s">
        <v>922</v>
      </c>
      <c r="F2078" s="16" t="n">
        <v>32.62205785</v>
      </c>
      <c r="G2078" s="16" t="n">
        <v>43.98634678</v>
      </c>
      <c r="H2078" s="18" t="n">
        <v>4</v>
      </c>
      <c r="I2078" s="18" t="n">
        <v>24</v>
      </c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 t="n">
        <v>3</v>
      </c>
      <c r="W2078" s="19"/>
      <c r="X2078" s="19" t="n">
        <v>1</v>
      </c>
      <c r="Y2078" s="19"/>
      <c r="Z2078" s="19"/>
      <c r="AA2078" s="19"/>
      <c r="AB2078" s="19"/>
      <c r="AC2078" s="19"/>
      <c r="AD2078" s="19"/>
      <c r="AE2078" s="19"/>
      <c r="AF2078" s="19"/>
      <c r="AG2078" s="19"/>
      <c r="AH2078" s="19" t="n">
        <v>4</v>
      </c>
      <c r="AI2078" s="19"/>
      <c r="AJ2078" s="19"/>
      <c r="AK2078" s="19"/>
      <c r="AL2078" s="19" t="n">
        <v>1</v>
      </c>
      <c r="AM2078" s="19" t="n">
        <v>3</v>
      </c>
      <c r="AN2078" s="19"/>
      <c r="AO2078" s="19"/>
      <c r="AP2078" s="19"/>
      <c r="AQ2078" s="19"/>
      <c r="AR2078" s="19"/>
      <c r="AS2078" s="20" t="str">
        <f aca="false">HYPERLINK("http://www.openstreetmap.org/?mlat=32.6221&amp;mlon=43.9863&amp;zoom=12#map=12/32.6221/43.9863","Maplink1")</f>
        <v>Maplink1</v>
      </c>
      <c r="AT2078" s="20" t="str">
        <f aca="false">HYPERLINK("https://www.google.iq/maps/search/+32.6221,43.9863/@32.6221,43.9863,14z?hl=en","Maplink2")</f>
        <v>Maplink2</v>
      </c>
      <c r="AU2078" s="20" t="str">
        <f aca="false">HYPERLINK("http://www.bing.com/maps/?lvl=14&amp;sty=h&amp;cp=32.6221~43.9863&amp;sp=point.32.6221_43.9863","Maplink3")</f>
        <v>Maplink3</v>
      </c>
    </row>
    <row r="2079" customFormat="false" ht="15" hidden="false" customHeight="true" outlineLevel="0" collapsed="false">
      <c r="A2079" s="15" t="n">
        <v>13988</v>
      </c>
      <c r="B2079" s="16" t="s">
        <v>22</v>
      </c>
      <c r="C2079" s="16" t="s">
        <v>22</v>
      </c>
      <c r="D2079" s="16" t="s">
        <v>4081</v>
      </c>
      <c r="E2079" s="17" t="s">
        <v>4082</v>
      </c>
      <c r="F2079" s="16" t="n">
        <v>32.56821037</v>
      </c>
      <c r="G2079" s="16" t="n">
        <v>44.03784561</v>
      </c>
      <c r="H2079" s="18" t="n">
        <v>9</v>
      </c>
      <c r="I2079" s="18" t="n">
        <v>54</v>
      </c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 t="n">
        <v>9</v>
      </c>
      <c r="W2079" s="19"/>
      <c r="X2079" s="19"/>
      <c r="Y2079" s="19"/>
      <c r="Z2079" s="19"/>
      <c r="AA2079" s="19"/>
      <c r="AB2079" s="19"/>
      <c r="AC2079" s="19"/>
      <c r="AD2079" s="19"/>
      <c r="AE2079" s="19"/>
      <c r="AF2079" s="19"/>
      <c r="AG2079" s="19"/>
      <c r="AH2079" s="19" t="n">
        <v>9</v>
      </c>
      <c r="AI2079" s="19"/>
      <c r="AJ2079" s="19"/>
      <c r="AK2079" s="19"/>
      <c r="AL2079" s="19"/>
      <c r="AM2079" s="19" t="n">
        <v>9</v>
      </c>
      <c r="AN2079" s="19"/>
      <c r="AO2079" s="19"/>
      <c r="AP2079" s="19"/>
      <c r="AQ2079" s="19"/>
      <c r="AR2079" s="19"/>
      <c r="AS2079" s="20" t="str">
        <f aca="false">HYPERLINK("http://www.openstreetmap.org/?mlat=32.5682&amp;mlon=44.0378&amp;zoom=12#map=12/32.5682/44.0378","Maplink1")</f>
        <v>Maplink1</v>
      </c>
      <c r="AT2079" s="20" t="str">
        <f aca="false">HYPERLINK("https://www.google.iq/maps/search/+32.5682,44.0378/@32.5682,44.0378,14z?hl=en","Maplink2")</f>
        <v>Maplink2</v>
      </c>
      <c r="AU2079" s="20" t="str">
        <f aca="false">HYPERLINK("http://www.bing.com/maps/?lvl=14&amp;sty=h&amp;cp=32.5682~44.0378&amp;sp=point.32.5682_44.0378","Maplink3")</f>
        <v>Maplink3</v>
      </c>
    </row>
    <row r="2080" customFormat="false" ht="15" hidden="false" customHeight="true" outlineLevel="0" collapsed="false">
      <c r="A2080" s="15" t="n">
        <v>14288</v>
      </c>
      <c r="B2080" s="16" t="s">
        <v>22</v>
      </c>
      <c r="C2080" s="16" t="s">
        <v>22</v>
      </c>
      <c r="D2080" s="16" t="s">
        <v>4083</v>
      </c>
      <c r="E2080" s="17" t="s">
        <v>4084</v>
      </c>
      <c r="F2080" s="16" t="n">
        <v>32.64838981</v>
      </c>
      <c r="G2080" s="16" t="n">
        <v>43.97942291</v>
      </c>
      <c r="H2080" s="18" t="n">
        <v>11</v>
      </c>
      <c r="I2080" s="18" t="n">
        <v>66</v>
      </c>
      <c r="J2080" s="19" t="n">
        <v>5</v>
      </c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 t="n">
        <v>6</v>
      </c>
      <c r="W2080" s="19"/>
      <c r="X2080" s="19"/>
      <c r="Y2080" s="19"/>
      <c r="Z2080" s="19"/>
      <c r="AA2080" s="19"/>
      <c r="AB2080" s="19"/>
      <c r="AC2080" s="19"/>
      <c r="AD2080" s="19"/>
      <c r="AE2080" s="19"/>
      <c r="AF2080" s="19"/>
      <c r="AG2080" s="19"/>
      <c r="AH2080" s="19" t="n">
        <v>11</v>
      </c>
      <c r="AI2080" s="19"/>
      <c r="AJ2080" s="19"/>
      <c r="AK2080" s="19"/>
      <c r="AL2080" s="19"/>
      <c r="AM2080" s="19" t="n">
        <v>6</v>
      </c>
      <c r="AN2080" s="19" t="n">
        <v>5</v>
      </c>
      <c r="AO2080" s="19"/>
      <c r="AP2080" s="19"/>
      <c r="AQ2080" s="19"/>
      <c r="AR2080" s="19"/>
      <c r="AS2080" s="20" t="str">
        <f aca="false">HYPERLINK("http://www.openstreetmap.org/?mlat=32.6484&amp;mlon=43.9794&amp;zoom=12#map=12/32.6484/43.9794","Maplink1")</f>
        <v>Maplink1</v>
      </c>
      <c r="AT2080" s="20" t="str">
        <f aca="false">HYPERLINK("https://www.google.iq/maps/search/+32.6484,43.9794/@32.6484,43.9794,14z?hl=en","Maplink2")</f>
        <v>Maplink2</v>
      </c>
      <c r="AU2080" s="20" t="str">
        <f aca="false">HYPERLINK("http://www.bing.com/maps/?lvl=14&amp;sty=h&amp;cp=32.6484~43.9794&amp;sp=point.32.6484_43.9794","Maplink3")</f>
        <v>Maplink3</v>
      </c>
    </row>
    <row r="2081" customFormat="false" ht="15" hidden="false" customHeight="true" outlineLevel="0" collapsed="false">
      <c r="A2081" s="15" t="n">
        <v>14077</v>
      </c>
      <c r="B2081" s="16" t="s">
        <v>22</v>
      </c>
      <c r="C2081" s="16" t="s">
        <v>22</v>
      </c>
      <c r="D2081" s="16" t="s">
        <v>4085</v>
      </c>
      <c r="E2081" s="17" t="s">
        <v>461</v>
      </c>
      <c r="F2081" s="16" t="n">
        <v>32.6036636</v>
      </c>
      <c r="G2081" s="16" t="n">
        <v>44.01160573</v>
      </c>
      <c r="H2081" s="18" t="n">
        <v>8</v>
      </c>
      <c r="I2081" s="18" t="n">
        <v>48</v>
      </c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 t="n">
        <v>8</v>
      </c>
      <c r="W2081" s="19"/>
      <c r="X2081" s="19"/>
      <c r="Y2081" s="19"/>
      <c r="Z2081" s="19"/>
      <c r="AA2081" s="19"/>
      <c r="AB2081" s="19"/>
      <c r="AC2081" s="19"/>
      <c r="AD2081" s="19"/>
      <c r="AE2081" s="19"/>
      <c r="AF2081" s="19"/>
      <c r="AG2081" s="19" t="n">
        <v>5</v>
      </c>
      <c r="AH2081" s="19" t="n">
        <v>3</v>
      </c>
      <c r="AI2081" s="19"/>
      <c r="AJ2081" s="19"/>
      <c r="AK2081" s="19"/>
      <c r="AL2081" s="19"/>
      <c r="AM2081" s="19" t="n">
        <v>8</v>
      </c>
      <c r="AN2081" s="19"/>
      <c r="AO2081" s="19"/>
      <c r="AP2081" s="19"/>
      <c r="AQ2081" s="19"/>
      <c r="AR2081" s="19"/>
      <c r="AS2081" s="20" t="str">
        <f aca="false">HYPERLINK("http://www.openstreetmap.org/?mlat=32.6037&amp;mlon=44.0116&amp;zoom=12#map=12/32.6037/44.0116","Maplink1")</f>
        <v>Maplink1</v>
      </c>
      <c r="AT2081" s="20" t="str">
        <f aca="false">HYPERLINK("https://www.google.iq/maps/search/+32.6037,44.0116/@32.6037,44.0116,14z?hl=en","Maplink2")</f>
        <v>Maplink2</v>
      </c>
      <c r="AU2081" s="20" t="str">
        <f aca="false">HYPERLINK("http://www.bing.com/maps/?lvl=14&amp;sty=h&amp;cp=32.6037~44.0116&amp;sp=point.32.6037_44.0116","Maplink3")</f>
        <v>Maplink3</v>
      </c>
    </row>
    <row r="2082" customFormat="false" ht="15" hidden="false" customHeight="true" outlineLevel="0" collapsed="false">
      <c r="A2082" s="15" t="n">
        <v>14099</v>
      </c>
      <c r="B2082" s="16" t="s">
        <v>22</v>
      </c>
      <c r="C2082" s="16" t="s">
        <v>22</v>
      </c>
      <c r="D2082" s="16" t="s">
        <v>2388</v>
      </c>
      <c r="E2082" s="17" t="s">
        <v>241</v>
      </c>
      <c r="F2082" s="16" t="n">
        <v>32.6149554</v>
      </c>
      <c r="G2082" s="16" t="n">
        <v>44.00396872</v>
      </c>
      <c r="H2082" s="18" t="n">
        <v>6</v>
      </c>
      <c r="I2082" s="18" t="n">
        <v>36</v>
      </c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 t="n">
        <v>6</v>
      </c>
      <c r="W2082" s="19"/>
      <c r="X2082" s="19"/>
      <c r="Y2082" s="19"/>
      <c r="Z2082" s="19"/>
      <c r="AA2082" s="19"/>
      <c r="AB2082" s="19"/>
      <c r="AC2082" s="19"/>
      <c r="AD2082" s="19"/>
      <c r="AE2082" s="19"/>
      <c r="AF2082" s="19"/>
      <c r="AG2082" s="19" t="n">
        <v>1</v>
      </c>
      <c r="AH2082" s="19" t="n">
        <v>5</v>
      </c>
      <c r="AI2082" s="19"/>
      <c r="AJ2082" s="19"/>
      <c r="AK2082" s="19"/>
      <c r="AL2082" s="19"/>
      <c r="AM2082" s="19" t="n">
        <v>6</v>
      </c>
      <c r="AN2082" s="19"/>
      <c r="AO2082" s="19"/>
      <c r="AP2082" s="19"/>
      <c r="AQ2082" s="19"/>
      <c r="AR2082" s="19"/>
      <c r="AS2082" s="20" t="str">
        <f aca="false">HYPERLINK("http://www.openstreetmap.org/?mlat=32.615&amp;mlon=44.004&amp;zoom=12#map=12/32.615/44.004","Maplink1")</f>
        <v>Maplink1</v>
      </c>
      <c r="AT2082" s="20" t="str">
        <f aca="false">HYPERLINK("https://www.google.iq/maps/search/+32.615,44.004/@32.615,44.004,14z?hl=en","Maplink2")</f>
        <v>Maplink2</v>
      </c>
      <c r="AU2082" s="20" t="str">
        <f aca="false">HYPERLINK("http://www.bing.com/maps/?lvl=14&amp;sty=h&amp;cp=32.615~44.004&amp;sp=point.32.615_44.004","Maplink3")</f>
        <v>Maplink3</v>
      </c>
    </row>
    <row r="2083" customFormat="false" ht="15" hidden="false" customHeight="true" outlineLevel="0" collapsed="false">
      <c r="A2083" s="15" t="n">
        <v>14013</v>
      </c>
      <c r="B2083" s="16" t="s">
        <v>22</v>
      </c>
      <c r="C2083" s="16" t="s">
        <v>22</v>
      </c>
      <c r="D2083" s="16" t="s">
        <v>4086</v>
      </c>
      <c r="E2083" s="17" t="s">
        <v>4087</v>
      </c>
      <c r="F2083" s="16" t="n">
        <v>32.62866514</v>
      </c>
      <c r="G2083" s="16" t="n">
        <v>43.96733629</v>
      </c>
      <c r="H2083" s="18" t="n">
        <v>6</v>
      </c>
      <c r="I2083" s="18" t="n">
        <v>36</v>
      </c>
      <c r="J2083" s="19" t="n">
        <v>3</v>
      </c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 t="n">
        <v>3</v>
      </c>
      <c r="W2083" s="19"/>
      <c r="X2083" s="19"/>
      <c r="Y2083" s="19"/>
      <c r="Z2083" s="19"/>
      <c r="AA2083" s="19"/>
      <c r="AB2083" s="19"/>
      <c r="AC2083" s="19"/>
      <c r="AD2083" s="19"/>
      <c r="AE2083" s="19"/>
      <c r="AF2083" s="19"/>
      <c r="AG2083" s="19"/>
      <c r="AH2083" s="19" t="n">
        <v>6</v>
      </c>
      <c r="AI2083" s="19"/>
      <c r="AJ2083" s="19"/>
      <c r="AK2083" s="19"/>
      <c r="AL2083" s="19" t="n">
        <v>3</v>
      </c>
      <c r="AM2083" s="19" t="n">
        <v>3</v>
      </c>
      <c r="AN2083" s="19"/>
      <c r="AO2083" s="19"/>
      <c r="AP2083" s="19"/>
      <c r="AQ2083" s="19"/>
      <c r="AR2083" s="19"/>
      <c r="AS2083" s="20" t="str">
        <f aca="false">HYPERLINK("http://www.openstreetmap.org/?mlat=32.6287&amp;mlon=43.9673&amp;zoom=12#map=12/32.6287/43.9673","Maplink1")</f>
        <v>Maplink1</v>
      </c>
      <c r="AT2083" s="20" t="str">
        <f aca="false">HYPERLINK("https://www.google.iq/maps/search/+32.6287,43.9673/@32.6287,43.9673,14z?hl=en","Maplink2")</f>
        <v>Maplink2</v>
      </c>
      <c r="AU2083" s="20" t="str">
        <f aca="false">HYPERLINK("http://www.bing.com/maps/?lvl=14&amp;sty=h&amp;cp=32.6287~43.9673&amp;sp=point.32.6287_43.9673","Maplink3")</f>
        <v>Maplink3</v>
      </c>
    </row>
    <row r="2084" customFormat="false" ht="15" hidden="false" customHeight="true" outlineLevel="0" collapsed="false">
      <c r="A2084" s="15" t="n">
        <v>14018</v>
      </c>
      <c r="B2084" s="16" t="s">
        <v>22</v>
      </c>
      <c r="C2084" s="16" t="s">
        <v>22</v>
      </c>
      <c r="D2084" s="16" t="s">
        <v>4088</v>
      </c>
      <c r="E2084" s="17" t="s">
        <v>4089</v>
      </c>
      <c r="F2084" s="16" t="n">
        <v>32.57706983</v>
      </c>
      <c r="G2084" s="16" t="n">
        <v>44.00905117</v>
      </c>
      <c r="H2084" s="18" t="n">
        <v>37</v>
      </c>
      <c r="I2084" s="18" t="n">
        <v>222</v>
      </c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 t="n">
        <v>37</v>
      </c>
      <c r="W2084" s="19"/>
      <c r="X2084" s="19"/>
      <c r="Y2084" s="19"/>
      <c r="Z2084" s="19"/>
      <c r="AA2084" s="19"/>
      <c r="AB2084" s="19"/>
      <c r="AC2084" s="19"/>
      <c r="AD2084" s="19"/>
      <c r="AE2084" s="19"/>
      <c r="AF2084" s="19"/>
      <c r="AG2084" s="19"/>
      <c r="AH2084" s="19" t="n">
        <v>37</v>
      </c>
      <c r="AI2084" s="19"/>
      <c r="AJ2084" s="19"/>
      <c r="AK2084" s="19"/>
      <c r="AL2084" s="19"/>
      <c r="AM2084" s="19" t="n">
        <v>37</v>
      </c>
      <c r="AN2084" s="19"/>
      <c r="AO2084" s="19"/>
      <c r="AP2084" s="19"/>
      <c r="AQ2084" s="19"/>
      <c r="AR2084" s="19"/>
      <c r="AS2084" s="20" t="str">
        <f aca="false">HYPERLINK("http://www.openstreetmap.org/?mlat=32.5771&amp;mlon=44.0091&amp;zoom=12#map=12/32.5771/44.0091","Maplink1")</f>
        <v>Maplink1</v>
      </c>
      <c r="AT2084" s="20" t="str">
        <f aca="false">HYPERLINK("https://www.google.iq/maps/search/+32.5771,44.0091/@32.5771,44.0091,14z?hl=en","Maplink2")</f>
        <v>Maplink2</v>
      </c>
      <c r="AU2084" s="20" t="str">
        <f aca="false">HYPERLINK("http://www.bing.com/maps/?lvl=14&amp;sty=h&amp;cp=32.5771~44.0091&amp;sp=point.32.5771_44.0091","Maplink3")</f>
        <v>Maplink3</v>
      </c>
    </row>
    <row r="2085" customFormat="false" ht="15" hidden="false" customHeight="true" outlineLevel="0" collapsed="false">
      <c r="A2085" s="15" t="n">
        <v>25780</v>
      </c>
      <c r="B2085" s="16" t="s">
        <v>22</v>
      </c>
      <c r="C2085" s="16" t="s">
        <v>22</v>
      </c>
      <c r="D2085" s="16" t="s">
        <v>4090</v>
      </c>
      <c r="E2085" s="17" t="s">
        <v>4091</v>
      </c>
      <c r="F2085" s="16" t="n">
        <v>32.57974345</v>
      </c>
      <c r="G2085" s="16" t="n">
        <v>44.00065284</v>
      </c>
      <c r="H2085" s="18" t="n">
        <v>8</v>
      </c>
      <c r="I2085" s="18" t="n">
        <v>48</v>
      </c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 t="n">
        <v>7</v>
      </c>
      <c r="W2085" s="19"/>
      <c r="X2085" s="19" t="n">
        <v>1</v>
      </c>
      <c r="Y2085" s="19"/>
      <c r="Z2085" s="19"/>
      <c r="AA2085" s="19"/>
      <c r="AB2085" s="19"/>
      <c r="AC2085" s="19"/>
      <c r="AD2085" s="19"/>
      <c r="AE2085" s="19"/>
      <c r="AF2085" s="19"/>
      <c r="AG2085" s="19"/>
      <c r="AH2085" s="19" t="n">
        <v>8</v>
      </c>
      <c r="AI2085" s="19"/>
      <c r="AJ2085" s="19"/>
      <c r="AK2085" s="19"/>
      <c r="AL2085" s="19"/>
      <c r="AM2085" s="19" t="n">
        <v>8</v>
      </c>
      <c r="AN2085" s="19"/>
      <c r="AO2085" s="19"/>
      <c r="AP2085" s="19"/>
      <c r="AQ2085" s="19"/>
      <c r="AR2085" s="19"/>
      <c r="AS2085" s="20" t="str">
        <f aca="false">HYPERLINK("http://www.openstreetmap.org/?mlat=32.5797&amp;mlon=44.0007&amp;zoom=12#map=12/32.5797/44.0007","Maplink1")</f>
        <v>Maplink1</v>
      </c>
      <c r="AT2085" s="20" t="str">
        <f aca="false">HYPERLINK("https://www.google.iq/maps/search/+32.5797,44.0007/@32.5797,44.0007,14z?hl=en","Maplink2")</f>
        <v>Maplink2</v>
      </c>
      <c r="AU2085" s="20" t="str">
        <f aca="false">HYPERLINK("http://www.bing.com/maps/?lvl=14&amp;sty=h&amp;cp=32.5797~44.0007&amp;sp=point.32.5797_44.0007","Maplink3")</f>
        <v>Maplink3</v>
      </c>
    </row>
    <row r="2086" customFormat="false" ht="15" hidden="false" customHeight="true" outlineLevel="0" collapsed="false">
      <c r="A2086" s="15" t="n">
        <v>26112</v>
      </c>
      <c r="B2086" s="16" t="s">
        <v>22</v>
      </c>
      <c r="C2086" s="16" t="s">
        <v>22</v>
      </c>
      <c r="D2086" s="16" t="s">
        <v>4092</v>
      </c>
      <c r="E2086" s="17" t="s">
        <v>4093</v>
      </c>
      <c r="F2086" s="16" t="n">
        <v>32.58693131</v>
      </c>
      <c r="G2086" s="16" t="n">
        <v>44.0508244</v>
      </c>
      <c r="H2086" s="18" t="n">
        <v>15</v>
      </c>
      <c r="I2086" s="18" t="n">
        <v>90</v>
      </c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 t="n">
        <v>15</v>
      </c>
      <c r="W2086" s="19"/>
      <c r="X2086" s="19"/>
      <c r="Y2086" s="19"/>
      <c r="Z2086" s="19"/>
      <c r="AA2086" s="19"/>
      <c r="AB2086" s="19"/>
      <c r="AC2086" s="19"/>
      <c r="AD2086" s="19"/>
      <c r="AE2086" s="19"/>
      <c r="AF2086" s="19"/>
      <c r="AG2086" s="19"/>
      <c r="AH2086" s="19" t="n">
        <v>15</v>
      </c>
      <c r="AI2086" s="19"/>
      <c r="AJ2086" s="19"/>
      <c r="AK2086" s="19"/>
      <c r="AL2086" s="19"/>
      <c r="AM2086" s="19" t="n">
        <v>15</v>
      </c>
      <c r="AN2086" s="19"/>
      <c r="AO2086" s="19"/>
      <c r="AP2086" s="19"/>
      <c r="AQ2086" s="19"/>
      <c r="AR2086" s="19"/>
      <c r="AS2086" s="20" t="str">
        <f aca="false">HYPERLINK("http://www.openstreetmap.org/?mlat=32.5869&amp;mlon=44.0508&amp;zoom=12#map=12/32.5869/44.0508","Maplink1")</f>
        <v>Maplink1</v>
      </c>
      <c r="AT2086" s="20" t="str">
        <f aca="false">HYPERLINK("https://www.google.iq/maps/search/+32.5869,44.0508/@32.5869,44.0508,14z?hl=en","Maplink2")</f>
        <v>Maplink2</v>
      </c>
      <c r="AU2086" s="20" t="str">
        <f aca="false">HYPERLINK("http://www.bing.com/maps/?lvl=14&amp;sty=h&amp;cp=32.5869~44.0508&amp;sp=point.32.5869_44.0508","Maplink3")</f>
        <v>Maplink3</v>
      </c>
    </row>
    <row r="2087" customFormat="false" ht="15" hidden="false" customHeight="true" outlineLevel="0" collapsed="false">
      <c r="A2087" s="15" t="n">
        <v>14273</v>
      </c>
      <c r="B2087" s="16" t="s">
        <v>22</v>
      </c>
      <c r="C2087" s="16" t="s">
        <v>22</v>
      </c>
      <c r="D2087" s="16" t="s">
        <v>4094</v>
      </c>
      <c r="E2087" s="17" t="s">
        <v>442</v>
      </c>
      <c r="F2087" s="16" t="n">
        <v>32.574000461</v>
      </c>
      <c r="G2087" s="16" t="n">
        <v>44.0156437922</v>
      </c>
      <c r="H2087" s="18" t="n">
        <v>32</v>
      </c>
      <c r="I2087" s="18" t="n">
        <v>192</v>
      </c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 t="n">
        <v>32</v>
      </c>
      <c r="W2087" s="19"/>
      <c r="X2087" s="19"/>
      <c r="Y2087" s="19"/>
      <c r="Z2087" s="19"/>
      <c r="AA2087" s="19"/>
      <c r="AB2087" s="19"/>
      <c r="AC2087" s="19"/>
      <c r="AD2087" s="19"/>
      <c r="AE2087" s="19"/>
      <c r="AF2087" s="19"/>
      <c r="AG2087" s="19"/>
      <c r="AH2087" s="19" t="n">
        <v>28</v>
      </c>
      <c r="AI2087" s="19"/>
      <c r="AJ2087" s="19" t="n">
        <v>4</v>
      </c>
      <c r="AK2087" s="19"/>
      <c r="AL2087" s="19"/>
      <c r="AM2087" s="19" t="n">
        <v>32</v>
      </c>
      <c r="AN2087" s="19"/>
      <c r="AO2087" s="19"/>
      <c r="AP2087" s="19"/>
      <c r="AQ2087" s="19"/>
      <c r="AR2087" s="19"/>
      <c r="AS2087" s="20" t="str">
        <f aca="false">HYPERLINK("http://www.openstreetmap.org/?mlat=32.574&amp;mlon=44.0156&amp;zoom=12#map=12/32.574/44.0156","Maplink1")</f>
        <v>Maplink1</v>
      </c>
      <c r="AT2087" s="20" t="str">
        <f aca="false">HYPERLINK("https://www.google.iq/maps/search/+32.574,44.0156/@32.574,44.0156,14z?hl=en","Maplink2")</f>
        <v>Maplink2</v>
      </c>
      <c r="AU2087" s="20" t="str">
        <f aca="false">HYPERLINK("http://www.bing.com/maps/?lvl=14&amp;sty=h&amp;cp=32.574~44.0156&amp;sp=point.32.574_44.0156","Maplink3")</f>
        <v>Maplink3</v>
      </c>
    </row>
    <row r="2088" customFormat="false" ht="15" hidden="false" customHeight="true" outlineLevel="0" collapsed="false">
      <c r="A2088" s="15" t="n">
        <v>14004</v>
      </c>
      <c r="B2088" s="16" t="s">
        <v>22</v>
      </c>
      <c r="C2088" s="16" t="s">
        <v>22</v>
      </c>
      <c r="D2088" s="16" t="s">
        <v>4095</v>
      </c>
      <c r="E2088" s="17" t="s">
        <v>4096</v>
      </c>
      <c r="F2088" s="16" t="n">
        <v>32.56507793</v>
      </c>
      <c r="G2088" s="16" t="n">
        <v>44.03327378</v>
      </c>
      <c r="H2088" s="18" t="n">
        <v>26</v>
      </c>
      <c r="I2088" s="18" t="n">
        <v>156</v>
      </c>
      <c r="J2088" s="19" t="n">
        <v>3</v>
      </c>
      <c r="K2088" s="19"/>
      <c r="L2088" s="19"/>
      <c r="M2088" s="19"/>
      <c r="N2088" s="19"/>
      <c r="O2088" s="19" t="n">
        <v>4</v>
      </c>
      <c r="P2088" s="19"/>
      <c r="Q2088" s="19"/>
      <c r="R2088" s="19"/>
      <c r="S2088" s="19"/>
      <c r="T2088" s="19"/>
      <c r="U2088" s="19"/>
      <c r="V2088" s="19" t="n">
        <v>18</v>
      </c>
      <c r="W2088" s="19"/>
      <c r="X2088" s="19" t="n">
        <v>1</v>
      </c>
      <c r="Y2088" s="19"/>
      <c r="Z2088" s="19"/>
      <c r="AA2088" s="19"/>
      <c r="AB2088" s="19"/>
      <c r="AC2088" s="19" t="n">
        <v>3</v>
      </c>
      <c r="AD2088" s="19"/>
      <c r="AE2088" s="19"/>
      <c r="AF2088" s="19"/>
      <c r="AG2088" s="19"/>
      <c r="AH2088" s="19" t="n">
        <v>23</v>
      </c>
      <c r="AI2088" s="19"/>
      <c r="AJ2088" s="19"/>
      <c r="AK2088" s="19"/>
      <c r="AL2088" s="19" t="n">
        <v>3</v>
      </c>
      <c r="AM2088" s="19" t="n">
        <v>18</v>
      </c>
      <c r="AN2088" s="19" t="n">
        <v>5</v>
      </c>
      <c r="AO2088" s="19"/>
      <c r="AP2088" s="19"/>
      <c r="AQ2088" s="19"/>
      <c r="AR2088" s="19"/>
      <c r="AS2088" s="20" t="str">
        <f aca="false">HYPERLINK("http://www.openstreetmap.org/?mlat=32.5651&amp;mlon=44.0333&amp;zoom=12#map=12/32.5651/44.0333","Maplink1")</f>
        <v>Maplink1</v>
      </c>
      <c r="AT2088" s="20" t="str">
        <f aca="false">HYPERLINK("https://www.google.iq/maps/search/+32.5651,44.0333/@32.5651,44.0333,14z?hl=en","Maplink2")</f>
        <v>Maplink2</v>
      </c>
      <c r="AU2088" s="20" t="str">
        <f aca="false">HYPERLINK("http://www.bing.com/maps/?lvl=14&amp;sty=h&amp;cp=32.5651~44.0333&amp;sp=point.32.5651_44.0333","Maplink3")</f>
        <v>Maplink3</v>
      </c>
    </row>
    <row r="2089" customFormat="false" ht="15" hidden="false" customHeight="true" outlineLevel="0" collapsed="false">
      <c r="A2089" s="15" t="n">
        <v>14079</v>
      </c>
      <c r="B2089" s="16" t="s">
        <v>22</v>
      </c>
      <c r="C2089" s="16" t="s">
        <v>22</v>
      </c>
      <c r="D2089" s="16" t="s">
        <v>4097</v>
      </c>
      <c r="E2089" s="17" t="s">
        <v>4098</v>
      </c>
      <c r="F2089" s="16" t="n">
        <v>32.64783736</v>
      </c>
      <c r="G2089" s="16" t="n">
        <v>44.00303372</v>
      </c>
      <c r="H2089" s="18" t="n">
        <v>8</v>
      </c>
      <c r="I2089" s="18" t="n">
        <v>48</v>
      </c>
      <c r="J2089" s="19"/>
      <c r="K2089" s="19"/>
      <c r="L2089" s="19" t="n">
        <v>3</v>
      </c>
      <c r="M2089" s="19"/>
      <c r="N2089" s="19"/>
      <c r="O2089" s="19"/>
      <c r="P2089" s="19"/>
      <c r="Q2089" s="19"/>
      <c r="R2089" s="19"/>
      <c r="S2089" s="19"/>
      <c r="T2089" s="19"/>
      <c r="U2089" s="19"/>
      <c r="V2089" s="19" t="n">
        <v>5</v>
      </c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9"/>
      <c r="AH2089" s="19" t="n">
        <v>8</v>
      </c>
      <c r="AI2089" s="19"/>
      <c r="AJ2089" s="19"/>
      <c r="AK2089" s="19"/>
      <c r="AL2089" s="19"/>
      <c r="AM2089" s="19" t="n">
        <v>5</v>
      </c>
      <c r="AN2089" s="19" t="n">
        <v>2</v>
      </c>
      <c r="AO2089" s="19"/>
      <c r="AP2089" s="19" t="n">
        <v>1</v>
      </c>
      <c r="AQ2089" s="19"/>
      <c r="AR2089" s="19"/>
      <c r="AS2089" s="20" t="str">
        <f aca="false">HYPERLINK("http://www.openstreetmap.org/?mlat=32.6478&amp;mlon=44.003&amp;zoom=12#map=12/32.6478/44.003","Maplink1")</f>
        <v>Maplink1</v>
      </c>
      <c r="AT2089" s="20" t="str">
        <f aca="false">HYPERLINK("https://www.google.iq/maps/search/+32.6478,44.003/@32.6478,44.003,14z?hl=en","Maplink2")</f>
        <v>Maplink2</v>
      </c>
      <c r="AU2089" s="20" t="str">
        <f aca="false">HYPERLINK("http://www.bing.com/maps/?lvl=14&amp;sty=h&amp;cp=32.6478~44.003&amp;sp=point.32.6478_44.003","Maplink3")</f>
        <v>Maplink3</v>
      </c>
    </row>
    <row r="2090" customFormat="false" ht="15" hidden="false" customHeight="true" outlineLevel="0" collapsed="false">
      <c r="A2090" s="15" t="n">
        <v>14023</v>
      </c>
      <c r="B2090" s="16" t="s">
        <v>22</v>
      </c>
      <c r="C2090" s="16" t="s">
        <v>22</v>
      </c>
      <c r="D2090" s="16" t="s">
        <v>4099</v>
      </c>
      <c r="E2090" s="17" t="s">
        <v>4100</v>
      </c>
      <c r="F2090" s="16" t="n">
        <v>32.58156798</v>
      </c>
      <c r="G2090" s="16" t="n">
        <v>44.02013088</v>
      </c>
      <c r="H2090" s="18" t="n">
        <v>6</v>
      </c>
      <c r="I2090" s="18" t="n">
        <v>36</v>
      </c>
      <c r="J2090" s="19" t="n">
        <v>1</v>
      </c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 t="n">
        <v>5</v>
      </c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9"/>
      <c r="AH2090" s="19" t="n">
        <v>6</v>
      </c>
      <c r="AI2090" s="19"/>
      <c r="AJ2090" s="19"/>
      <c r="AK2090" s="19"/>
      <c r="AL2090" s="19" t="n">
        <v>1</v>
      </c>
      <c r="AM2090" s="19" t="n">
        <v>5</v>
      </c>
      <c r="AN2090" s="19"/>
      <c r="AO2090" s="19"/>
      <c r="AP2090" s="19"/>
      <c r="AQ2090" s="19"/>
      <c r="AR2090" s="19"/>
      <c r="AS2090" s="20" t="str">
        <f aca="false">HYPERLINK("http://www.openstreetmap.org/?mlat=32.5816&amp;mlon=44.0201&amp;zoom=12#map=12/32.5816/44.0201","Maplink1")</f>
        <v>Maplink1</v>
      </c>
      <c r="AT2090" s="20" t="str">
        <f aca="false">HYPERLINK("https://www.google.iq/maps/search/+32.5816,44.0201/@32.5816,44.0201,14z?hl=en","Maplink2")</f>
        <v>Maplink2</v>
      </c>
      <c r="AU2090" s="20" t="str">
        <f aca="false">HYPERLINK("http://www.bing.com/maps/?lvl=14&amp;sty=h&amp;cp=32.5816~44.0201&amp;sp=point.32.5816_44.0201","Maplink3")</f>
        <v>Maplink3</v>
      </c>
    </row>
    <row r="2091" customFormat="false" ht="15" hidden="false" customHeight="true" outlineLevel="0" collapsed="false">
      <c r="A2091" s="15" t="n">
        <v>14067</v>
      </c>
      <c r="B2091" s="16" t="s">
        <v>22</v>
      </c>
      <c r="C2091" s="16" t="s">
        <v>22</v>
      </c>
      <c r="D2091" s="16" t="s">
        <v>725</v>
      </c>
      <c r="E2091" s="17" t="s">
        <v>4101</v>
      </c>
      <c r="F2091" s="16" t="n">
        <v>32.59601348</v>
      </c>
      <c r="G2091" s="16" t="n">
        <v>44.00684112</v>
      </c>
      <c r="H2091" s="18" t="n">
        <v>11</v>
      </c>
      <c r="I2091" s="18" t="n">
        <v>66</v>
      </c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 t="n">
        <v>11</v>
      </c>
      <c r="W2091" s="19"/>
      <c r="X2091" s="19"/>
      <c r="Y2091" s="19"/>
      <c r="Z2091" s="19"/>
      <c r="AA2091" s="19"/>
      <c r="AB2091" s="19"/>
      <c r="AC2091" s="19"/>
      <c r="AD2091" s="19"/>
      <c r="AE2091" s="19"/>
      <c r="AF2091" s="19"/>
      <c r="AG2091" s="19"/>
      <c r="AH2091" s="19" t="n">
        <v>11</v>
      </c>
      <c r="AI2091" s="19"/>
      <c r="AJ2091" s="19"/>
      <c r="AK2091" s="19"/>
      <c r="AL2091" s="19"/>
      <c r="AM2091" s="19" t="n">
        <v>11</v>
      </c>
      <c r="AN2091" s="19"/>
      <c r="AO2091" s="19"/>
      <c r="AP2091" s="19"/>
      <c r="AQ2091" s="19"/>
      <c r="AR2091" s="19"/>
      <c r="AS2091" s="20" t="str">
        <f aca="false">HYPERLINK("http://www.openstreetmap.org/?mlat=32.596&amp;mlon=44.0068&amp;zoom=12#map=12/32.596/44.0068","Maplink1")</f>
        <v>Maplink1</v>
      </c>
      <c r="AT2091" s="20" t="str">
        <f aca="false">HYPERLINK("https://www.google.iq/maps/search/+32.596,44.0068/@32.596,44.0068,14z?hl=en","Maplink2")</f>
        <v>Maplink2</v>
      </c>
      <c r="AU2091" s="20" t="str">
        <f aca="false">HYPERLINK("http://www.bing.com/maps/?lvl=14&amp;sty=h&amp;cp=32.596~44.0068&amp;sp=point.32.596_44.0068","Maplink3")</f>
        <v>Maplink3</v>
      </c>
    </row>
    <row r="2092" customFormat="false" ht="15" hidden="false" customHeight="true" outlineLevel="0" collapsed="false">
      <c r="A2092" s="15" t="n">
        <v>14043</v>
      </c>
      <c r="B2092" s="16" t="s">
        <v>22</v>
      </c>
      <c r="C2092" s="16" t="s">
        <v>22</v>
      </c>
      <c r="D2092" s="16" t="s">
        <v>4102</v>
      </c>
      <c r="E2092" s="17" t="s">
        <v>4103</v>
      </c>
      <c r="F2092" s="16" t="n">
        <v>32.58306348</v>
      </c>
      <c r="G2092" s="16" t="n">
        <v>44.03713591</v>
      </c>
      <c r="H2092" s="18" t="n">
        <v>11</v>
      </c>
      <c r="I2092" s="18" t="n">
        <v>66</v>
      </c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 t="n">
        <v>11</v>
      </c>
      <c r="W2092" s="19"/>
      <c r="X2092" s="19"/>
      <c r="Y2092" s="19"/>
      <c r="Z2092" s="19"/>
      <c r="AA2092" s="19"/>
      <c r="AB2092" s="19"/>
      <c r="AC2092" s="19"/>
      <c r="AD2092" s="19"/>
      <c r="AE2092" s="19"/>
      <c r="AF2092" s="19"/>
      <c r="AG2092" s="19"/>
      <c r="AH2092" s="19" t="n">
        <v>11</v>
      </c>
      <c r="AI2092" s="19"/>
      <c r="AJ2092" s="19"/>
      <c r="AK2092" s="19"/>
      <c r="AL2092" s="19"/>
      <c r="AM2092" s="19" t="n">
        <v>11</v>
      </c>
      <c r="AN2092" s="19"/>
      <c r="AO2092" s="19"/>
      <c r="AP2092" s="19"/>
      <c r="AQ2092" s="19"/>
      <c r="AR2092" s="19"/>
      <c r="AS2092" s="20" t="str">
        <f aca="false">HYPERLINK("http://www.openstreetmap.org/?mlat=32.5831&amp;mlon=44.0371&amp;zoom=12#map=12/32.5831/44.0371","Maplink1")</f>
        <v>Maplink1</v>
      </c>
      <c r="AT2092" s="20" t="str">
        <f aca="false">HYPERLINK("https://www.google.iq/maps/search/+32.5831,44.0371/@32.5831,44.0371,14z?hl=en","Maplink2")</f>
        <v>Maplink2</v>
      </c>
      <c r="AU2092" s="20" t="str">
        <f aca="false">HYPERLINK("http://www.bing.com/maps/?lvl=14&amp;sty=h&amp;cp=32.5831~44.0371&amp;sp=point.32.5831_44.0371","Maplink3")</f>
        <v>Maplink3</v>
      </c>
    </row>
    <row r="2093" customFormat="false" ht="15" hidden="false" customHeight="true" outlineLevel="0" collapsed="false">
      <c r="A2093" s="15" t="n">
        <v>14005</v>
      </c>
      <c r="B2093" s="16" t="s">
        <v>22</v>
      </c>
      <c r="C2093" s="16" t="s">
        <v>22</v>
      </c>
      <c r="D2093" s="16" t="s">
        <v>4104</v>
      </c>
      <c r="E2093" s="17" t="s">
        <v>4105</v>
      </c>
      <c r="F2093" s="16" t="n">
        <v>32.56889433</v>
      </c>
      <c r="G2093" s="16" t="n">
        <v>44.02586703</v>
      </c>
      <c r="H2093" s="18" t="n">
        <v>49</v>
      </c>
      <c r="I2093" s="18" t="n">
        <v>294</v>
      </c>
      <c r="J2093" s="19" t="n">
        <v>6</v>
      </c>
      <c r="K2093" s="19"/>
      <c r="L2093" s="19"/>
      <c r="M2093" s="19"/>
      <c r="N2093" s="19"/>
      <c r="O2093" s="19" t="n">
        <v>3</v>
      </c>
      <c r="P2093" s="19"/>
      <c r="Q2093" s="19"/>
      <c r="R2093" s="19" t="n">
        <v>4</v>
      </c>
      <c r="S2093" s="19"/>
      <c r="T2093" s="19"/>
      <c r="U2093" s="19"/>
      <c r="V2093" s="19" t="n">
        <v>32</v>
      </c>
      <c r="W2093" s="19"/>
      <c r="X2093" s="19" t="n">
        <v>4</v>
      </c>
      <c r="Y2093" s="19"/>
      <c r="Z2093" s="19"/>
      <c r="AA2093" s="19"/>
      <c r="AB2093" s="19"/>
      <c r="AC2093" s="19"/>
      <c r="AD2093" s="19"/>
      <c r="AE2093" s="19"/>
      <c r="AF2093" s="19"/>
      <c r="AG2093" s="19"/>
      <c r="AH2093" s="19" t="n">
        <v>49</v>
      </c>
      <c r="AI2093" s="19"/>
      <c r="AJ2093" s="19"/>
      <c r="AK2093" s="19"/>
      <c r="AL2093" s="19"/>
      <c r="AM2093" s="19" t="n">
        <v>43</v>
      </c>
      <c r="AN2093" s="19"/>
      <c r="AO2093" s="19" t="n">
        <v>2</v>
      </c>
      <c r="AP2093" s="19" t="n">
        <v>4</v>
      </c>
      <c r="AQ2093" s="19"/>
      <c r="AR2093" s="19"/>
      <c r="AS2093" s="20" t="str">
        <f aca="false">HYPERLINK("http://www.openstreetmap.org/?mlat=32.5689&amp;mlon=44.0259&amp;zoom=12#map=12/32.5689/44.0259","Maplink1")</f>
        <v>Maplink1</v>
      </c>
      <c r="AT2093" s="20" t="str">
        <f aca="false">HYPERLINK("https://www.google.iq/maps/search/+32.5689,44.0259/@32.5689,44.0259,14z?hl=en","Maplink2")</f>
        <v>Maplink2</v>
      </c>
      <c r="AU2093" s="20" t="str">
        <f aca="false">HYPERLINK("http://www.bing.com/maps/?lvl=14&amp;sty=h&amp;cp=32.5689~44.0259&amp;sp=point.32.5689_44.0259","Maplink3")</f>
        <v>Maplink3</v>
      </c>
    </row>
    <row r="2094" customFormat="false" ht="15" hidden="false" customHeight="true" outlineLevel="0" collapsed="false">
      <c r="A2094" s="15" t="n">
        <v>25554</v>
      </c>
      <c r="B2094" s="16" t="s">
        <v>22</v>
      </c>
      <c r="C2094" s="16" t="s">
        <v>22</v>
      </c>
      <c r="D2094" s="16" t="s">
        <v>4106</v>
      </c>
      <c r="E2094" s="17" t="s">
        <v>4107</v>
      </c>
      <c r="F2094" s="16" t="n">
        <v>32.62850509</v>
      </c>
      <c r="G2094" s="16" t="n">
        <v>43.96972974</v>
      </c>
      <c r="H2094" s="18" t="n">
        <v>3</v>
      </c>
      <c r="I2094" s="18" t="n">
        <v>18</v>
      </c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 t="n">
        <v>3</v>
      </c>
      <c r="W2094" s="19"/>
      <c r="X2094" s="19"/>
      <c r="Y2094" s="19"/>
      <c r="Z2094" s="19"/>
      <c r="AA2094" s="19"/>
      <c r="AB2094" s="19"/>
      <c r="AC2094" s="19"/>
      <c r="AD2094" s="19"/>
      <c r="AE2094" s="19"/>
      <c r="AF2094" s="19"/>
      <c r="AG2094" s="19"/>
      <c r="AH2094" s="19" t="n">
        <v>3</v>
      </c>
      <c r="AI2094" s="19"/>
      <c r="AJ2094" s="19"/>
      <c r="AK2094" s="19"/>
      <c r="AL2094" s="19"/>
      <c r="AM2094" s="19" t="n">
        <v>3</v>
      </c>
      <c r="AN2094" s="19"/>
      <c r="AO2094" s="19"/>
      <c r="AP2094" s="19"/>
      <c r="AQ2094" s="19"/>
      <c r="AR2094" s="19"/>
      <c r="AS2094" s="20" t="str">
        <f aca="false">HYPERLINK("http://www.openstreetmap.org/?mlat=32.6285&amp;mlon=43.9697&amp;zoom=12#map=12/32.6285/43.9697","Maplink1")</f>
        <v>Maplink1</v>
      </c>
      <c r="AT2094" s="20" t="str">
        <f aca="false">HYPERLINK("https://www.google.iq/maps/search/+32.6285,43.9697/@32.6285,43.9697,14z?hl=en","Maplink2")</f>
        <v>Maplink2</v>
      </c>
      <c r="AU2094" s="20" t="str">
        <f aca="false">HYPERLINK("http://www.bing.com/maps/?lvl=14&amp;sty=h&amp;cp=32.6285~43.9697&amp;sp=point.32.6285_43.9697","Maplink3")</f>
        <v>Maplink3</v>
      </c>
    </row>
    <row r="2095" customFormat="false" ht="15" hidden="false" customHeight="true" outlineLevel="0" collapsed="false">
      <c r="A2095" s="15" t="n">
        <v>25272</v>
      </c>
      <c r="B2095" s="16" t="s">
        <v>22</v>
      </c>
      <c r="C2095" s="16" t="s">
        <v>22</v>
      </c>
      <c r="D2095" s="16" t="s">
        <v>4108</v>
      </c>
      <c r="E2095" s="17" t="s">
        <v>4109</v>
      </c>
      <c r="F2095" s="16" t="n">
        <v>32.58479417</v>
      </c>
      <c r="G2095" s="16" t="n">
        <v>44.01004585</v>
      </c>
      <c r="H2095" s="18" t="n">
        <v>17</v>
      </c>
      <c r="I2095" s="18" t="n">
        <v>102</v>
      </c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 t="n">
        <v>17</v>
      </c>
      <c r="W2095" s="19"/>
      <c r="X2095" s="19"/>
      <c r="Y2095" s="19"/>
      <c r="Z2095" s="19"/>
      <c r="AA2095" s="19"/>
      <c r="AB2095" s="19"/>
      <c r="AC2095" s="19"/>
      <c r="AD2095" s="19"/>
      <c r="AE2095" s="19"/>
      <c r="AF2095" s="19"/>
      <c r="AG2095" s="19" t="n">
        <v>13</v>
      </c>
      <c r="AH2095" s="19" t="n">
        <v>4</v>
      </c>
      <c r="AI2095" s="19"/>
      <c r="AJ2095" s="19"/>
      <c r="AK2095" s="19"/>
      <c r="AL2095" s="19"/>
      <c r="AM2095" s="19" t="n">
        <v>17</v>
      </c>
      <c r="AN2095" s="19"/>
      <c r="AO2095" s="19"/>
      <c r="AP2095" s="19"/>
      <c r="AQ2095" s="19"/>
      <c r="AR2095" s="19"/>
      <c r="AS2095" s="20" t="str">
        <f aca="false">HYPERLINK("http://www.openstreetmap.org/?mlat=32.5848&amp;mlon=44.01&amp;zoom=12#map=12/32.5848/44.01","Maplink1")</f>
        <v>Maplink1</v>
      </c>
      <c r="AT2095" s="20" t="str">
        <f aca="false">HYPERLINK("https://www.google.iq/maps/search/+32.5848,44.01/@32.5848,44.01,14z?hl=en","Maplink2")</f>
        <v>Maplink2</v>
      </c>
      <c r="AU2095" s="20" t="str">
        <f aca="false">HYPERLINK("http://www.bing.com/maps/?lvl=14&amp;sty=h&amp;cp=32.5848~44.01&amp;sp=point.32.5848_44.01","Maplink3")</f>
        <v>Maplink3</v>
      </c>
    </row>
    <row r="2096" customFormat="false" ht="15" hidden="false" customHeight="true" outlineLevel="0" collapsed="false">
      <c r="A2096" s="15" t="n">
        <v>27266</v>
      </c>
      <c r="B2096" s="16" t="s">
        <v>22</v>
      </c>
      <c r="C2096" s="16" t="s">
        <v>22</v>
      </c>
      <c r="D2096" s="16" t="s">
        <v>4110</v>
      </c>
      <c r="E2096" s="17" t="s">
        <v>4111</v>
      </c>
      <c r="F2096" s="16" t="n">
        <v>32.591259554</v>
      </c>
      <c r="G2096" s="16" t="n">
        <v>44.009982571</v>
      </c>
      <c r="H2096" s="18" t="n">
        <v>30</v>
      </c>
      <c r="I2096" s="18" t="n">
        <v>180</v>
      </c>
      <c r="J2096" s="19" t="n">
        <v>1</v>
      </c>
      <c r="K2096" s="19"/>
      <c r="L2096" s="19"/>
      <c r="M2096" s="19"/>
      <c r="N2096" s="19"/>
      <c r="O2096" s="19" t="n">
        <v>1</v>
      </c>
      <c r="P2096" s="19"/>
      <c r="Q2096" s="19"/>
      <c r="R2096" s="19" t="n">
        <v>2</v>
      </c>
      <c r="S2096" s="19"/>
      <c r="T2096" s="19"/>
      <c r="U2096" s="19"/>
      <c r="V2096" s="19" t="n">
        <v>26</v>
      </c>
      <c r="W2096" s="19"/>
      <c r="X2096" s="19"/>
      <c r="Y2096" s="19"/>
      <c r="Z2096" s="19"/>
      <c r="AA2096" s="19"/>
      <c r="AB2096" s="19"/>
      <c r="AC2096" s="19"/>
      <c r="AD2096" s="19"/>
      <c r="AE2096" s="19"/>
      <c r="AF2096" s="19"/>
      <c r="AG2096" s="19"/>
      <c r="AH2096" s="19" t="n">
        <v>30</v>
      </c>
      <c r="AI2096" s="19"/>
      <c r="AJ2096" s="19"/>
      <c r="AK2096" s="19"/>
      <c r="AL2096" s="19" t="n">
        <v>1</v>
      </c>
      <c r="AM2096" s="19" t="n">
        <v>26</v>
      </c>
      <c r="AN2096" s="19" t="n">
        <v>3</v>
      </c>
      <c r="AO2096" s="19"/>
      <c r="AP2096" s="19"/>
      <c r="AQ2096" s="19"/>
      <c r="AR2096" s="19"/>
      <c r="AS2096" s="20" t="str">
        <f aca="false">HYPERLINK("http://www.openstreetmap.org/?mlat=32.5913&amp;mlon=44.01&amp;zoom=12#map=12/32.5913/44.01","Maplink1")</f>
        <v>Maplink1</v>
      </c>
      <c r="AT2096" s="20" t="str">
        <f aca="false">HYPERLINK("https://www.google.iq/maps/search/+32.5913,44.01/@32.5913,44.01,14z?hl=en","Maplink2")</f>
        <v>Maplink2</v>
      </c>
      <c r="AU2096" s="20" t="str">
        <f aca="false">HYPERLINK("http://www.bing.com/maps/?lvl=14&amp;sty=h&amp;cp=32.5913~44.01&amp;sp=point.32.5913_44.01","Maplink3")</f>
        <v>Maplink3</v>
      </c>
    </row>
    <row r="2097" customFormat="false" ht="15" hidden="false" customHeight="true" outlineLevel="0" collapsed="false">
      <c r="A2097" s="15" t="n">
        <v>14274</v>
      </c>
      <c r="B2097" s="16" t="s">
        <v>22</v>
      </c>
      <c r="C2097" s="16" t="s">
        <v>22</v>
      </c>
      <c r="D2097" s="16" t="s">
        <v>4112</v>
      </c>
      <c r="E2097" s="17" t="s">
        <v>4113</v>
      </c>
      <c r="F2097" s="16" t="n">
        <v>32.6074409</v>
      </c>
      <c r="G2097" s="16" t="n">
        <v>44.01328471</v>
      </c>
      <c r="H2097" s="18" t="n">
        <v>13</v>
      </c>
      <c r="I2097" s="18" t="n">
        <v>78</v>
      </c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 t="n">
        <v>13</v>
      </c>
      <c r="W2097" s="19"/>
      <c r="X2097" s="19"/>
      <c r="Y2097" s="19"/>
      <c r="Z2097" s="19"/>
      <c r="AA2097" s="19"/>
      <c r="AB2097" s="19"/>
      <c r="AC2097" s="19"/>
      <c r="AD2097" s="19"/>
      <c r="AE2097" s="19"/>
      <c r="AF2097" s="19"/>
      <c r="AG2097" s="19" t="n">
        <v>2</v>
      </c>
      <c r="AH2097" s="19" t="n">
        <v>11</v>
      </c>
      <c r="AI2097" s="19"/>
      <c r="AJ2097" s="19"/>
      <c r="AK2097" s="19"/>
      <c r="AL2097" s="19"/>
      <c r="AM2097" s="19" t="n">
        <v>13</v>
      </c>
      <c r="AN2097" s="19"/>
      <c r="AO2097" s="19"/>
      <c r="AP2097" s="19"/>
      <c r="AQ2097" s="19"/>
      <c r="AR2097" s="19"/>
      <c r="AS2097" s="20" t="str">
        <f aca="false">HYPERLINK("http://www.openstreetmap.org/?mlat=32.6074&amp;mlon=44.0133&amp;zoom=12#map=12/32.6074/44.0133","Maplink1")</f>
        <v>Maplink1</v>
      </c>
      <c r="AT2097" s="20" t="str">
        <f aca="false">HYPERLINK("https://www.google.iq/maps/search/+32.6074,44.0133/@32.6074,44.0133,14z?hl=en","Maplink2")</f>
        <v>Maplink2</v>
      </c>
      <c r="AU2097" s="20" t="str">
        <f aca="false">HYPERLINK("http://www.bing.com/maps/?lvl=14&amp;sty=h&amp;cp=32.6074~44.0133&amp;sp=point.32.6074_44.0133","Maplink3")</f>
        <v>Maplink3</v>
      </c>
    </row>
    <row r="2098" customFormat="false" ht="15" hidden="false" customHeight="true" outlineLevel="0" collapsed="false">
      <c r="A2098" s="15" t="n">
        <v>14272</v>
      </c>
      <c r="B2098" s="16" t="s">
        <v>22</v>
      </c>
      <c r="C2098" s="16" t="s">
        <v>22</v>
      </c>
      <c r="D2098" s="16" t="s">
        <v>4114</v>
      </c>
      <c r="E2098" s="17" t="s">
        <v>4115</v>
      </c>
      <c r="F2098" s="16" t="n">
        <v>32.60866923</v>
      </c>
      <c r="G2098" s="16" t="n">
        <v>44.01017946</v>
      </c>
      <c r="H2098" s="18" t="n">
        <v>11</v>
      </c>
      <c r="I2098" s="18" t="n">
        <v>66</v>
      </c>
      <c r="J2098" s="19" t="n">
        <v>1</v>
      </c>
      <c r="K2098" s="19"/>
      <c r="L2098" s="19"/>
      <c r="M2098" s="19"/>
      <c r="N2098" s="19"/>
      <c r="O2098" s="19" t="n">
        <v>1</v>
      </c>
      <c r="P2098" s="19"/>
      <c r="Q2098" s="19"/>
      <c r="R2098" s="19"/>
      <c r="S2098" s="19"/>
      <c r="T2098" s="19"/>
      <c r="U2098" s="19"/>
      <c r="V2098" s="19" t="n">
        <v>9</v>
      </c>
      <c r="W2098" s="19"/>
      <c r="X2098" s="19"/>
      <c r="Y2098" s="19"/>
      <c r="Z2098" s="19"/>
      <c r="AA2098" s="19"/>
      <c r="AB2098" s="19"/>
      <c r="AC2098" s="19"/>
      <c r="AD2098" s="19"/>
      <c r="AE2098" s="19"/>
      <c r="AF2098" s="19"/>
      <c r="AG2098" s="19"/>
      <c r="AH2098" s="19" t="n">
        <v>11</v>
      </c>
      <c r="AI2098" s="19"/>
      <c r="AJ2098" s="19"/>
      <c r="AK2098" s="19"/>
      <c r="AL2098" s="19" t="n">
        <v>1</v>
      </c>
      <c r="AM2098" s="19" t="n">
        <v>10</v>
      </c>
      <c r="AN2098" s="19"/>
      <c r="AO2098" s="19"/>
      <c r="AP2098" s="19"/>
      <c r="AQ2098" s="19"/>
      <c r="AR2098" s="19"/>
      <c r="AS2098" s="20" t="str">
        <f aca="false">HYPERLINK("http://www.openstreetmap.org/?mlat=32.6087&amp;mlon=44.0102&amp;zoom=12#map=12/32.6087/44.0102","Maplink1")</f>
        <v>Maplink1</v>
      </c>
      <c r="AT2098" s="20" t="str">
        <f aca="false">HYPERLINK("https://www.google.iq/maps/search/+32.6087,44.0102/@32.6087,44.0102,14z?hl=en","Maplink2")</f>
        <v>Maplink2</v>
      </c>
      <c r="AU2098" s="20" t="str">
        <f aca="false">HYPERLINK("http://www.bing.com/maps/?lvl=14&amp;sty=h&amp;cp=32.6087~44.0102&amp;sp=point.32.6087_44.0102","Maplink3")</f>
        <v>Maplink3</v>
      </c>
    </row>
    <row r="2099" customFormat="false" ht="15" hidden="false" customHeight="true" outlineLevel="0" collapsed="false">
      <c r="A2099" s="15" t="n">
        <v>25263</v>
      </c>
      <c r="B2099" s="16" t="s">
        <v>22</v>
      </c>
      <c r="C2099" s="16" t="s">
        <v>22</v>
      </c>
      <c r="D2099" s="16" t="s">
        <v>4116</v>
      </c>
      <c r="E2099" s="17" t="s">
        <v>4117</v>
      </c>
      <c r="F2099" s="16" t="n">
        <v>32.60607474</v>
      </c>
      <c r="G2099" s="16" t="n">
        <v>44.05981508</v>
      </c>
      <c r="H2099" s="18" t="n">
        <v>190</v>
      </c>
      <c r="I2099" s="18" t="n">
        <v>1140</v>
      </c>
      <c r="J2099" s="19" t="n">
        <v>10</v>
      </c>
      <c r="K2099" s="19"/>
      <c r="L2099" s="19"/>
      <c r="M2099" s="19"/>
      <c r="N2099" s="19"/>
      <c r="O2099" s="19" t="n">
        <v>5</v>
      </c>
      <c r="P2099" s="19"/>
      <c r="Q2099" s="19"/>
      <c r="R2099" s="19"/>
      <c r="S2099" s="19"/>
      <c r="T2099" s="19"/>
      <c r="U2099" s="19"/>
      <c r="V2099" s="19" t="n">
        <v>170</v>
      </c>
      <c r="W2099" s="19"/>
      <c r="X2099" s="19" t="n">
        <v>5</v>
      </c>
      <c r="Y2099" s="19"/>
      <c r="Z2099" s="19"/>
      <c r="AA2099" s="19"/>
      <c r="AB2099" s="19"/>
      <c r="AC2099" s="19" t="n">
        <v>18</v>
      </c>
      <c r="AD2099" s="19"/>
      <c r="AE2099" s="19" t="n">
        <v>3</v>
      </c>
      <c r="AF2099" s="19"/>
      <c r="AG2099" s="19" t="n">
        <v>95</v>
      </c>
      <c r="AH2099" s="19" t="n">
        <v>72</v>
      </c>
      <c r="AI2099" s="19"/>
      <c r="AJ2099" s="19" t="n">
        <v>2</v>
      </c>
      <c r="AK2099" s="19"/>
      <c r="AL2099" s="19" t="n">
        <v>10</v>
      </c>
      <c r="AM2099" s="19" t="n">
        <v>170</v>
      </c>
      <c r="AN2099" s="19" t="n">
        <v>10</v>
      </c>
      <c r="AO2099" s="19"/>
      <c r="AP2099" s="19"/>
      <c r="AQ2099" s="19"/>
      <c r="AR2099" s="19"/>
      <c r="AS2099" s="20" t="str">
        <f aca="false">HYPERLINK("http://www.openstreetmap.org/?mlat=32.6061&amp;mlon=44.0598&amp;zoom=12#map=12/32.6061/44.0598","Maplink1")</f>
        <v>Maplink1</v>
      </c>
      <c r="AT2099" s="20" t="str">
        <f aca="false">HYPERLINK("https://www.google.iq/maps/search/+32.6061,44.0598/@32.6061,44.0598,14z?hl=en","Maplink2")</f>
        <v>Maplink2</v>
      </c>
      <c r="AU2099" s="20" t="str">
        <f aca="false">HYPERLINK("http://www.bing.com/maps/?lvl=14&amp;sty=h&amp;cp=32.6061~44.0598&amp;sp=point.32.6061_44.0598","Maplink3")</f>
        <v>Maplink3</v>
      </c>
    </row>
    <row r="2100" customFormat="false" ht="15" hidden="false" customHeight="true" outlineLevel="0" collapsed="false">
      <c r="A2100" s="15" t="n">
        <v>25847</v>
      </c>
      <c r="B2100" s="16" t="s">
        <v>22</v>
      </c>
      <c r="C2100" s="16" t="s">
        <v>22</v>
      </c>
      <c r="D2100" s="16" t="s">
        <v>4118</v>
      </c>
      <c r="E2100" s="17" t="s">
        <v>4119</v>
      </c>
      <c r="F2100" s="16" t="n">
        <v>32.60480123</v>
      </c>
      <c r="G2100" s="16" t="n">
        <v>44.08145213</v>
      </c>
      <c r="H2100" s="18" t="n">
        <v>22</v>
      </c>
      <c r="I2100" s="18" t="n">
        <v>132</v>
      </c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 t="n">
        <v>22</v>
      </c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19" t="n">
        <v>6</v>
      </c>
      <c r="AH2100" s="19" t="n">
        <v>16</v>
      </c>
      <c r="AI2100" s="19"/>
      <c r="AJ2100" s="19"/>
      <c r="AK2100" s="19"/>
      <c r="AL2100" s="19"/>
      <c r="AM2100" s="19" t="n">
        <v>22</v>
      </c>
      <c r="AN2100" s="19"/>
      <c r="AO2100" s="19"/>
      <c r="AP2100" s="19"/>
      <c r="AQ2100" s="19"/>
      <c r="AR2100" s="19"/>
      <c r="AS2100" s="20" t="str">
        <f aca="false">HYPERLINK("http://www.openstreetmap.org/?mlat=32.6048&amp;mlon=44.0815&amp;zoom=12#map=12/32.6048/44.0815","Maplink1")</f>
        <v>Maplink1</v>
      </c>
      <c r="AT2100" s="20" t="str">
        <f aca="false">HYPERLINK("https://www.google.iq/maps/search/+32.6048,44.0815/@32.6048,44.0815,14z?hl=en","Maplink2")</f>
        <v>Maplink2</v>
      </c>
      <c r="AU2100" s="20" t="str">
        <f aca="false">HYPERLINK("http://www.bing.com/maps/?lvl=14&amp;sty=h&amp;cp=32.6048~44.0815&amp;sp=point.32.6048_44.0815","Maplink3")</f>
        <v>Maplink3</v>
      </c>
    </row>
    <row r="2101" customFormat="false" ht="15" hidden="false" customHeight="true" outlineLevel="0" collapsed="false">
      <c r="A2101" s="15" t="n">
        <v>25854</v>
      </c>
      <c r="B2101" s="16" t="s">
        <v>22</v>
      </c>
      <c r="C2101" s="16" t="s">
        <v>22</v>
      </c>
      <c r="D2101" s="16" t="s">
        <v>4120</v>
      </c>
      <c r="E2101" s="17" t="s">
        <v>4121</v>
      </c>
      <c r="F2101" s="16" t="n">
        <v>32.6544853</v>
      </c>
      <c r="G2101" s="16" t="n">
        <v>44.1176876</v>
      </c>
      <c r="H2101" s="18" t="n">
        <v>10</v>
      </c>
      <c r="I2101" s="18" t="n">
        <v>60</v>
      </c>
      <c r="J2101" s="19" t="n">
        <v>5</v>
      </c>
      <c r="K2101" s="19"/>
      <c r="L2101" s="19"/>
      <c r="M2101" s="19"/>
      <c r="N2101" s="19"/>
      <c r="O2101" s="19" t="n">
        <v>1</v>
      </c>
      <c r="P2101" s="19"/>
      <c r="Q2101" s="19"/>
      <c r="R2101" s="19"/>
      <c r="S2101" s="19"/>
      <c r="T2101" s="19"/>
      <c r="U2101" s="19"/>
      <c r="V2101" s="19" t="n">
        <v>4</v>
      </c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19" t="n">
        <v>1</v>
      </c>
      <c r="AH2101" s="19" t="n">
        <v>9</v>
      </c>
      <c r="AI2101" s="19"/>
      <c r="AJ2101" s="19"/>
      <c r="AK2101" s="19"/>
      <c r="AL2101" s="19" t="n">
        <v>5</v>
      </c>
      <c r="AM2101" s="19" t="n">
        <v>4</v>
      </c>
      <c r="AN2101" s="19"/>
      <c r="AO2101" s="19"/>
      <c r="AP2101" s="19" t="n">
        <v>1</v>
      </c>
      <c r="AQ2101" s="19"/>
      <c r="AR2101" s="19"/>
      <c r="AS2101" s="20" t="str">
        <f aca="false">HYPERLINK("http://www.openstreetmap.org/?mlat=32.6545&amp;mlon=44.1177&amp;zoom=12#map=12/32.6545/44.1177","Maplink1")</f>
        <v>Maplink1</v>
      </c>
      <c r="AT2101" s="20" t="str">
        <f aca="false">HYPERLINK("https://www.google.iq/maps/search/+32.6545,44.1177/@32.6545,44.1177,14z?hl=en","Maplink2")</f>
        <v>Maplink2</v>
      </c>
      <c r="AU2101" s="20" t="str">
        <f aca="false">HYPERLINK("http://www.bing.com/maps/?lvl=14&amp;sty=h&amp;cp=32.6545~44.1177&amp;sp=point.32.6545_44.1177","Maplink3")</f>
        <v>Maplink3</v>
      </c>
    </row>
    <row r="2102" customFormat="false" ht="15" hidden="false" customHeight="true" outlineLevel="0" collapsed="false">
      <c r="A2102" s="15" t="n">
        <v>25853</v>
      </c>
      <c r="B2102" s="16" t="s">
        <v>22</v>
      </c>
      <c r="C2102" s="16" t="s">
        <v>22</v>
      </c>
      <c r="D2102" s="16" t="s">
        <v>4122</v>
      </c>
      <c r="E2102" s="17" t="s">
        <v>4123</v>
      </c>
      <c r="F2102" s="16" t="n">
        <v>32.65227612</v>
      </c>
      <c r="G2102" s="16" t="n">
        <v>44.11414339</v>
      </c>
      <c r="H2102" s="18" t="n">
        <v>8</v>
      </c>
      <c r="I2102" s="18" t="n">
        <v>48</v>
      </c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 t="n">
        <v>8</v>
      </c>
      <c r="W2102" s="19"/>
      <c r="X2102" s="19"/>
      <c r="Y2102" s="19"/>
      <c r="Z2102" s="19"/>
      <c r="AA2102" s="19"/>
      <c r="AB2102" s="19"/>
      <c r="AC2102" s="19" t="n">
        <v>1</v>
      </c>
      <c r="AD2102" s="19"/>
      <c r="AE2102" s="19"/>
      <c r="AF2102" s="19"/>
      <c r="AG2102" s="19" t="n">
        <v>7</v>
      </c>
      <c r="AH2102" s="19"/>
      <c r="AI2102" s="19"/>
      <c r="AJ2102" s="19"/>
      <c r="AK2102" s="19"/>
      <c r="AL2102" s="19"/>
      <c r="AM2102" s="19" t="n">
        <v>8</v>
      </c>
      <c r="AN2102" s="19"/>
      <c r="AO2102" s="19"/>
      <c r="AP2102" s="19"/>
      <c r="AQ2102" s="19"/>
      <c r="AR2102" s="19"/>
      <c r="AS2102" s="20" t="str">
        <f aca="false">HYPERLINK("http://www.openstreetmap.org/?mlat=32.6523&amp;mlon=44.1141&amp;zoom=12#map=12/32.6523/44.1141","Maplink1")</f>
        <v>Maplink1</v>
      </c>
      <c r="AT2102" s="20" t="str">
        <f aca="false">HYPERLINK("https://www.google.iq/maps/search/+32.6523,44.1141/@32.6523,44.1141,14z?hl=en","Maplink2")</f>
        <v>Maplink2</v>
      </c>
      <c r="AU2102" s="20" t="str">
        <f aca="false">HYPERLINK("http://www.bing.com/maps/?lvl=14&amp;sty=h&amp;cp=32.6523~44.1141&amp;sp=point.32.6523_44.1141","Maplink3")</f>
        <v>Maplink3</v>
      </c>
    </row>
    <row r="2103" customFormat="false" ht="15" hidden="false" customHeight="true" outlineLevel="0" collapsed="false">
      <c r="A2103" s="15" t="n">
        <v>14102</v>
      </c>
      <c r="B2103" s="16" t="s">
        <v>22</v>
      </c>
      <c r="C2103" s="16" t="s">
        <v>22</v>
      </c>
      <c r="D2103" s="16" t="s">
        <v>4124</v>
      </c>
      <c r="E2103" s="17" t="s">
        <v>4125</v>
      </c>
      <c r="F2103" s="16" t="n">
        <v>32.61414835</v>
      </c>
      <c r="G2103" s="16" t="n">
        <v>44.03073817</v>
      </c>
      <c r="H2103" s="18" t="n">
        <v>60</v>
      </c>
      <c r="I2103" s="18" t="n">
        <v>360</v>
      </c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 t="n">
        <v>60</v>
      </c>
      <c r="W2103" s="19"/>
      <c r="X2103" s="19"/>
      <c r="Y2103" s="19"/>
      <c r="Z2103" s="19"/>
      <c r="AA2103" s="19"/>
      <c r="AB2103" s="19"/>
      <c r="AC2103" s="19" t="n">
        <v>32</v>
      </c>
      <c r="AD2103" s="19"/>
      <c r="AE2103" s="19"/>
      <c r="AF2103" s="19"/>
      <c r="AG2103" s="19"/>
      <c r="AH2103" s="19" t="n">
        <v>28</v>
      </c>
      <c r="AI2103" s="19"/>
      <c r="AJ2103" s="19"/>
      <c r="AK2103" s="19"/>
      <c r="AL2103" s="19"/>
      <c r="AM2103" s="19" t="n">
        <v>60</v>
      </c>
      <c r="AN2103" s="19"/>
      <c r="AO2103" s="19"/>
      <c r="AP2103" s="19"/>
      <c r="AQ2103" s="19"/>
      <c r="AR2103" s="19"/>
      <c r="AS2103" s="20" t="str">
        <f aca="false">HYPERLINK("http://www.openstreetmap.org/?mlat=32.6141&amp;mlon=44.0307&amp;zoom=12#map=12/32.6141/44.0307","Maplink1")</f>
        <v>Maplink1</v>
      </c>
      <c r="AT2103" s="20" t="str">
        <f aca="false">HYPERLINK("https://www.google.iq/maps/search/+32.6141,44.0307/@32.6141,44.0307,14z?hl=en","Maplink2")</f>
        <v>Maplink2</v>
      </c>
      <c r="AU2103" s="20" t="str">
        <f aca="false">HYPERLINK("http://www.bing.com/maps/?lvl=14&amp;sty=h&amp;cp=32.6141~44.0307&amp;sp=point.32.6141_44.0307","Maplink3")</f>
        <v>Maplink3</v>
      </c>
    </row>
    <row r="2104" customFormat="false" ht="15" hidden="false" customHeight="true" outlineLevel="0" collapsed="false">
      <c r="A2104" s="15" t="n">
        <v>14121</v>
      </c>
      <c r="B2104" s="16" t="s">
        <v>22</v>
      </c>
      <c r="C2104" s="16" t="s">
        <v>22</v>
      </c>
      <c r="D2104" s="16" t="s">
        <v>4126</v>
      </c>
      <c r="E2104" s="17" t="s">
        <v>4127</v>
      </c>
      <c r="F2104" s="16" t="n">
        <v>32.61721789</v>
      </c>
      <c r="G2104" s="16" t="n">
        <v>44.04011032</v>
      </c>
      <c r="H2104" s="18" t="n">
        <v>100</v>
      </c>
      <c r="I2104" s="18" t="n">
        <v>600</v>
      </c>
      <c r="J2104" s="19" t="n">
        <v>1</v>
      </c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 t="n">
        <v>99</v>
      </c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19"/>
      <c r="AH2104" s="19" t="n">
        <v>100</v>
      </c>
      <c r="AI2104" s="19"/>
      <c r="AJ2104" s="19"/>
      <c r="AK2104" s="19"/>
      <c r="AL2104" s="19" t="n">
        <v>1</v>
      </c>
      <c r="AM2104" s="19" t="n">
        <v>99</v>
      </c>
      <c r="AN2104" s="19"/>
      <c r="AO2104" s="19"/>
      <c r="AP2104" s="19"/>
      <c r="AQ2104" s="19"/>
      <c r="AR2104" s="19"/>
      <c r="AS2104" s="20" t="str">
        <f aca="false">HYPERLINK("http://www.openstreetmap.org/?mlat=32.6172&amp;mlon=44.0401&amp;zoom=12#map=12/32.6172/44.0401","Maplink1")</f>
        <v>Maplink1</v>
      </c>
      <c r="AT2104" s="20" t="str">
        <f aca="false">HYPERLINK("https://www.google.iq/maps/search/+32.6172,44.0401/@32.6172,44.0401,14z?hl=en","Maplink2")</f>
        <v>Maplink2</v>
      </c>
      <c r="AU2104" s="20" t="str">
        <f aca="false">HYPERLINK("http://www.bing.com/maps/?lvl=14&amp;sty=h&amp;cp=32.6172~44.0401&amp;sp=point.32.6172_44.0401","Maplink3")</f>
        <v>Maplink3</v>
      </c>
    </row>
    <row r="2105" customFormat="false" ht="15" hidden="false" customHeight="true" outlineLevel="0" collapsed="false">
      <c r="A2105" s="15" t="n">
        <v>14114</v>
      </c>
      <c r="B2105" s="16" t="s">
        <v>22</v>
      </c>
      <c r="C2105" s="16" t="s">
        <v>22</v>
      </c>
      <c r="D2105" s="16" t="s">
        <v>4128</v>
      </c>
      <c r="E2105" s="17" t="s">
        <v>4129</v>
      </c>
      <c r="F2105" s="16" t="n">
        <v>32.6192821003</v>
      </c>
      <c r="G2105" s="16" t="n">
        <v>44.033661196</v>
      </c>
      <c r="H2105" s="18" t="n">
        <v>40</v>
      </c>
      <c r="I2105" s="18" t="n">
        <v>240</v>
      </c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 t="n">
        <v>40</v>
      </c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19"/>
      <c r="AH2105" s="19" t="n">
        <v>40</v>
      </c>
      <c r="AI2105" s="19"/>
      <c r="AJ2105" s="19"/>
      <c r="AK2105" s="19"/>
      <c r="AL2105" s="19"/>
      <c r="AM2105" s="19" t="n">
        <v>40</v>
      </c>
      <c r="AN2105" s="19"/>
      <c r="AO2105" s="19"/>
      <c r="AP2105" s="19"/>
      <c r="AQ2105" s="19"/>
      <c r="AR2105" s="19"/>
      <c r="AS2105" s="20" t="str">
        <f aca="false">HYPERLINK("http://www.openstreetmap.org/?mlat=32.6193&amp;mlon=44.0337&amp;zoom=12#map=12/32.6193/44.0337","Maplink1")</f>
        <v>Maplink1</v>
      </c>
      <c r="AT2105" s="20" t="str">
        <f aca="false">HYPERLINK("https://www.google.iq/maps/search/+32.6193,44.0337/@32.6193,44.0337,14z?hl=en","Maplink2")</f>
        <v>Maplink2</v>
      </c>
      <c r="AU2105" s="20" t="str">
        <f aca="false">HYPERLINK("http://www.bing.com/maps/?lvl=14&amp;sty=h&amp;cp=32.6193~44.0337&amp;sp=point.32.6193_44.0337","Maplink3")</f>
        <v>Maplink3</v>
      </c>
    </row>
    <row r="2106" customFormat="false" ht="15" hidden="false" customHeight="true" outlineLevel="0" collapsed="false">
      <c r="A2106" s="15" t="n">
        <v>14117</v>
      </c>
      <c r="B2106" s="16" t="s">
        <v>22</v>
      </c>
      <c r="C2106" s="16" t="s">
        <v>22</v>
      </c>
      <c r="D2106" s="16" t="s">
        <v>4130</v>
      </c>
      <c r="E2106" s="17" t="s">
        <v>4131</v>
      </c>
      <c r="F2106" s="16" t="n">
        <v>32.61867969</v>
      </c>
      <c r="G2106" s="16" t="n">
        <v>44.03655144</v>
      </c>
      <c r="H2106" s="18" t="n">
        <v>20</v>
      </c>
      <c r="I2106" s="18" t="n">
        <v>120</v>
      </c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 t="n">
        <v>20</v>
      </c>
      <c r="W2106" s="19"/>
      <c r="X2106" s="19"/>
      <c r="Y2106" s="19"/>
      <c r="Z2106" s="19"/>
      <c r="AA2106" s="19"/>
      <c r="AB2106" s="19"/>
      <c r="AC2106" s="19" t="n">
        <v>1</v>
      </c>
      <c r="AD2106" s="19"/>
      <c r="AE2106" s="19"/>
      <c r="AF2106" s="19"/>
      <c r="AG2106" s="19"/>
      <c r="AH2106" s="19" t="n">
        <v>19</v>
      </c>
      <c r="AI2106" s="19"/>
      <c r="AJ2106" s="19"/>
      <c r="AK2106" s="19"/>
      <c r="AL2106" s="19"/>
      <c r="AM2106" s="19" t="n">
        <v>20</v>
      </c>
      <c r="AN2106" s="19"/>
      <c r="AO2106" s="19"/>
      <c r="AP2106" s="19"/>
      <c r="AQ2106" s="19"/>
      <c r="AR2106" s="19"/>
      <c r="AS2106" s="20" t="str">
        <f aca="false">HYPERLINK("http://www.openstreetmap.org/?mlat=32.6187&amp;mlon=44.0366&amp;zoom=12#map=12/32.6187/44.0366","Maplink1")</f>
        <v>Maplink1</v>
      </c>
      <c r="AT2106" s="20" t="str">
        <f aca="false">HYPERLINK("https://www.google.iq/maps/search/+32.6187,44.0366/@32.6187,44.0366,14z?hl=en","Maplink2")</f>
        <v>Maplink2</v>
      </c>
      <c r="AU2106" s="20" t="str">
        <f aca="false">HYPERLINK("http://www.bing.com/maps/?lvl=14&amp;sty=h&amp;cp=32.6187~44.0366&amp;sp=point.32.6187_44.0366","Maplink3")</f>
        <v>Maplink3</v>
      </c>
    </row>
    <row r="2107" customFormat="false" ht="15" hidden="false" customHeight="true" outlineLevel="0" collapsed="false">
      <c r="A2107" s="15" t="n">
        <v>24137</v>
      </c>
      <c r="B2107" s="16" t="s">
        <v>22</v>
      </c>
      <c r="C2107" s="16" t="s">
        <v>22</v>
      </c>
      <c r="D2107" s="16" t="s">
        <v>4132</v>
      </c>
      <c r="E2107" s="17" t="s">
        <v>4133</v>
      </c>
      <c r="F2107" s="16" t="n">
        <v>32.61869134</v>
      </c>
      <c r="G2107" s="16" t="n">
        <v>44.04244015</v>
      </c>
      <c r="H2107" s="18" t="n">
        <v>140</v>
      </c>
      <c r="I2107" s="18" t="n">
        <v>840</v>
      </c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 t="n">
        <v>140</v>
      </c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19" t="n">
        <v>50</v>
      </c>
      <c r="AH2107" s="19" t="n">
        <v>90</v>
      </c>
      <c r="AI2107" s="19"/>
      <c r="AJ2107" s="19"/>
      <c r="AK2107" s="19"/>
      <c r="AL2107" s="19"/>
      <c r="AM2107" s="19" t="n">
        <v>140</v>
      </c>
      <c r="AN2107" s="19"/>
      <c r="AO2107" s="19"/>
      <c r="AP2107" s="19"/>
      <c r="AQ2107" s="19"/>
      <c r="AR2107" s="19"/>
      <c r="AS2107" s="20" t="str">
        <f aca="false">HYPERLINK("http://www.openstreetmap.org/?mlat=32.6187&amp;mlon=44.0424&amp;zoom=12#map=12/32.6187/44.0424","Maplink1")</f>
        <v>Maplink1</v>
      </c>
      <c r="AT2107" s="20" t="str">
        <f aca="false">HYPERLINK("https://www.google.iq/maps/search/+32.6187,44.0424/@32.6187,44.0424,14z?hl=en","Maplink2")</f>
        <v>Maplink2</v>
      </c>
      <c r="AU2107" s="20" t="str">
        <f aca="false">HYPERLINK("http://www.bing.com/maps/?lvl=14&amp;sty=h&amp;cp=32.6187~44.0424&amp;sp=point.32.6187_44.0424","Maplink3")</f>
        <v>Maplink3</v>
      </c>
    </row>
    <row r="2108" customFormat="false" ht="15" hidden="false" customHeight="true" outlineLevel="0" collapsed="false">
      <c r="A2108" s="15" t="n">
        <v>24578</v>
      </c>
      <c r="B2108" s="16" t="s">
        <v>22</v>
      </c>
      <c r="C2108" s="16" t="s">
        <v>22</v>
      </c>
      <c r="D2108" s="16" t="s">
        <v>4134</v>
      </c>
      <c r="E2108" s="17" t="s">
        <v>4135</v>
      </c>
      <c r="F2108" s="16" t="n">
        <v>32.6050127065</v>
      </c>
      <c r="G2108" s="16" t="n">
        <v>44.0000198409</v>
      </c>
      <c r="H2108" s="18" t="n">
        <v>17</v>
      </c>
      <c r="I2108" s="18" t="n">
        <v>102</v>
      </c>
      <c r="J2108" s="19" t="n">
        <v>2</v>
      </c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 t="n">
        <v>15</v>
      </c>
      <c r="W2108" s="19"/>
      <c r="X2108" s="19"/>
      <c r="Y2108" s="19"/>
      <c r="Z2108" s="19"/>
      <c r="AA2108" s="19"/>
      <c r="AB2108" s="19"/>
      <c r="AC2108" s="19" t="n">
        <v>1</v>
      </c>
      <c r="AD2108" s="19"/>
      <c r="AE2108" s="19"/>
      <c r="AF2108" s="19"/>
      <c r="AG2108" s="19"/>
      <c r="AH2108" s="19" t="n">
        <v>16</v>
      </c>
      <c r="AI2108" s="19"/>
      <c r="AJ2108" s="19"/>
      <c r="AK2108" s="19"/>
      <c r="AL2108" s="19" t="n">
        <v>2</v>
      </c>
      <c r="AM2108" s="19" t="n">
        <v>15</v>
      </c>
      <c r="AN2108" s="19"/>
      <c r="AO2108" s="19"/>
      <c r="AP2108" s="19"/>
      <c r="AQ2108" s="19"/>
      <c r="AR2108" s="19"/>
      <c r="AS2108" s="20" t="str">
        <f aca="false">HYPERLINK("http://www.openstreetmap.org/?mlat=32.605&amp;mlon=44&amp;zoom=12#map=12/32.605/44","Maplink1")</f>
        <v>Maplink1</v>
      </c>
      <c r="AT2108" s="20" t="str">
        <f aca="false">HYPERLINK("https://www.google.iq/maps/search/+32.605,44/@32.605,44,14z?hl=en","Maplink2")</f>
        <v>Maplink2</v>
      </c>
      <c r="AU2108" s="20" t="str">
        <f aca="false">HYPERLINK("http://www.bing.com/maps/?lvl=14&amp;sty=h&amp;cp=32.605~44&amp;sp=point.32.605_44","Maplink3")</f>
        <v>Maplink3</v>
      </c>
    </row>
    <row r="2109" customFormat="false" ht="15" hidden="false" customHeight="true" outlineLevel="0" collapsed="false">
      <c r="A2109" s="15" t="n">
        <v>25846</v>
      </c>
      <c r="B2109" s="16" t="s">
        <v>22</v>
      </c>
      <c r="C2109" s="16" t="s">
        <v>22</v>
      </c>
      <c r="D2109" s="16" t="s">
        <v>4136</v>
      </c>
      <c r="E2109" s="17" t="s">
        <v>4137</v>
      </c>
      <c r="F2109" s="16" t="n">
        <v>32.60399854</v>
      </c>
      <c r="G2109" s="16" t="n">
        <v>44.0933095</v>
      </c>
      <c r="H2109" s="18" t="n">
        <v>80</v>
      </c>
      <c r="I2109" s="18" t="n">
        <v>480</v>
      </c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 t="n">
        <v>80</v>
      </c>
      <c r="W2109" s="19"/>
      <c r="X2109" s="19"/>
      <c r="Y2109" s="19"/>
      <c r="Z2109" s="19"/>
      <c r="AA2109" s="19"/>
      <c r="AB2109" s="19"/>
      <c r="AC2109" s="19"/>
      <c r="AD2109" s="19"/>
      <c r="AE2109" s="19" t="n">
        <v>20</v>
      </c>
      <c r="AF2109" s="19"/>
      <c r="AG2109" s="19" t="n">
        <v>43</v>
      </c>
      <c r="AH2109" s="19" t="n">
        <v>17</v>
      </c>
      <c r="AI2109" s="19"/>
      <c r="AJ2109" s="19"/>
      <c r="AK2109" s="19"/>
      <c r="AL2109" s="19"/>
      <c r="AM2109" s="19" t="n">
        <v>80</v>
      </c>
      <c r="AN2109" s="19"/>
      <c r="AO2109" s="19"/>
      <c r="AP2109" s="19"/>
      <c r="AQ2109" s="19"/>
      <c r="AR2109" s="19"/>
      <c r="AS2109" s="20" t="str">
        <f aca="false">HYPERLINK("http://www.openstreetmap.org/?mlat=32.604&amp;mlon=44.0933&amp;zoom=12#map=12/32.604/44.0933","Maplink1")</f>
        <v>Maplink1</v>
      </c>
      <c r="AT2109" s="20" t="str">
        <f aca="false">HYPERLINK("https://www.google.iq/maps/search/+32.604,44.0933/@32.604,44.0933,14z?hl=en","Maplink2")</f>
        <v>Maplink2</v>
      </c>
      <c r="AU2109" s="20" t="str">
        <f aca="false">HYPERLINK("http://www.bing.com/maps/?lvl=14&amp;sty=h&amp;cp=32.604~44.0933&amp;sp=point.32.604_44.0933","Maplink3")</f>
        <v>Maplink3</v>
      </c>
    </row>
    <row r="2110" customFormat="false" ht="15" hidden="false" customHeight="true" outlineLevel="0" collapsed="false">
      <c r="A2110" s="15" t="n">
        <v>25363</v>
      </c>
      <c r="B2110" s="16" t="s">
        <v>22</v>
      </c>
      <c r="C2110" s="16" t="s">
        <v>22</v>
      </c>
      <c r="D2110" s="16" t="s">
        <v>4138</v>
      </c>
      <c r="E2110" s="17" t="s">
        <v>4139</v>
      </c>
      <c r="F2110" s="16" t="n">
        <v>32.58088854</v>
      </c>
      <c r="G2110" s="16" t="n">
        <v>43.99206256</v>
      </c>
      <c r="H2110" s="18" t="n">
        <v>18</v>
      </c>
      <c r="I2110" s="18" t="n">
        <v>108</v>
      </c>
      <c r="J2110" s="19" t="n">
        <v>5</v>
      </c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 t="n">
        <v>13</v>
      </c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19"/>
      <c r="AH2110" s="19" t="n">
        <v>18</v>
      </c>
      <c r="AI2110" s="19"/>
      <c r="AJ2110" s="19"/>
      <c r="AK2110" s="19"/>
      <c r="AL2110" s="19"/>
      <c r="AM2110" s="19" t="n">
        <v>13</v>
      </c>
      <c r="AN2110" s="19" t="n">
        <v>5</v>
      </c>
      <c r="AO2110" s="19"/>
      <c r="AP2110" s="19"/>
      <c r="AQ2110" s="19"/>
      <c r="AR2110" s="19"/>
      <c r="AS2110" s="20" t="str">
        <f aca="false">HYPERLINK("http://www.openstreetmap.org/?mlat=32.5809&amp;mlon=43.9921&amp;zoom=12#map=12/32.5809/43.9921","Maplink1")</f>
        <v>Maplink1</v>
      </c>
      <c r="AT2110" s="20" t="str">
        <f aca="false">HYPERLINK("https://www.google.iq/maps/search/+32.5809,43.9921/@32.5809,43.9921,14z?hl=en","Maplink2")</f>
        <v>Maplink2</v>
      </c>
      <c r="AU2110" s="20" t="str">
        <f aca="false">HYPERLINK("http://www.bing.com/maps/?lvl=14&amp;sty=h&amp;cp=32.5809~43.9921&amp;sp=point.32.5809_43.9921","Maplink3")</f>
        <v>Maplink3</v>
      </c>
    </row>
    <row r="2111" customFormat="false" ht="15" hidden="false" customHeight="true" outlineLevel="0" collapsed="false">
      <c r="A2111" s="15" t="n">
        <v>25536</v>
      </c>
      <c r="B2111" s="16" t="s">
        <v>22</v>
      </c>
      <c r="C2111" s="16" t="s">
        <v>22</v>
      </c>
      <c r="D2111" s="16" t="s">
        <v>4140</v>
      </c>
      <c r="E2111" s="17" t="s">
        <v>4141</v>
      </c>
      <c r="F2111" s="16" t="n">
        <v>32.57804884</v>
      </c>
      <c r="G2111" s="16" t="n">
        <v>43.99443473</v>
      </c>
      <c r="H2111" s="18" t="n">
        <v>5</v>
      </c>
      <c r="I2111" s="18" t="n">
        <v>30</v>
      </c>
      <c r="J2111" s="19" t="n">
        <v>1</v>
      </c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 t="n">
        <v>4</v>
      </c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19"/>
      <c r="AH2111" s="19" t="n">
        <v>5</v>
      </c>
      <c r="AI2111" s="19"/>
      <c r="AJ2111" s="19"/>
      <c r="AK2111" s="19"/>
      <c r="AL2111" s="19"/>
      <c r="AM2111" s="19" t="n">
        <v>4</v>
      </c>
      <c r="AN2111" s="19"/>
      <c r="AO2111" s="19" t="n">
        <v>1</v>
      </c>
      <c r="AP2111" s="19"/>
      <c r="AQ2111" s="19"/>
      <c r="AR2111" s="19"/>
      <c r="AS2111" s="20" t="str">
        <f aca="false">HYPERLINK("http://www.openstreetmap.org/?mlat=32.578&amp;mlon=43.9944&amp;zoom=12#map=12/32.578/43.9944","Maplink1")</f>
        <v>Maplink1</v>
      </c>
      <c r="AT2111" s="20" t="str">
        <f aca="false">HYPERLINK("https://www.google.iq/maps/search/+32.578,43.9944/@32.578,43.9944,14z?hl=en","Maplink2")</f>
        <v>Maplink2</v>
      </c>
      <c r="AU2111" s="20" t="str">
        <f aca="false">HYPERLINK("http://www.bing.com/maps/?lvl=14&amp;sty=h&amp;cp=32.578~43.9944&amp;sp=point.32.578_43.9944","Maplink3")</f>
        <v>Maplink3</v>
      </c>
    </row>
    <row r="2112" customFormat="false" ht="15" hidden="false" customHeight="true" outlineLevel="0" collapsed="false">
      <c r="A2112" s="15" t="n">
        <v>14280</v>
      </c>
      <c r="B2112" s="16" t="s">
        <v>22</v>
      </c>
      <c r="C2112" s="16" t="s">
        <v>22</v>
      </c>
      <c r="D2112" s="16" t="s">
        <v>4142</v>
      </c>
      <c r="E2112" s="17" t="s">
        <v>4143</v>
      </c>
      <c r="F2112" s="16" t="n">
        <v>32.5584962</v>
      </c>
      <c r="G2112" s="16" t="n">
        <v>44.02504896</v>
      </c>
      <c r="H2112" s="18" t="n">
        <v>25</v>
      </c>
      <c r="I2112" s="18" t="n">
        <v>150</v>
      </c>
      <c r="J2112" s="19" t="n">
        <v>5</v>
      </c>
      <c r="K2112" s="19"/>
      <c r="L2112" s="19"/>
      <c r="M2112" s="19"/>
      <c r="N2112" s="19"/>
      <c r="O2112" s="19"/>
      <c r="P2112" s="19"/>
      <c r="Q2112" s="19"/>
      <c r="R2112" s="19" t="n">
        <v>2</v>
      </c>
      <c r="S2112" s="19"/>
      <c r="T2112" s="19"/>
      <c r="U2112" s="19"/>
      <c r="V2112" s="19" t="n">
        <v>18</v>
      </c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19"/>
      <c r="AH2112" s="19" t="n">
        <v>25</v>
      </c>
      <c r="AI2112" s="19"/>
      <c r="AJ2112" s="19"/>
      <c r="AK2112" s="19"/>
      <c r="AL2112" s="19"/>
      <c r="AM2112" s="19" t="n">
        <v>25</v>
      </c>
      <c r="AN2112" s="19"/>
      <c r="AO2112" s="19"/>
      <c r="AP2112" s="19"/>
      <c r="AQ2112" s="19"/>
      <c r="AR2112" s="19"/>
      <c r="AS2112" s="20" t="str">
        <f aca="false">HYPERLINK("http://www.openstreetmap.org/?mlat=32.5585&amp;mlon=44.025&amp;zoom=12#map=12/32.5585/44.025","Maplink1")</f>
        <v>Maplink1</v>
      </c>
      <c r="AT2112" s="20" t="str">
        <f aca="false">HYPERLINK("https://www.google.iq/maps/search/+32.5585,44.025/@32.5585,44.025,14z?hl=en","Maplink2")</f>
        <v>Maplink2</v>
      </c>
      <c r="AU2112" s="20" t="str">
        <f aca="false">HYPERLINK("http://www.bing.com/maps/?lvl=14&amp;sty=h&amp;cp=32.5585~44.025&amp;sp=point.32.5585_44.025","Maplink3")</f>
        <v>Maplink3</v>
      </c>
    </row>
    <row r="2113" customFormat="false" ht="15" hidden="false" customHeight="true" outlineLevel="0" collapsed="false">
      <c r="A2113" s="15" t="n">
        <v>28409</v>
      </c>
      <c r="B2113" s="16" t="s">
        <v>22</v>
      </c>
      <c r="C2113" s="16" t="s">
        <v>22</v>
      </c>
      <c r="D2113" s="16" t="s">
        <v>4144</v>
      </c>
      <c r="E2113" s="17" t="s">
        <v>4145</v>
      </c>
      <c r="F2113" s="16" t="n">
        <v>32.5690753</v>
      </c>
      <c r="G2113" s="16" t="n">
        <v>44.04045079</v>
      </c>
      <c r="H2113" s="18" t="n">
        <v>10</v>
      </c>
      <c r="I2113" s="18" t="n">
        <v>60</v>
      </c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 t="n">
        <v>10</v>
      </c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19"/>
      <c r="AH2113" s="19" t="n">
        <v>10</v>
      </c>
      <c r="AI2113" s="19"/>
      <c r="AJ2113" s="19"/>
      <c r="AK2113" s="19"/>
      <c r="AL2113" s="19"/>
      <c r="AM2113" s="19" t="n">
        <v>10</v>
      </c>
      <c r="AN2113" s="19"/>
      <c r="AO2113" s="19"/>
      <c r="AP2113" s="19"/>
      <c r="AQ2113" s="19"/>
      <c r="AR2113" s="19"/>
      <c r="AS2113" s="20" t="str">
        <f aca="false">HYPERLINK("http://www.openstreetmap.org/?mlat=32.5691&amp;mlon=44.0405&amp;zoom=12#map=12/32.5691/44.0405","Maplink1")</f>
        <v>Maplink1</v>
      </c>
      <c r="AT2113" s="20" t="str">
        <f aca="false">HYPERLINK("https://www.google.iq/maps/search/+32.5691,44.0405/@32.5691,44.0405,14z?hl=en","Maplink2")</f>
        <v>Maplink2</v>
      </c>
      <c r="AU2113" s="20" t="str">
        <f aca="false">HYPERLINK("http://www.bing.com/maps/?lvl=14&amp;sty=h&amp;cp=32.5691~44.0405&amp;sp=point.32.5691_44.0405","Maplink3")</f>
        <v>Maplink3</v>
      </c>
    </row>
    <row r="2114" customFormat="false" ht="15" hidden="false" customHeight="true" outlineLevel="0" collapsed="false">
      <c r="A2114" s="15" t="n">
        <v>25056</v>
      </c>
      <c r="B2114" s="16" t="s">
        <v>22</v>
      </c>
      <c r="C2114" s="16" t="s">
        <v>22</v>
      </c>
      <c r="D2114" s="16" t="s">
        <v>4146</v>
      </c>
      <c r="E2114" s="17" t="s">
        <v>4147</v>
      </c>
      <c r="F2114" s="16" t="n">
        <v>32.59638685</v>
      </c>
      <c r="G2114" s="16" t="n">
        <v>44.07580675</v>
      </c>
      <c r="H2114" s="18" t="n">
        <v>21</v>
      </c>
      <c r="I2114" s="18" t="n">
        <v>126</v>
      </c>
      <c r="J2114" s="19"/>
      <c r="K2114" s="19"/>
      <c r="L2114" s="19" t="n">
        <v>2</v>
      </c>
      <c r="M2114" s="19"/>
      <c r="N2114" s="19"/>
      <c r="O2114" s="19" t="n">
        <v>4</v>
      </c>
      <c r="P2114" s="19"/>
      <c r="Q2114" s="19"/>
      <c r="R2114" s="19"/>
      <c r="S2114" s="19"/>
      <c r="T2114" s="19"/>
      <c r="U2114" s="19"/>
      <c r="V2114" s="19" t="n">
        <v>15</v>
      </c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19" t="n">
        <v>19</v>
      </c>
      <c r="AH2114" s="19" t="n">
        <v>2</v>
      </c>
      <c r="AI2114" s="19"/>
      <c r="AJ2114" s="19"/>
      <c r="AK2114" s="19"/>
      <c r="AL2114" s="19"/>
      <c r="AM2114" s="19" t="n">
        <v>21</v>
      </c>
      <c r="AN2114" s="19"/>
      <c r="AO2114" s="19"/>
      <c r="AP2114" s="19"/>
      <c r="AQ2114" s="19"/>
      <c r="AR2114" s="19"/>
      <c r="AS2114" s="20" t="str">
        <f aca="false">HYPERLINK("http://www.openstreetmap.org/?mlat=32.5964&amp;mlon=44.0758&amp;zoom=12#map=12/32.5964/44.0758","Maplink1")</f>
        <v>Maplink1</v>
      </c>
      <c r="AT2114" s="20" t="str">
        <f aca="false">HYPERLINK("https://www.google.iq/maps/search/+32.5964,44.0758/@32.5964,44.0758,14z?hl=en","Maplink2")</f>
        <v>Maplink2</v>
      </c>
      <c r="AU2114" s="20" t="str">
        <f aca="false">HYPERLINK("http://www.bing.com/maps/?lvl=14&amp;sty=h&amp;cp=32.5964~44.0758&amp;sp=point.32.5964_44.0758","Maplink3")</f>
        <v>Maplink3</v>
      </c>
    </row>
    <row r="2115" customFormat="false" ht="15" hidden="false" customHeight="true" outlineLevel="0" collapsed="false">
      <c r="A2115" s="15" t="n">
        <v>25548</v>
      </c>
      <c r="B2115" s="16" t="s">
        <v>22</v>
      </c>
      <c r="C2115" s="16" t="s">
        <v>22</v>
      </c>
      <c r="D2115" s="16" t="s">
        <v>4148</v>
      </c>
      <c r="E2115" s="17" t="s">
        <v>4149</v>
      </c>
      <c r="F2115" s="16" t="n">
        <v>32.61521742</v>
      </c>
      <c r="G2115" s="16" t="n">
        <v>44.00245168</v>
      </c>
      <c r="H2115" s="18" t="n">
        <v>11</v>
      </c>
      <c r="I2115" s="18" t="n">
        <v>66</v>
      </c>
      <c r="J2115" s="19"/>
      <c r="K2115" s="19"/>
      <c r="L2115" s="19" t="n">
        <v>1</v>
      </c>
      <c r="M2115" s="19"/>
      <c r="N2115" s="19"/>
      <c r="O2115" s="19"/>
      <c r="P2115" s="19"/>
      <c r="Q2115" s="19"/>
      <c r="R2115" s="19"/>
      <c r="S2115" s="19"/>
      <c r="T2115" s="19"/>
      <c r="U2115" s="19"/>
      <c r="V2115" s="19" t="n">
        <v>3</v>
      </c>
      <c r="W2115" s="19"/>
      <c r="X2115" s="19" t="n">
        <v>7</v>
      </c>
      <c r="Y2115" s="19"/>
      <c r="Z2115" s="19"/>
      <c r="AA2115" s="19"/>
      <c r="AB2115" s="19"/>
      <c r="AC2115" s="19"/>
      <c r="AD2115" s="19"/>
      <c r="AE2115" s="19"/>
      <c r="AF2115" s="19"/>
      <c r="AG2115" s="19"/>
      <c r="AH2115" s="19" t="n">
        <v>11</v>
      </c>
      <c r="AI2115" s="19"/>
      <c r="AJ2115" s="19"/>
      <c r="AK2115" s="19"/>
      <c r="AL2115" s="19"/>
      <c r="AM2115" s="19" t="n">
        <v>11</v>
      </c>
      <c r="AN2115" s="19"/>
      <c r="AO2115" s="19"/>
      <c r="AP2115" s="19"/>
      <c r="AQ2115" s="19"/>
      <c r="AR2115" s="19"/>
      <c r="AS2115" s="20" t="str">
        <f aca="false">HYPERLINK("http://www.openstreetmap.org/?mlat=32.6152&amp;mlon=44.0025&amp;zoom=12#map=12/32.6152/44.0025","Maplink1")</f>
        <v>Maplink1</v>
      </c>
      <c r="AT2115" s="20" t="str">
        <f aca="false">HYPERLINK("https://www.google.iq/maps/search/+32.6152,44.0025/@32.6152,44.0025,14z?hl=en","Maplink2")</f>
        <v>Maplink2</v>
      </c>
      <c r="AU2115" s="20" t="str">
        <f aca="false">HYPERLINK("http://www.bing.com/maps/?lvl=14&amp;sty=h&amp;cp=32.6152~44.0025&amp;sp=point.32.6152_44.0025","Maplink3")</f>
        <v>Maplink3</v>
      </c>
    </row>
    <row r="2116" customFormat="false" ht="15" hidden="false" customHeight="true" outlineLevel="0" collapsed="false">
      <c r="A2116" s="15" t="n">
        <v>14281</v>
      </c>
      <c r="B2116" s="16" t="s">
        <v>22</v>
      </c>
      <c r="C2116" s="16" t="s">
        <v>22</v>
      </c>
      <c r="D2116" s="16" t="s">
        <v>4150</v>
      </c>
      <c r="E2116" s="17" t="s">
        <v>4151</v>
      </c>
      <c r="F2116" s="16" t="n">
        <v>32.60801879</v>
      </c>
      <c r="G2116" s="16" t="n">
        <v>44.03987093</v>
      </c>
      <c r="H2116" s="18" t="n">
        <v>125</v>
      </c>
      <c r="I2116" s="18" t="n">
        <v>750</v>
      </c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 t="n">
        <v>125</v>
      </c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19" t="n">
        <v>25</v>
      </c>
      <c r="AH2116" s="19" t="n">
        <v>100</v>
      </c>
      <c r="AI2116" s="19"/>
      <c r="AJ2116" s="19"/>
      <c r="AK2116" s="19"/>
      <c r="AL2116" s="19"/>
      <c r="AM2116" s="19" t="n">
        <v>125</v>
      </c>
      <c r="AN2116" s="19"/>
      <c r="AO2116" s="19"/>
      <c r="AP2116" s="19"/>
      <c r="AQ2116" s="19"/>
      <c r="AR2116" s="19"/>
      <c r="AS2116" s="20" t="str">
        <f aca="false">HYPERLINK("http://www.openstreetmap.org/?mlat=32.608&amp;mlon=44.0399&amp;zoom=12#map=12/32.608/44.0399","Maplink1")</f>
        <v>Maplink1</v>
      </c>
      <c r="AT2116" s="20" t="str">
        <f aca="false">HYPERLINK("https://www.google.iq/maps/search/+32.608,44.0399/@32.608,44.0399,14z?hl=en","Maplink2")</f>
        <v>Maplink2</v>
      </c>
      <c r="AU2116" s="20" t="str">
        <f aca="false">HYPERLINK("http://www.bing.com/maps/?lvl=14&amp;sty=h&amp;cp=32.608~44.0399&amp;sp=point.32.608_44.0399","Maplink3")</f>
        <v>Maplink3</v>
      </c>
    </row>
    <row r="2117" customFormat="false" ht="15" hidden="false" customHeight="true" outlineLevel="0" collapsed="false">
      <c r="A2117" s="15" t="n">
        <v>14293</v>
      </c>
      <c r="B2117" s="16" t="s">
        <v>22</v>
      </c>
      <c r="C2117" s="16" t="s">
        <v>22</v>
      </c>
      <c r="D2117" s="16" t="s">
        <v>4152</v>
      </c>
      <c r="E2117" s="17" t="s">
        <v>4153</v>
      </c>
      <c r="F2117" s="16" t="n">
        <v>32.61505351</v>
      </c>
      <c r="G2117" s="16" t="n">
        <v>43.98589994</v>
      </c>
      <c r="H2117" s="18" t="n">
        <v>19</v>
      </c>
      <c r="I2117" s="18" t="n">
        <v>114</v>
      </c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 t="n">
        <v>19</v>
      </c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19"/>
      <c r="AH2117" s="19" t="n">
        <v>19</v>
      </c>
      <c r="AI2117" s="19"/>
      <c r="AJ2117" s="19"/>
      <c r="AK2117" s="19"/>
      <c r="AL2117" s="19"/>
      <c r="AM2117" s="19" t="n">
        <v>19</v>
      </c>
      <c r="AN2117" s="19"/>
      <c r="AO2117" s="19"/>
      <c r="AP2117" s="19"/>
      <c r="AQ2117" s="19"/>
      <c r="AR2117" s="19"/>
      <c r="AS2117" s="20" t="str">
        <f aca="false">HYPERLINK("http://www.openstreetmap.org/?mlat=32.6151&amp;mlon=43.9859&amp;zoom=12#map=12/32.6151/43.9859","Maplink1")</f>
        <v>Maplink1</v>
      </c>
      <c r="AT2117" s="20" t="str">
        <f aca="false">HYPERLINK("https://www.google.iq/maps/search/+32.6151,43.9859/@32.6151,43.9859,14z?hl=en","Maplink2")</f>
        <v>Maplink2</v>
      </c>
      <c r="AU2117" s="20" t="str">
        <f aca="false">HYPERLINK("http://www.bing.com/maps/?lvl=14&amp;sty=h&amp;cp=32.6151~43.9859&amp;sp=point.32.6151_43.9859","Maplink3")</f>
        <v>Maplink3</v>
      </c>
    </row>
    <row r="2118" customFormat="false" ht="15" hidden="false" customHeight="true" outlineLevel="0" collapsed="false">
      <c r="A2118" s="15" t="n">
        <v>25849</v>
      </c>
      <c r="B2118" s="16" t="s">
        <v>22</v>
      </c>
      <c r="C2118" s="16" t="s">
        <v>22</v>
      </c>
      <c r="D2118" s="16" t="s">
        <v>4154</v>
      </c>
      <c r="E2118" s="17" t="s">
        <v>4155</v>
      </c>
      <c r="F2118" s="16" t="n">
        <v>32.5209159</v>
      </c>
      <c r="G2118" s="16" t="n">
        <v>44.1183449</v>
      </c>
      <c r="H2118" s="18" t="n">
        <v>25</v>
      </c>
      <c r="I2118" s="18" t="n">
        <v>150</v>
      </c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 t="n">
        <v>25</v>
      </c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19" t="n">
        <v>20</v>
      </c>
      <c r="AH2118" s="19" t="n">
        <v>5</v>
      </c>
      <c r="AI2118" s="19"/>
      <c r="AJ2118" s="19"/>
      <c r="AK2118" s="19"/>
      <c r="AL2118" s="19"/>
      <c r="AM2118" s="19" t="n">
        <v>25</v>
      </c>
      <c r="AN2118" s="19"/>
      <c r="AO2118" s="19"/>
      <c r="AP2118" s="19"/>
      <c r="AQ2118" s="19"/>
      <c r="AR2118" s="19"/>
      <c r="AS2118" s="20" t="str">
        <f aca="false">HYPERLINK("http://www.openstreetmap.org/?mlat=32.5209&amp;mlon=44.1183&amp;zoom=12#map=12/32.5209/44.1183","Maplink1")</f>
        <v>Maplink1</v>
      </c>
      <c r="AT2118" s="20" t="str">
        <f aca="false">HYPERLINK("https://www.google.iq/maps/search/+32.5209,44.1183/@32.5209,44.1183,14z?hl=en","Maplink2")</f>
        <v>Maplink2</v>
      </c>
      <c r="AU2118" s="20" t="str">
        <f aca="false">HYPERLINK("http://www.bing.com/maps/?lvl=14&amp;sty=h&amp;cp=32.5209~44.1183&amp;sp=point.32.5209_44.1183","Maplink3")</f>
        <v>Maplink3</v>
      </c>
    </row>
    <row r="2119" customFormat="false" ht="15" hidden="false" customHeight="true" outlineLevel="0" collapsed="false">
      <c r="A2119" s="15" t="n">
        <v>25733</v>
      </c>
      <c r="B2119" s="16" t="s">
        <v>22</v>
      </c>
      <c r="C2119" s="16" t="s">
        <v>22</v>
      </c>
      <c r="D2119" s="16" t="s">
        <v>4156</v>
      </c>
      <c r="E2119" s="17" t="s">
        <v>4157</v>
      </c>
      <c r="F2119" s="16" t="n">
        <v>32.60157722</v>
      </c>
      <c r="G2119" s="16" t="n">
        <v>43.9968032</v>
      </c>
      <c r="H2119" s="18" t="n">
        <v>15</v>
      </c>
      <c r="I2119" s="18" t="n">
        <v>90</v>
      </c>
      <c r="J2119" s="19" t="n">
        <v>4</v>
      </c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 t="n">
        <v>11</v>
      </c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19"/>
      <c r="AH2119" s="19" t="n">
        <v>15</v>
      </c>
      <c r="AI2119" s="19"/>
      <c r="AJ2119" s="19"/>
      <c r="AK2119" s="19"/>
      <c r="AL2119" s="19"/>
      <c r="AM2119" s="19" t="n">
        <v>15</v>
      </c>
      <c r="AN2119" s="19"/>
      <c r="AO2119" s="19"/>
      <c r="AP2119" s="19"/>
      <c r="AQ2119" s="19"/>
      <c r="AR2119" s="19"/>
      <c r="AS2119" s="20" t="str">
        <f aca="false">HYPERLINK("http://www.openstreetmap.org/?mlat=32.6016&amp;mlon=43.9968&amp;zoom=12#map=12/32.6016/43.9968","Maplink1")</f>
        <v>Maplink1</v>
      </c>
      <c r="AT2119" s="20" t="str">
        <f aca="false">HYPERLINK("https://www.google.iq/maps/search/+32.6016,43.9968/@32.6016,43.9968,14z?hl=en","Maplink2")</f>
        <v>Maplink2</v>
      </c>
      <c r="AU2119" s="20" t="str">
        <f aca="false">HYPERLINK("http://www.bing.com/maps/?lvl=14&amp;sty=h&amp;cp=32.6016~43.9968&amp;sp=point.32.6016_43.9968","Maplink3")</f>
        <v>Maplink3</v>
      </c>
    </row>
    <row r="2120" customFormat="false" ht="15" hidden="false" customHeight="true" outlineLevel="0" collapsed="false">
      <c r="A2120" s="15" t="n">
        <v>14315</v>
      </c>
      <c r="B2120" s="16" t="s">
        <v>22</v>
      </c>
      <c r="C2120" s="16" t="s">
        <v>22</v>
      </c>
      <c r="D2120" s="16" t="s">
        <v>4158</v>
      </c>
      <c r="E2120" s="17" t="s">
        <v>4159</v>
      </c>
      <c r="F2120" s="16" t="n">
        <v>32.6037544152</v>
      </c>
      <c r="G2120" s="16" t="n">
        <v>44.0011473745</v>
      </c>
      <c r="H2120" s="18" t="n">
        <v>10</v>
      </c>
      <c r="I2120" s="18" t="n">
        <v>60</v>
      </c>
      <c r="J2120" s="19" t="n">
        <v>8</v>
      </c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 t="n">
        <v>2</v>
      </c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19"/>
      <c r="AH2120" s="19" t="n">
        <v>10</v>
      </c>
      <c r="AI2120" s="19"/>
      <c r="AJ2120" s="19"/>
      <c r="AK2120" s="19"/>
      <c r="AL2120" s="19" t="n">
        <v>8</v>
      </c>
      <c r="AM2120" s="19" t="n">
        <v>2</v>
      </c>
      <c r="AN2120" s="19"/>
      <c r="AO2120" s="19"/>
      <c r="AP2120" s="19"/>
      <c r="AQ2120" s="19"/>
      <c r="AR2120" s="19"/>
      <c r="AS2120" s="20" t="str">
        <f aca="false">HYPERLINK("http://www.openstreetmap.org/?mlat=32.6038&amp;mlon=44.0011&amp;zoom=12#map=12/32.6038/44.0011","Maplink1")</f>
        <v>Maplink1</v>
      </c>
      <c r="AT2120" s="20" t="str">
        <f aca="false">HYPERLINK("https://www.google.iq/maps/search/+32.6038,44.0011/@32.6038,44.0011,14z?hl=en","Maplink2")</f>
        <v>Maplink2</v>
      </c>
      <c r="AU2120" s="20" t="str">
        <f aca="false">HYPERLINK("http://www.bing.com/maps/?lvl=14&amp;sty=h&amp;cp=32.6038~44.0011&amp;sp=point.32.6038_44.0011","Maplink3")</f>
        <v>Maplink3</v>
      </c>
    </row>
    <row r="2121" customFormat="false" ht="15" hidden="false" customHeight="true" outlineLevel="0" collapsed="false">
      <c r="A2121" s="15" t="n">
        <v>25271</v>
      </c>
      <c r="B2121" s="16" t="s">
        <v>22</v>
      </c>
      <c r="C2121" s="16" t="s">
        <v>22</v>
      </c>
      <c r="D2121" s="16" t="s">
        <v>4160</v>
      </c>
      <c r="E2121" s="17" t="s">
        <v>4161</v>
      </c>
      <c r="F2121" s="16" t="n">
        <v>32.57162029</v>
      </c>
      <c r="G2121" s="16" t="n">
        <v>44.01891005</v>
      </c>
      <c r="H2121" s="18" t="n">
        <v>8</v>
      </c>
      <c r="I2121" s="18" t="n">
        <v>48</v>
      </c>
      <c r="J2121" s="19" t="n">
        <v>2</v>
      </c>
      <c r="K2121" s="19"/>
      <c r="L2121" s="19"/>
      <c r="M2121" s="19"/>
      <c r="N2121" s="19"/>
      <c r="O2121" s="19" t="n">
        <v>3</v>
      </c>
      <c r="P2121" s="19"/>
      <c r="Q2121" s="19"/>
      <c r="R2121" s="19"/>
      <c r="S2121" s="19"/>
      <c r="T2121" s="19"/>
      <c r="U2121" s="19"/>
      <c r="V2121" s="19" t="n">
        <v>3</v>
      </c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19"/>
      <c r="AH2121" s="19" t="n">
        <v>8</v>
      </c>
      <c r="AI2121" s="19"/>
      <c r="AJ2121" s="19"/>
      <c r="AK2121" s="19"/>
      <c r="AL2121" s="19"/>
      <c r="AM2121" s="19" t="n">
        <v>8</v>
      </c>
      <c r="AN2121" s="19"/>
      <c r="AO2121" s="19"/>
      <c r="AP2121" s="19"/>
      <c r="AQ2121" s="19"/>
      <c r="AR2121" s="19"/>
      <c r="AS2121" s="20" t="str">
        <f aca="false">HYPERLINK("http://www.openstreetmap.org/?mlat=32.5716&amp;mlon=44.0189&amp;zoom=12#map=12/32.5716/44.0189","Maplink1")</f>
        <v>Maplink1</v>
      </c>
      <c r="AT2121" s="20" t="str">
        <f aca="false">HYPERLINK("https://www.google.iq/maps/search/+32.5716,44.0189/@32.5716,44.0189,14z?hl=en","Maplink2")</f>
        <v>Maplink2</v>
      </c>
      <c r="AU2121" s="20" t="str">
        <f aca="false">HYPERLINK("http://www.bing.com/maps/?lvl=14&amp;sty=h&amp;cp=32.5716~44.0189&amp;sp=point.32.5716_44.0189","Maplink3")</f>
        <v>Maplink3</v>
      </c>
    </row>
    <row r="2122" customFormat="false" ht="15" hidden="false" customHeight="true" outlineLevel="0" collapsed="false">
      <c r="A2122" s="15" t="n">
        <v>27265</v>
      </c>
      <c r="B2122" s="16" t="s">
        <v>22</v>
      </c>
      <c r="C2122" s="16" t="s">
        <v>22</v>
      </c>
      <c r="D2122" s="16" t="s">
        <v>4162</v>
      </c>
      <c r="E2122" s="17" t="s">
        <v>4163</v>
      </c>
      <c r="F2122" s="16" t="n">
        <v>32.57404937</v>
      </c>
      <c r="G2122" s="16" t="n">
        <v>44.02252391</v>
      </c>
      <c r="H2122" s="18" t="n">
        <v>25</v>
      </c>
      <c r="I2122" s="18" t="n">
        <v>150</v>
      </c>
      <c r="J2122" s="19" t="n">
        <v>9</v>
      </c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 t="n">
        <v>16</v>
      </c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19"/>
      <c r="AH2122" s="19" t="n">
        <v>25</v>
      </c>
      <c r="AI2122" s="19"/>
      <c r="AJ2122" s="19"/>
      <c r="AK2122" s="19"/>
      <c r="AL2122" s="19"/>
      <c r="AM2122" s="19" t="n">
        <v>25</v>
      </c>
      <c r="AN2122" s="19"/>
      <c r="AO2122" s="19"/>
      <c r="AP2122" s="19"/>
      <c r="AQ2122" s="19"/>
      <c r="AR2122" s="19"/>
      <c r="AS2122" s="20" t="str">
        <f aca="false">HYPERLINK("http://www.openstreetmap.org/?mlat=32.574&amp;mlon=44.0225&amp;zoom=12#map=12/32.574/44.0225","Maplink1")</f>
        <v>Maplink1</v>
      </c>
      <c r="AT2122" s="20" t="str">
        <f aca="false">HYPERLINK("https://www.google.iq/maps/search/+32.574,44.0225/@32.574,44.0225,14z?hl=en","Maplink2")</f>
        <v>Maplink2</v>
      </c>
      <c r="AU2122" s="20" t="str">
        <f aca="false">HYPERLINK("http://www.bing.com/maps/?lvl=14&amp;sty=h&amp;cp=32.574~44.0225&amp;sp=point.32.574_44.0225","Maplink3")</f>
        <v>Maplink3</v>
      </c>
    </row>
    <row r="2123" customFormat="false" ht="15" hidden="false" customHeight="true" outlineLevel="0" collapsed="false">
      <c r="A2123" s="15" t="n">
        <v>24630</v>
      </c>
      <c r="B2123" s="16" t="s">
        <v>22</v>
      </c>
      <c r="C2123" s="16" t="s">
        <v>22</v>
      </c>
      <c r="D2123" s="16" t="s">
        <v>4164</v>
      </c>
      <c r="E2123" s="17" t="s">
        <v>4165</v>
      </c>
      <c r="F2123" s="16" t="n">
        <v>32.64416801</v>
      </c>
      <c r="G2123" s="16" t="n">
        <v>43.98838903</v>
      </c>
      <c r="H2123" s="18" t="n">
        <v>22</v>
      </c>
      <c r="I2123" s="18" t="n">
        <v>132</v>
      </c>
      <c r="J2123" s="19" t="n">
        <v>3</v>
      </c>
      <c r="K2123" s="19"/>
      <c r="L2123" s="19" t="n">
        <v>5</v>
      </c>
      <c r="M2123" s="19"/>
      <c r="N2123" s="19"/>
      <c r="O2123" s="19"/>
      <c r="P2123" s="19"/>
      <c r="Q2123" s="19"/>
      <c r="R2123" s="19"/>
      <c r="S2123" s="19"/>
      <c r="T2123" s="19"/>
      <c r="U2123" s="19"/>
      <c r="V2123" s="19" t="n">
        <v>14</v>
      </c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19"/>
      <c r="AH2123" s="19" t="n">
        <v>22</v>
      </c>
      <c r="AI2123" s="19"/>
      <c r="AJ2123" s="19"/>
      <c r="AK2123" s="19"/>
      <c r="AL2123" s="19" t="n">
        <v>6</v>
      </c>
      <c r="AM2123" s="19" t="n">
        <v>14</v>
      </c>
      <c r="AN2123" s="19"/>
      <c r="AO2123" s="19"/>
      <c r="AP2123" s="19" t="n">
        <v>2</v>
      </c>
      <c r="AQ2123" s="19"/>
      <c r="AR2123" s="19"/>
      <c r="AS2123" s="20" t="str">
        <f aca="false">HYPERLINK("http://www.openstreetmap.org/?mlat=32.6442&amp;mlon=43.9884&amp;zoom=12#map=12/32.6442/43.9884","Maplink1")</f>
        <v>Maplink1</v>
      </c>
      <c r="AT2123" s="20" t="str">
        <f aca="false">HYPERLINK("https://www.google.iq/maps/search/+32.6442,43.9884/@32.6442,43.9884,14z?hl=en","Maplink2")</f>
        <v>Maplink2</v>
      </c>
      <c r="AU2123" s="20" t="str">
        <f aca="false">HYPERLINK("http://www.bing.com/maps/?lvl=14&amp;sty=h&amp;cp=32.6442~43.9884&amp;sp=point.32.6442_43.9884","Maplink3")</f>
        <v>Maplink3</v>
      </c>
    </row>
    <row r="2124" customFormat="false" ht="15" hidden="false" customHeight="true" outlineLevel="0" collapsed="false">
      <c r="A2124" s="15" t="n">
        <v>25259</v>
      </c>
      <c r="B2124" s="16" t="s">
        <v>22</v>
      </c>
      <c r="C2124" s="16" t="s">
        <v>22</v>
      </c>
      <c r="D2124" s="16" t="s">
        <v>4166</v>
      </c>
      <c r="E2124" s="17" t="s">
        <v>4167</v>
      </c>
      <c r="F2124" s="16" t="n">
        <v>32.64849127</v>
      </c>
      <c r="G2124" s="16" t="n">
        <v>43.98674148</v>
      </c>
      <c r="H2124" s="18" t="n">
        <v>5</v>
      </c>
      <c r="I2124" s="18" t="n">
        <v>30</v>
      </c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 t="n">
        <v>5</v>
      </c>
      <c r="W2124" s="19"/>
      <c r="X2124" s="19"/>
      <c r="Y2124" s="19"/>
      <c r="Z2124" s="19"/>
      <c r="AA2124" s="19"/>
      <c r="AB2124" s="19"/>
      <c r="AC2124" s="19" t="n">
        <v>2</v>
      </c>
      <c r="AD2124" s="19"/>
      <c r="AE2124" s="19"/>
      <c r="AF2124" s="19"/>
      <c r="AG2124" s="19"/>
      <c r="AH2124" s="19" t="n">
        <v>3</v>
      </c>
      <c r="AI2124" s="19"/>
      <c r="AJ2124" s="19"/>
      <c r="AK2124" s="19"/>
      <c r="AL2124" s="19"/>
      <c r="AM2124" s="19" t="n">
        <v>5</v>
      </c>
      <c r="AN2124" s="19"/>
      <c r="AO2124" s="19"/>
      <c r="AP2124" s="19"/>
      <c r="AQ2124" s="19"/>
      <c r="AR2124" s="19"/>
      <c r="AS2124" s="20" t="str">
        <f aca="false">HYPERLINK("http://www.openstreetmap.org/?mlat=32.6485&amp;mlon=43.9867&amp;zoom=12#map=12/32.6485/43.9867","Maplink1")</f>
        <v>Maplink1</v>
      </c>
      <c r="AT2124" s="20" t="str">
        <f aca="false">HYPERLINK("https://www.google.iq/maps/search/+32.6485,43.9867/@32.6485,43.9867,14z?hl=en","Maplink2")</f>
        <v>Maplink2</v>
      </c>
      <c r="AU2124" s="20" t="str">
        <f aca="false">HYPERLINK("http://www.bing.com/maps/?lvl=14&amp;sty=h&amp;cp=32.6485~43.9867&amp;sp=point.32.6485_43.9867","Maplink3")</f>
        <v>Maplink3</v>
      </c>
    </row>
    <row r="2125" customFormat="false" ht="15" hidden="false" customHeight="true" outlineLevel="0" collapsed="false">
      <c r="A2125" s="15" t="n">
        <v>23679</v>
      </c>
      <c r="B2125" s="16" t="s">
        <v>22</v>
      </c>
      <c r="C2125" s="16" t="s">
        <v>22</v>
      </c>
      <c r="D2125" s="16" t="s">
        <v>4168</v>
      </c>
      <c r="E2125" s="17" t="s">
        <v>4169</v>
      </c>
      <c r="F2125" s="16" t="n">
        <v>32.55732525</v>
      </c>
      <c r="G2125" s="16" t="n">
        <v>44.07300484</v>
      </c>
      <c r="H2125" s="18" t="n">
        <v>180</v>
      </c>
      <c r="I2125" s="18" t="n">
        <v>1080</v>
      </c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 t="n">
        <v>180</v>
      </c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19" t="n">
        <v>180</v>
      </c>
      <c r="AH2125" s="19"/>
      <c r="AI2125" s="19"/>
      <c r="AJ2125" s="19"/>
      <c r="AK2125" s="19"/>
      <c r="AL2125" s="19"/>
      <c r="AM2125" s="19" t="n">
        <v>180</v>
      </c>
      <c r="AN2125" s="19"/>
      <c r="AO2125" s="19"/>
      <c r="AP2125" s="19"/>
      <c r="AQ2125" s="19"/>
      <c r="AR2125" s="19"/>
      <c r="AS2125" s="20" t="str">
        <f aca="false">HYPERLINK("http://www.openstreetmap.org/?mlat=32.5573&amp;mlon=44.073&amp;zoom=12#map=12/32.5573/44.073","Maplink1")</f>
        <v>Maplink1</v>
      </c>
      <c r="AT2125" s="20" t="str">
        <f aca="false">HYPERLINK("https://www.google.iq/maps/search/+32.5573,44.073/@32.5573,44.073,14z?hl=en","Maplink2")</f>
        <v>Maplink2</v>
      </c>
      <c r="AU2125" s="20" t="str">
        <f aca="false">HYPERLINK("http://www.bing.com/maps/?lvl=14&amp;sty=h&amp;cp=32.5573~44.073&amp;sp=point.32.5573_44.073","Maplink3")</f>
        <v>Maplink3</v>
      </c>
    </row>
    <row r="2126" customFormat="false" ht="15" hidden="false" customHeight="true" outlineLevel="0" collapsed="false">
      <c r="A2126" s="15" t="n">
        <v>26010</v>
      </c>
      <c r="B2126" s="16" t="s">
        <v>22</v>
      </c>
      <c r="C2126" s="16" t="s">
        <v>22</v>
      </c>
      <c r="D2126" s="16" t="s">
        <v>4170</v>
      </c>
      <c r="E2126" s="17" t="s">
        <v>4171</v>
      </c>
      <c r="F2126" s="16" t="n">
        <v>32.5439184</v>
      </c>
      <c r="G2126" s="16" t="n">
        <v>44.09137303</v>
      </c>
      <c r="H2126" s="18" t="n">
        <v>88</v>
      </c>
      <c r="I2126" s="18" t="n">
        <v>528</v>
      </c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 t="n">
        <v>88</v>
      </c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19" t="n">
        <v>60</v>
      </c>
      <c r="AH2126" s="19" t="n">
        <v>28</v>
      </c>
      <c r="AI2126" s="19"/>
      <c r="AJ2126" s="19"/>
      <c r="AK2126" s="19"/>
      <c r="AL2126" s="19"/>
      <c r="AM2126" s="19" t="n">
        <v>88</v>
      </c>
      <c r="AN2126" s="19"/>
      <c r="AO2126" s="19"/>
      <c r="AP2126" s="19"/>
      <c r="AQ2126" s="19"/>
      <c r="AR2126" s="19"/>
      <c r="AS2126" s="20" t="str">
        <f aca="false">HYPERLINK("http://www.openstreetmap.org/?mlat=32.5439&amp;mlon=44.0914&amp;zoom=12#map=12/32.5439/44.0914","Maplink1")</f>
        <v>Maplink1</v>
      </c>
      <c r="AT2126" s="20" t="str">
        <f aca="false">HYPERLINK("https://www.google.iq/maps/search/+32.5439,44.0914/@32.5439,44.0914,14z?hl=en","Maplink2")</f>
        <v>Maplink2</v>
      </c>
      <c r="AU2126" s="20" t="str">
        <f aca="false">HYPERLINK("http://www.bing.com/maps/?lvl=14&amp;sty=h&amp;cp=32.5439~44.0914&amp;sp=point.32.5439_44.0914","Maplink3")</f>
        <v>Maplink3</v>
      </c>
    </row>
    <row r="2127" customFormat="false" ht="15" hidden="false" customHeight="true" outlineLevel="0" collapsed="false">
      <c r="A2127" s="15" t="n">
        <v>26066</v>
      </c>
      <c r="B2127" s="16" t="s">
        <v>22</v>
      </c>
      <c r="C2127" s="16" t="s">
        <v>22</v>
      </c>
      <c r="D2127" s="16" t="s">
        <v>4172</v>
      </c>
      <c r="E2127" s="17" t="s">
        <v>4173</v>
      </c>
      <c r="F2127" s="16" t="n">
        <v>32.67703274</v>
      </c>
      <c r="G2127" s="16" t="n">
        <v>44.19957753</v>
      </c>
      <c r="H2127" s="18" t="n">
        <v>6</v>
      </c>
      <c r="I2127" s="18" t="n">
        <v>36</v>
      </c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 t="n">
        <v>6</v>
      </c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19"/>
      <c r="AH2127" s="19"/>
      <c r="AI2127" s="19" t="n">
        <v>6</v>
      </c>
      <c r="AJ2127" s="19"/>
      <c r="AK2127" s="19"/>
      <c r="AL2127" s="19"/>
      <c r="AM2127" s="19" t="n">
        <v>6</v>
      </c>
      <c r="AN2127" s="19"/>
      <c r="AO2127" s="19"/>
      <c r="AP2127" s="19"/>
      <c r="AQ2127" s="19"/>
      <c r="AR2127" s="19"/>
      <c r="AS2127" s="20" t="str">
        <f aca="false">HYPERLINK("http://www.openstreetmap.org/?mlat=32.677&amp;mlon=44.1996&amp;zoom=12#map=12/32.677/44.1996","Maplink1")</f>
        <v>Maplink1</v>
      </c>
      <c r="AT2127" s="20" t="str">
        <f aca="false">HYPERLINK("https://www.google.iq/maps/search/+32.677,44.1996/@32.677,44.1996,14z?hl=en","Maplink2")</f>
        <v>Maplink2</v>
      </c>
      <c r="AU2127" s="20" t="str">
        <f aca="false">HYPERLINK("http://www.bing.com/maps/?lvl=14&amp;sty=h&amp;cp=32.677~44.1996&amp;sp=point.32.677_44.1996","Maplink3")</f>
        <v>Maplink3</v>
      </c>
    </row>
    <row r="2128" customFormat="false" ht="15" hidden="false" customHeight="true" outlineLevel="0" collapsed="false">
      <c r="A2128" s="15" t="n">
        <v>15614</v>
      </c>
      <c r="B2128" s="16" t="s">
        <v>23</v>
      </c>
      <c r="C2128" s="16" t="s">
        <v>4174</v>
      </c>
      <c r="D2128" s="16" t="s">
        <v>4175</v>
      </c>
      <c r="E2128" s="17" t="s">
        <v>4176</v>
      </c>
      <c r="F2128" s="16" t="n">
        <v>35.31416667</v>
      </c>
      <c r="G2128" s="16" t="n">
        <v>43.76166667</v>
      </c>
      <c r="H2128" s="18" t="n">
        <v>200</v>
      </c>
      <c r="I2128" s="18" t="n">
        <v>1200</v>
      </c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 t="n">
        <v>200</v>
      </c>
      <c r="Y2128" s="19"/>
      <c r="Z2128" s="19"/>
      <c r="AA2128" s="19"/>
      <c r="AB2128" s="19"/>
      <c r="AC2128" s="19" t="n">
        <v>200</v>
      </c>
      <c r="AD2128" s="19"/>
      <c r="AE2128" s="19"/>
      <c r="AF2128" s="19"/>
      <c r="AG2128" s="19"/>
      <c r="AH2128" s="19"/>
      <c r="AI2128" s="19"/>
      <c r="AJ2128" s="19"/>
      <c r="AK2128" s="19"/>
      <c r="AL2128" s="19"/>
      <c r="AM2128" s="19" t="n">
        <v>200</v>
      </c>
      <c r="AN2128" s="19"/>
      <c r="AO2128" s="19"/>
      <c r="AP2128" s="19"/>
      <c r="AQ2128" s="19"/>
      <c r="AR2128" s="19"/>
      <c r="AS2128" s="20" t="str">
        <f aca="false">HYPERLINK("http://www.openstreetmap.org/?mlat=35.3142&amp;mlon=43.7617&amp;zoom=12#map=12/35.3142/43.7617","Maplink1")</f>
        <v>Maplink1</v>
      </c>
      <c r="AT2128" s="20" t="str">
        <f aca="false">HYPERLINK("https://www.google.iq/maps/search/+35.3142,43.7617/@35.3142,43.7617,14z?hl=en","Maplink2")</f>
        <v>Maplink2</v>
      </c>
      <c r="AU2128" s="20" t="str">
        <f aca="false">HYPERLINK("http://www.bing.com/maps/?lvl=14&amp;sty=h&amp;cp=35.3142~43.7617&amp;sp=point.35.3142_43.7617","Maplink3")</f>
        <v>Maplink3</v>
      </c>
    </row>
    <row r="2129" customFormat="false" ht="15" hidden="false" customHeight="true" outlineLevel="0" collapsed="false">
      <c r="A2129" s="15" t="n">
        <v>15005</v>
      </c>
      <c r="B2129" s="16" t="s">
        <v>23</v>
      </c>
      <c r="C2129" s="16" t="s">
        <v>4174</v>
      </c>
      <c r="D2129" s="16" t="s">
        <v>4177</v>
      </c>
      <c r="E2129" s="17" t="s">
        <v>4178</v>
      </c>
      <c r="F2129" s="16" t="n">
        <v>35.24</v>
      </c>
      <c r="G2129" s="16" t="n">
        <v>43.81</v>
      </c>
      <c r="H2129" s="18" t="n">
        <v>25</v>
      </c>
      <c r="I2129" s="18" t="n">
        <v>150</v>
      </c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 t="n">
        <v>25</v>
      </c>
      <c r="Y2129" s="19"/>
      <c r="Z2129" s="19"/>
      <c r="AA2129" s="19"/>
      <c r="AB2129" s="19"/>
      <c r="AC2129" s="19" t="n">
        <v>25</v>
      </c>
      <c r="AD2129" s="19"/>
      <c r="AE2129" s="19"/>
      <c r="AF2129" s="19"/>
      <c r="AG2129" s="19"/>
      <c r="AH2129" s="19"/>
      <c r="AI2129" s="19"/>
      <c r="AJ2129" s="19"/>
      <c r="AK2129" s="19"/>
      <c r="AL2129" s="19"/>
      <c r="AM2129" s="19" t="n">
        <v>25</v>
      </c>
      <c r="AN2129" s="19"/>
      <c r="AO2129" s="19"/>
      <c r="AP2129" s="19"/>
      <c r="AQ2129" s="19"/>
      <c r="AR2129" s="19"/>
      <c r="AS2129" s="20" t="str">
        <f aca="false">HYPERLINK("http://www.openstreetmap.org/?mlat=35.24&amp;mlon=43.81&amp;zoom=12#map=12/35.24/43.81","Maplink1")</f>
        <v>Maplink1</v>
      </c>
      <c r="AT2129" s="20" t="str">
        <f aca="false">HYPERLINK("https://www.google.iq/maps/search/+35.24,43.81/@35.24,43.81,14z?hl=en","Maplink2")</f>
        <v>Maplink2</v>
      </c>
      <c r="AU2129" s="20" t="str">
        <f aca="false">HYPERLINK("http://www.bing.com/maps/?lvl=14&amp;sty=h&amp;cp=35.24~43.81&amp;sp=point.35.24_43.81","Maplink3")</f>
        <v>Maplink3</v>
      </c>
    </row>
    <row r="2130" customFormat="false" ht="15" hidden="false" customHeight="true" outlineLevel="0" collapsed="false">
      <c r="A2130" s="15" t="n">
        <v>14836</v>
      </c>
      <c r="B2130" s="16" t="s">
        <v>23</v>
      </c>
      <c r="C2130" s="16" t="s">
        <v>4174</v>
      </c>
      <c r="D2130" s="16" t="s">
        <v>4179</v>
      </c>
      <c r="E2130" s="17" t="s">
        <v>4180</v>
      </c>
      <c r="F2130" s="16" t="n">
        <v>35.29</v>
      </c>
      <c r="G2130" s="16" t="n">
        <v>43.84</v>
      </c>
      <c r="H2130" s="18" t="n">
        <v>18</v>
      </c>
      <c r="I2130" s="18" t="n">
        <v>108</v>
      </c>
      <c r="J2130" s="19" t="n">
        <v>18</v>
      </c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 t="n">
        <v>18</v>
      </c>
      <c r="AD2130" s="19"/>
      <c r="AE2130" s="19"/>
      <c r="AF2130" s="19"/>
      <c r="AG2130" s="19"/>
      <c r="AH2130" s="19"/>
      <c r="AI2130" s="19"/>
      <c r="AJ2130" s="19"/>
      <c r="AK2130" s="19"/>
      <c r="AL2130" s="19" t="n">
        <v>18</v>
      </c>
      <c r="AM2130" s="19"/>
      <c r="AN2130" s="19"/>
      <c r="AO2130" s="19"/>
      <c r="AP2130" s="19"/>
      <c r="AQ2130" s="19"/>
      <c r="AR2130" s="19"/>
      <c r="AS2130" s="20" t="str">
        <f aca="false">HYPERLINK("http://www.openstreetmap.org/?mlat=35.29&amp;mlon=43.84&amp;zoom=12#map=12/35.29/43.84","Maplink1")</f>
        <v>Maplink1</v>
      </c>
      <c r="AT2130" s="20" t="str">
        <f aca="false">HYPERLINK("https://www.google.iq/maps/search/+35.29,43.84/@35.29,43.84,14z?hl=en","Maplink2")</f>
        <v>Maplink2</v>
      </c>
      <c r="AU2130" s="20" t="str">
        <f aca="false">HYPERLINK("http://www.bing.com/maps/?lvl=14&amp;sty=h&amp;cp=35.29~43.84&amp;sp=point.35.29_43.84","Maplink3")</f>
        <v>Maplink3</v>
      </c>
    </row>
    <row r="2131" customFormat="false" ht="15" hidden="false" customHeight="true" outlineLevel="0" collapsed="false">
      <c r="A2131" s="15" t="n">
        <v>24365</v>
      </c>
      <c r="B2131" s="16" t="s">
        <v>23</v>
      </c>
      <c r="C2131" s="16" t="s">
        <v>4174</v>
      </c>
      <c r="D2131" s="16" t="s">
        <v>4181</v>
      </c>
      <c r="E2131" s="17" t="s">
        <v>4182</v>
      </c>
      <c r="F2131" s="16" t="n">
        <v>35.431592</v>
      </c>
      <c r="G2131" s="16" t="n">
        <v>43.855891</v>
      </c>
      <c r="H2131" s="18" t="n">
        <v>80</v>
      </c>
      <c r="I2131" s="18" t="n">
        <v>480</v>
      </c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 t="n">
        <v>80</v>
      </c>
      <c r="Y2131" s="19"/>
      <c r="Z2131" s="19"/>
      <c r="AA2131" s="19"/>
      <c r="AB2131" s="19"/>
      <c r="AC2131" s="19" t="n">
        <v>80</v>
      </c>
      <c r="AD2131" s="19"/>
      <c r="AE2131" s="19"/>
      <c r="AF2131" s="19"/>
      <c r="AG2131" s="19"/>
      <c r="AH2131" s="19"/>
      <c r="AI2131" s="19"/>
      <c r="AJ2131" s="19"/>
      <c r="AK2131" s="19"/>
      <c r="AL2131" s="19"/>
      <c r="AM2131" s="19" t="n">
        <v>80</v>
      </c>
      <c r="AN2131" s="19"/>
      <c r="AO2131" s="19"/>
      <c r="AP2131" s="19"/>
      <c r="AQ2131" s="19"/>
      <c r="AR2131" s="19"/>
      <c r="AS2131" s="20" t="str">
        <f aca="false">HYPERLINK("http://www.openstreetmap.org/?mlat=35.4316&amp;mlon=43.8559&amp;zoom=12#map=12/35.4316/43.8559","Maplink1")</f>
        <v>Maplink1</v>
      </c>
      <c r="AT2131" s="20" t="str">
        <f aca="false">HYPERLINK("https://www.google.iq/maps/search/+35.4316,43.8559/@35.4316,43.8559,14z?hl=en","Maplink2")</f>
        <v>Maplink2</v>
      </c>
      <c r="AU2131" s="20" t="str">
        <f aca="false">HYPERLINK("http://www.bing.com/maps/?lvl=14&amp;sty=h&amp;cp=35.4316~43.8559&amp;sp=point.35.4316_43.8559","Maplink3")</f>
        <v>Maplink3</v>
      </c>
    </row>
    <row r="2132" customFormat="false" ht="15" hidden="false" customHeight="true" outlineLevel="0" collapsed="false">
      <c r="A2132" s="15" t="n">
        <v>15594</v>
      </c>
      <c r="B2132" s="16" t="s">
        <v>23</v>
      </c>
      <c r="C2132" s="16" t="s">
        <v>4174</v>
      </c>
      <c r="D2132" s="16" t="s">
        <v>4183</v>
      </c>
      <c r="E2132" s="17" t="s">
        <v>79</v>
      </c>
      <c r="F2132" s="16" t="n">
        <v>35.31722222</v>
      </c>
      <c r="G2132" s="16" t="n">
        <v>43.76444444</v>
      </c>
      <c r="H2132" s="18" t="n">
        <v>400</v>
      </c>
      <c r="I2132" s="18" t="n">
        <v>2400</v>
      </c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 t="n">
        <v>400</v>
      </c>
      <c r="Y2132" s="19"/>
      <c r="Z2132" s="19"/>
      <c r="AA2132" s="19"/>
      <c r="AB2132" s="19"/>
      <c r="AC2132" s="19" t="n">
        <v>150</v>
      </c>
      <c r="AD2132" s="19"/>
      <c r="AE2132" s="19"/>
      <c r="AF2132" s="19"/>
      <c r="AG2132" s="19"/>
      <c r="AH2132" s="19"/>
      <c r="AI2132" s="19"/>
      <c r="AJ2132" s="19"/>
      <c r="AK2132" s="19" t="n">
        <v>250</v>
      </c>
      <c r="AL2132" s="19"/>
      <c r="AM2132" s="19"/>
      <c r="AN2132" s="19" t="n">
        <v>400</v>
      </c>
      <c r="AO2132" s="19"/>
      <c r="AP2132" s="19"/>
      <c r="AQ2132" s="19"/>
      <c r="AR2132" s="19"/>
      <c r="AS2132" s="20" t="str">
        <f aca="false">HYPERLINK("http://www.openstreetmap.org/?mlat=35.3172&amp;mlon=43.7644&amp;zoom=12#map=12/35.3172/43.7644","Maplink1")</f>
        <v>Maplink1</v>
      </c>
      <c r="AT2132" s="20" t="str">
        <f aca="false">HYPERLINK("https://www.google.iq/maps/search/+35.3172,43.7644/@35.3172,43.7644,14z?hl=en","Maplink2")</f>
        <v>Maplink2</v>
      </c>
      <c r="AU2132" s="20" t="str">
        <f aca="false">HYPERLINK("http://www.bing.com/maps/?lvl=14&amp;sty=h&amp;cp=35.3172~43.7644&amp;sp=point.35.3172_43.7644","Maplink3")</f>
        <v>Maplink3</v>
      </c>
    </row>
    <row r="2133" customFormat="false" ht="15" hidden="false" customHeight="true" outlineLevel="0" collapsed="false">
      <c r="A2133" s="15" t="n">
        <v>23072</v>
      </c>
      <c r="B2133" s="16" t="s">
        <v>23</v>
      </c>
      <c r="C2133" s="16" t="s">
        <v>4174</v>
      </c>
      <c r="D2133" s="16" t="s">
        <v>4184</v>
      </c>
      <c r="E2133" s="17" t="s">
        <v>4185</v>
      </c>
      <c r="F2133" s="16" t="n">
        <v>35.405116</v>
      </c>
      <c r="G2133" s="16" t="n">
        <v>43.895785</v>
      </c>
      <c r="H2133" s="18" t="n">
        <v>50</v>
      </c>
      <c r="I2133" s="18" t="n">
        <v>300</v>
      </c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 t="n">
        <v>50</v>
      </c>
      <c r="Y2133" s="19"/>
      <c r="Z2133" s="19"/>
      <c r="AA2133" s="19"/>
      <c r="AB2133" s="19"/>
      <c r="AC2133" s="19"/>
      <c r="AD2133" s="19"/>
      <c r="AE2133" s="19"/>
      <c r="AF2133" s="19"/>
      <c r="AG2133" s="19"/>
      <c r="AH2133" s="19"/>
      <c r="AI2133" s="19"/>
      <c r="AJ2133" s="19"/>
      <c r="AK2133" s="19" t="n">
        <v>50</v>
      </c>
      <c r="AL2133" s="19"/>
      <c r="AM2133" s="19"/>
      <c r="AN2133" s="19" t="n">
        <v>50</v>
      </c>
      <c r="AO2133" s="19"/>
      <c r="AP2133" s="19"/>
      <c r="AQ2133" s="19"/>
      <c r="AR2133" s="19"/>
      <c r="AS2133" s="20" t="str">
        <f aca="false">HYPERLINK("http://www.openstreetmap.org/?mlat=35.4051&amp;mlon=43.8958&amp;zoom=12#map=12/35.4051/43.8958","Maplink1")</f>
        <v>Maplink1</v>
      </c>
      <c r="AT2133" s="20" t="str">
        <f aca="false">HYPERLINK("https://www.google.iq/maps/search/+35.4051,43.8958/@35.4051,43.8958,14z?hl=en","Maplink2")</f>
        <v>Maplink2</v>
      </c>
      <c r="AU2133" s="20" t="str">
        <f aca="false">HYPERLINK("http://www.bing.com/maps/?lvl=14&amp;sty=h&amp;cp=35.4051~43.8958&amp;sp=point.35.4051_43.8958","Maplink3")</f>
        <v>Maplink3</v>
      </c>
    </row>
    <row r="2134" customFormat="false" ht="15" hidden="false" customHeight="true" outlineLevel="0" collapsed="false">
      <c r="A2134" s="15" t="n">
        <v>24366</v>
      </c>
      <c r="B2134" s="16" t="s">
        <v>23</v>
      </c>
      <c r="C2134" s="16" t="s">
        <v>4174</v>
      </c>
      <c r="D2134" s="16" t="s">
        <v>4186</v>
      </c>
      <c r="E2134" s="17" t="s">
        <v>4187</v>
      </c>
      <c r="F2134" s="16" t="n">
        <v>35.402192</v>
      </c>
      <c r="G2134" s="16" t="n">
        <v>43.883961</v>
      </c>
      <c r="H2134" s="18" t="n">
        <v>100</v>
      </c>
      <c r="I2134" s="18" t="n">
        <v>600</v>
      </c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 t="n">
        <v>100</v>
      </c>
      <c r="Y2134" s="19"/>
      <c r="Z2134" s="19"/>
      <c r="AA2134" s="19"/>
      <c r="AB2134" s="19"/>
      <c r="AC2134" s="19" t="n">
        <v>100</v>
      </c>
      <c r="AD2134" s="19"/>
      <c r="AE2134" s="19"/>
      <c r="AF2134" s="19"/>
      <c r="AG2134" s="19"/>
      <c r="AH2134" s="19"/>
      <c r="AI2134" s="19"/>
      <c r="AJ2134" s="19"/>
      <c r="AK2134" s="19"/>
      <c r="AL2134" s="19"/>
      <c r="AM2134" s="19" t="n">
        <v>100</v>
      </c>
      <c r="AN2134" s="19"/>
      <c r="AO2134" s="19"/>
      <c r="AP2134" s="19"/>
      <c r="AQ2134" s="19"/>
      <c r="AR2134" s="19"/>
      <c r="AS2134" s="20" t="str">
        <f aca="false">HYPERLINK("http://www.openstreetmap.org/?mlat=35.4022&amp;mlon=43.884&amp;zoom=12#map=12/35.4022/43.884","Maplink1")</f>
        <v>Maplink1</v>
      </c>
      <c r="AT2134" s="20" t="str">
        <f aca="false">HYPERLINK("https://www.google.iq/maps/search/+35.4022,43.884/@35.4022,43.884,14z?hl=en","Maplink2")</f>
        <v>Maplink2</v>
      </c>
      <c r="AU2134" s="20" t="str">
        <f aca="false">HYPERLINK("http://www.bing.com/maps/?lvl=14&amp;sty=h&amp;cp=35.4022~43.884&amp;sp=point.35.4022_43.884","Maplink3")</f>
        <v>Maplink3</v>
      </c>
    </row>
    <row r="2135" customFormat="false" ht="15" hidden="false" customHeight="true" outlineLevel="0" collapsed="false">
      <c r="A2135" s="15" t="n">
        <v>15268</v>
      </c>
      <c r="B2135" s="16" t="s">
        <v>23</v>
      </c>
      <c r="C2135" s="16" t="s">
        <v>4174</v>
      </c>
      <c r="D2135" s="16" t="s">
        <v>4188</v>
      </c>
      <c r="E2135" s="17" t="s">
        <v>4189</v>
      </c>
      <c r="F2135" s="16" t="n">
        <v>35.315931</v>
      </c>
      <c r="G2135" s="16" t="n">
        <v>43.767191</v>
      </c>
      <c r="H2135" s="18" t="n">
        <v>3200</v>
      </c>
      <c r="I2135" s="18" t="n">
        <v>19200</v>
      </c>
      <c r="J2135" s="19" t="n">
        <v>1400</v>
      </c>
      <c r="K2135" s="19"/>
      <c r="L2135" s="19"/>
      <c r="M2135" s="19"/>
      <c r="N2135" s="19"/>
      <c r="O2135" s="19"/>
      <c r="P2135" s="19"/>
      <c r="Q2135" s="19"/>
      <c r="R2135" s="19" t="n">
        <v>1200</v>
      </c>
      <c r="S2135" s="19"/>
      <c r="T2135" s="19"/>
      <c r="U2135" s="19"/>
      <c r="V2135" s="19" t="n">
        <v>600</v>
      </c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19"/>
      <c r="AH2135" s="19"/>
      <c r="AI2135" s="19"/>
      <c r="AJ2135" s="19"/>
      <c r="AK2135" s="19" t="n">
        <v>3200</v>
      </c>
      <c r="AL2135" s="19" t="n">
        <v>1400</v>
      </c>
      <c r="AM2135" s="19" t="n">
        <v>600</v>
      </c>
      <c r="AN2135" s="19"/>
      <c r="AO2135" s="19" t="n">
        <v>1200</v>
      </c>
      <c r="AP2135" s="19"/>
      <c r="AQ2135" s="19"/>
      <c r="AR2135" s="19"/>
      <c r="AS2135" s="20" t="str">
        <f aca="false">HYPERLINK("http://www.openstreetmap.org/?mlat=35.3159&amp;mlon=43.7672&amp;zoom=12#map=12/35.3159/43.7672","Maplink1")</f>
        <v>Maplink1</v>
      </c>
      <c r="AT2135" s="20" t="str">
        <f aca="false">HYPERLINK("https://www.google.iq/maps/search/+35.3159,43.7672/@35.3159,43.7672,14z?hl=en","Maplink2")</f>
        <v>Maplink2</v>
      </c>
      <c r="AU2135" s="20" t="str">
        <f aca="false">HYPERLINK("http://www.bing.com/maps/?lvl=14&amp;sty=h&amp;cp=35.3159~43.7672&amp;sp=point.35.3159_43.7672","Maplink3")</f>
        <v>Maplink3</v>
      </c>
    </row>
    <row r="2136" customFormat="false" ht="15" hidden="false" customHeight="true" outlineLevel="0" collapsed="false">
      <c r="A2136" s="15" t="n">
        <v>14998</v>
      </c>
      <c r="B2136" s="16" t="s">
        <v>23</v>
      </c>
      <c r="C2136" s="16" t="s">
        <v>4174</v>
      </c>
      <c r="D2136" s="16" t="s">
        <v>4190</v>
      </c>
      <c r="E2136" s="17" t="s">
        <v>4191</v>
      </c>
      <c r="F2136" s="16" t="n">
        <v>35.34</v>
      </c>
      <c r="G2136" s="16" t="n">
        <v>43.72</v>
      </c>
      <c r="H2136" s="18" t="n">
        <v>30</v>
      </c>
      <c r="I2136" s="18" t="n">
        <v>180</v>
      </c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 t="n">
        <v>30</v>
      </c>
      <c r="Y2136" s="19"/>
      <c r="Z2136" s="19"/>
      <c r="AA2136" s="19"/>
      <c r="AB2136" s="19"/>
      <c r="AC2136" s="19" t="n">
        <v>20</v>
      </c>
      <c r="AD2136" s="19"/>
      <c r="AE2136" s="19"/>
      <c r="AF2136" s="19"/>
      <c r="AG2136" s="19"/>
      <c r="AH2136" s="19"/>
      <c r="AI2136" s="19"/>
      <c r="AJ2136" s="19" t="n">
        <v>10</v>
      </c>
      <c r="AK2136" s="19"/>
      <c r="AL2136" s="19"/>
      <c r="AM2136" s="19" t="n">
        <v>30</v>
      </c>
      <c r="AN2136" s="19"/>
      <c r="AO2136" s="19"/>
      <c r="AP2136" s="19"/>
      <c r="AQ2136" s="19"/>
      <c r="AR2136" s="19"/>
      <c r="AS2136" s="20" t="str">
        <f aca="false">HYPERLINK("http://www.openstreetmap.org/?mlat=35.34&amp;mlon=43.72&amp;zoom=12#map=12/35.34/43.72","Maplink1")</f>
        <v>Maplink1</v>
      </c>
      <c r="AT2136" s="20" t="str">
        <f aca="false">HYPERLINK("https://www.google.iq/maps/search/+35.34,43.72/@35.34,43.72,14z?hl=en","Maplink2")</f>
        <v>Maplink2</v>
      </c>
      <c r="AU2136" s="20" t="str">
        <f aca="false">HYPERLINK("http://www.bing.com/maps/?lvl=14&amp;sty=h&amp;cp=35.34~43.72&amp;sp=point.35.34_43.72","Maplink3")</f>
        <v>Maplink3</v>
      </c>
    </row>
    <row r="2137" customFormat="false" ht="15" hidden="false" customHeight="true" outlineLevel="0" collapsed="false">
      <c r="A2137" s="15" t="n">
        <v>15202</v>
      </c>
      <c r="B2137" s="16" t="s">
        <v>23</v>
      </c>
      <c r="C2137" s="16" t="s">
        <v>4174</v>
      </c>
      <c r="D2137" s="16" t="s">
        <v>4192</v>
      </c>
      <c r="E2137" s="17" t="s">
        <v>4193</v>
      </c>
      <c r="F2137" s="16" t="n">
        <v>35.270389</v>
      </c>
      <c r="G2137" s="16" t="n">
        <v>43.915611</v>
      </c>
      <c r="H2137" s="18" t="n">
        <v>1500</v>
      </c>
      <c r="I2137" s="18" t="n">
        <v>9000</v>
      </c>
      <c r="J2137" s="19" t="n">
        <v>500</v>
      </c>
      <c r="K2137" s="19"/>
      <c r="L2137" s="19"/>
      <c r="M2137" s="19"/>
      <c r="N2137" s="19"/>
      <c r="O2137" s="19"/>
      <c r="P2137" s="19"/>
      <c r="Q2137" s="19"/>
      <c r="R2137" s="19" t="n">
        <v>500</v>
      </c>
      <c r="S2137" s="19"/>
      <c r="T2137" s="19"/>
      <c r="U2137" s="19"/>
      <c r="V2137" s="19"/>
      <c r="W2137" s="19"/>
      <c r="X2137" s="19" t="n">
        <v>500</v>
      </c>
      <c r="Y2137" s="19"/>
      <c r="Z2137" s="19"/>
      <c r="AA2137" s="19"/>
      <c r="AB2137" s="19"/>
      <c r="AC2137" s="19"/>
      <c r="AD2137" s="19"/>
      <c r="AE2137" s="19"/>
      <c r="AF2137" s="19"/>
      <c r="AG2137" s="19"/>
      <c r="AH2137" s="19"/>
      <c r="AI2137" s="19"/>
      <c r="AJ2137" s="19"/>
      <c r="AK2137" s="19" t="n">
        <v>1500</v>
      </c>
      <c r="AL2137" s="19" t="n">
        <v>500</v>
      </c>
      <c r="AM2137" s="19"/>
      <c r="AN2137" s="19"/>
      <c r="AO2137" s="19" t="n">
        <v>1000</v>
      </c>
      <c r="AP2137" s="19"/>
      <c r="AQ2137" s="19"/>
      <c r="AR2137" s="19"/>
      <c r="AS2137" s="20" t="str">
        <f aca="false">HYPERLINK("http://www.openstreetmap.org/?mlat=35.2704&amp;mlon=43.9156&amp;zoom=12#map=12/35.2704/43.9156","Maplink1")</f>
        <v>Maplink1</v>
      </c>
      <c r="AT2137" s="20" t="str">
        <f aca="false">HYPERLINK("https://www.google.iq/maps/search/+35.2704,43.9156/@35.2704,43.9156,14z?hl=en","Maplink2")</f>
        <v>Maplink2</v>
      </c>
      <c r="AU2137" s="20" t="str">
        <f aca="false">HYPERLINK("http://www.bing.com/maps/?lvl=14&amp;sty=h&amp;cp=35.2704~43.9156&amp;sp=point.35.2704_43.9156","Maplink3")</f>
        <v>Maplink3</v>
      </c>
    </row>
    <row r="2138" customFormat="false" ht="15" hidden="false" customHeight="true" outlineLevel="0" collapsed="false">
      <c r="A2138" s="15" t="n">
        <v>15191</v>
      </c>
      <c r="B2138" s="16" t="s">
        <v>23</v>
      </c>
      <c r="C2138" s="16" t="s">
        <v>4174</v>
      </c>
      <c r="D2138" s="16" t="s">
        <v>4194</v>
      </c>
      <c r="E2138" s="17" t="s">
        <v>4195</v>
      </c>
      <c r="F2138" s="16" t="n">
        <v>35.260833</v>
      </c>
      <c r="G2138" s="16" t="n">
        <v>43.432917</v>
      </c>
      <c r="H2138" s="18" t="n">
        <v>2500</v>
      </c>
      <c r="I2138" s="18" t="n">
        <v>15000</v>
      </c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 t="n">
        <v>2500</v>
      </c>
      <c r="Y2138" s="19"/>
      <c r="Z2138" s="19"/>
      <c r="AA2138" s="19"/>
      <c r="AB2138" s="19"/>
      <c r="AC2138" s="19"/>
      <c r="AD2138" s="19"/>
      <c r="AE2138" s="19"/>
      <c r="AF2138" s="19"/>
      <c r="AG2138" s="19"/>
      <c r="AH2138" s="19"/>
      <c r="AI2138" s="19"/>
      <c r="AJ2138" s="19"/>
      <c r="AK2138" s="19" t="n">
        <v>2500</v>
      </c>
      <c r="AL2138" s="19"/>
      <c r="AM2138" s="19"/>
      <c r="AN2138" s="19" t="n">
        <v>2500</v>
      </c>
      <c r="AO2138" s="19"/>
      <c r="AP2138" s="19"/>
      <c r="AQ2138" s="19"/>
      <c r="AR2138" s="19"/>
      <c r="AS2138" s="20" t="str">
        <f aca="false">HYPERLINK("http://www.openstreetmap.org/?mlat=35.2608&amp;mlon=43.4329&amp;zoom=12#map=12/35.2608/43.4329","Maplink1")</f>
        <v>Maplink1</v>
      </c>
      <c r="AT2138" s="20" t="str">
        <f aca="false">HYPERLINK("https://www.google.iq/maps/search/+35.2608,43.4329/@35.2608,43.4329,14z?hl=en","Maplink2")</f>
        <v>Maplink2</v>
      </c>
      <c r="AU2138" s="20" t="str">
        <f aca="false">HYPERLINK("http://www.bing.com/maps/?lvl=14&amp;sty=h&amp;cp=35.2608~43.4329&amp;sp=point.35.2608_43.4329","Maplink3")</f>
        <v>Maplink3</v>
      </c>
    </row>
    <row r="2139" customFormat="false" ht="15" hidden="false" customHeight="true" outlineLevel="0" collapsed="false">
      <c r="A2139" s="15" t="n">
        <v>15346</v>
      </c>
      <c r="B2139" s="16" t="s">
        <v>23</v>
      </c>
      <c r="C2139" s="16" t="s">
        <v>4174</v>
      </c>
      <c r="D2139" s="16" t="s">
        <v>4196</v>
      </c>
      <c r="E2139" s="17" t="s">
        <v>4197</v>
      </c>
      <c r="F2139" s="16" t="n">
        <v>35.383917</v>
      </c>
      <c r="G2139" s="16" t="n">
        <v>43.627778</v>
      </c>
      <c r="H2139" s="18" t="n">
        <v>100</v>
      </c>
      <c r="I2139" s="18" t="n">
        <v>600</v>
      </c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 t="n">
        <v>100</v>
      </c>
      <c r="Y2139" s="19"/>
      <c r="Z2139" s="19"/>
      <c r="AA2139" s="19"/>
      <c r="AB2139" s="19"/>
      <c r="AC2139" s="19" t="n">
        <v>100</v>
      </c>
      <c r="AD2139" s="19"/>
      <c r="AE2139" s="19"/>
      <c r="AF2139" s="19"/>
      <c r="AG2139" s="19"/>
      <c r="AH2139" s="19"/>
      <c r="AI2139" s="19"/>
      <c r="AJ2139" s="19"/>
      <c r="AK2139" s="19"/>
      <c r="AL2139" s="19"/>
      <c r="AM2139" s="19" t="n">
        <v>100</v>
      </c>
      <c r="AN2139" s="19"/>
      <c r="AO2139" s="19"/>
      <c r="AP2139" s="19"/>
      <c r="AQ2139" s="19"/>
      <c r="AR2139" s="19"/>
      <c r="AS2139" s="20" t="str">
        <f aca="false">HYPERLINK("http://www.openstreetmap.org/?mlat=35.3839&amp;mlon=43.6278&amp;zoom=12#map=12/35.3839/43.6278","Maplink1")</f>
        <v>Maplink1</v>
      </c>
      <c r="AT2139" s="20" t="str">
        <f aca="false">HYPERLINK("https://www.google.iq/maps/search/+35.3839,43.6278/@35.3839,43.6278,14z?hl=en","Maplink2")</f>
        <v>Maplink2</v>
      </c>
      <c r="AU2139" s="20" t="str">
        <f aca="false">HYPERLINK("http://www.bing.com/maps/?lvl=14&amp;sty=h&amp;cp=35.3839~43.6278&amp;sp=point.35.3839_43.6278","Maplink3")</f>
        <v>Maplink3</v>
      </c>
    </row>
    <row r="2140" customFormat="false" ht="15" hidden="false" customHeight="true" outlineLevel="0" collapsed="false">
      <c r="A2140" s="15" t="n">
        <v>24364</v>
      </c>
      <c r="B2140" s="16" t="s">
        <v>23</v>
      </c>
      <c r="C2140" s="16" t="s">
        <v>4174</v>
      </c>
      <c r="D2140" s="16" t="s">
        <v>4198</v>
      </c>
      <c r="E2140" s="17" t="s">
        <v>4199</v>
      </c>
      <c r="F2140" s="16" t="n">
        <v>35.432</v>
      </c>
      <c r="G2140" s="16" t="n">
        <v>43.856173</v>
      </c>
      <c r="H2140" s="18" t="n">
        <v>200</v>
      </c>
      <c r="I2140" s="18" t="n">
        <v>1200</v>
      </c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 t="n">
        <v>200</v>
      </c>
      <c r="Y2140" s="19"/>
      <c r="Z2140" s="19"/>
      <c r="AA2140" s="19"/>
      <c r="AB2140" s="19"/>
      <c r="AC2140" s="19" t="n">
        <v>200</v>
      </c>
      <c r="AD2140" s="19"/>
      <c r="AE2140" s="19"/>
      <c r="AF2140" s="19"/>
      <c r="AG2140" s="19"/>
      <c r="AH2140" s="19"/>
      <c r="AI2140" s="19"/>
      <c r="AJ2140" s="19"/>
      <c r="AK2140" s="19"/>
      <c r="AL2140" s="19"/>
      <c r="AM2140" s="19" t="n">
        <v>200</v>
      </c>
      <c r="AN2140" s="19"/>
      <c r="AO2140" s="19"/>
      <c r="AP2140" s="19"/>
      <c r="AQ2140" s="19"/>
      <c r="AR2140" s="19"/>
      <c r="AS2140" s="20" t="str">
        <f aca="false">HYPERLINK("http://www.openstreetmap.org/?mlat=35.432&amp;mlon=43.8562&amp;zoom=12#map=12/35.432/43.8562","Maplink1")</f>
        <v>Maplink1</v>
      </c>
      <c r="AT2140" s="20" t="str">
        <f aca="false">HYPERLINK("https://www.google.iq/maps/search/+35.432,43.8562/@35.432,43.8562,14z?hl=en","Maplink2")</f>
        <v>Maplink2</v>
      </c>
      <c r="AU2140" s="20" t="str">
        <f aca="false">HYPERLINK("http://www.bing.com/maps/?lvl=14&amp;sty=h&amp;cp=35.432~43.8562&amp;sp=point.35.432_43.8562","Maplink3")</f>
        <v>Maplink3</v>
      </c>
    </row>
    <row r="2141" customFormat="false" ht="15" hidden="false" customHeight="true" outlineLevel="0" collapsed="false">
      <c r="A2141" s="15" t="n">
        <v>24236</v>
      </c>
      <c r="B2141" s="16" t="s">
        <v>23</v>
      </c>
      <c r="C2141" s="16" t="s">
        <v>4174</v>
      </c>
      <c r="D2141" s="16" t="s">
        <v>4200</v>
      </c>
      <c r="E2141" s="17" t="s">
        <v>4201</v>
      </c>
      <c r="F2141" s="16" t="n">
        <v>35.43442</v>
      </c>
      <c r="G2141" s="16" t="n">
        <v>43.797289</v>
      </c>
      <c r="H2141" s="18" t="n">
        <v>100</v>
      </c>
      <c r="I2141" s="18" t="n">
        <v>600</v>
      </c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 t="n">
        <v>100</v>
      </c>
      <c r="Y2141" s="19"/>
      <c r="Z2141" s="19"/>
      <c r="AA2141" s="19"/>
      <c r="AB2141" s="19"/>
      <c r="AC2141" s="19" t="n">
        <v>100</v>
      </c>
      <c r="AD2141" s="19"/>
      <c r="AE2141" s="19"/>
      <c r="AF2141" s="19"/>
      <c r="AG2141" s="19"/>
      <c r="AH2141" s="19"/>
      <c r="AI2141" s="19"/>
      <c r="AJ2141" s="19"/>
      <c r="AK2141" s="19"/>
      <c r="AL2141" s="19"/>
      <c r="AM2141" s="19" t="n">
        <v>100</v>
      </c>
      <c r="AN2141" s="19"/>
      <c r="AO2141" s="19"/>
      <c r="AP2141" s="19"/>
      <c r="AQ2141" s="19"/>
      <c r="AR2141" s="19"/>
      <c r="AS2141" s="20" t="str">
        <f aca="false">HYPERLINK("http://www.openstreetmap.org/?mlat=35.4344&amp;mlon=43.7973&amp;zoom=12#map=12/35.4344/43.7973","Maplink1")</f>
        <v>Maplink1</v>
      </c>
      <c r="AT2141" s="20" t="str">
        <f aca="false">HYPERLINK("https://www.google.iq/maps/search/+35.4344,43.7973/@35.4344,43.7973,14z?hl=en","Maplink2")</f>
        <v>Maplink2</v>
      </c>
      <c r="AU2141" s="20" t="str">
        <f aca="false">HYPERLINK("http://www.bing.com/maps/?lvl=14&amp;sty=h&amp;cp=35.4344~43.7973&amp;sp=point.35.4344_43.7973","Maplink3")</f>
        <v>Maplink3</v>
      </c>
    </row>
    <row r="2142" customFormat="false" ht="15" hidden="false" customHeight="true" outlineLevel="0" collapsed="false">
      <c r="A2142" s="15" t="n">
        <v>24237</v>
      </c>
      <c r="B2142" s="16" t="s">
        <v>23</v>
      </c>
      <c r="C2142" s="16" t="s">
        <v>4174</v>
      </c>
      <c r="D2142" s="16" t="s">
        <v>4202</v>
      </c>
      <c r="E2142" s="17" t="s">
        <v>4203</v>
      </c>
      <c r="F2142" s="16" t="n">
        <v>35.431715</v>
      </c>
      <c r="G2142" s="16" t="n">
        <v>43.800291</v>
      </c>
      <c r="H2142" s="18" t="n">
        <v>200</v>
      </c>
      <c r="I2142" s="18" t="n">
        <v>1200</v>
      </c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 t="n">
        <v>200</v>
      </c>
      <c r="Y2142" s="19"/>
      <c r="Z2142" s="19"/>
      <c r="AA2142" s="19"/>
      <c r="AB2142" s="19"/>
      <c r="AC2142" s="19" t="n">
        <v>200</v>
      </c>
      <c r="AD2142" s="19"/>
      <c r="AE2142" s="19"/>
      <c r="AF2142" s="19"/>
      <c r="AG2142" s="19"/>
      <c r="AH2142" s="19"/>
      <c r="AI2142" s="19"/>
      <c r="AJ2142" s="19"/>
      <c r="AK2142" s="19"/>
      <c r="AL2142" s="19"/>
      <c r="AM2142" s="19" t="n">
        <v>200</v>
      </c>
      <c r="AN2142" s="19"/>
      <c r="AO2142" s="19"/>
      <c r="AP2142" s="19"/>
      <c r="AQ2142" s="19"/>
      <c r="AR2142" s="19"/>
      <c r="AS2142" s="20" t="str">
        <f aca="false">HYPERLINK("http://www.openstreetmap.org/?mlat=35.4317&amp;mlon=43.8003&amp;zoom=12#map=12/35.4317/43.8003","Maplink1")</f>
        <v>Maplink1</v>
      </c>
      <c r="AT2142" s="20" t="str">
        <f aca="false">HYPERLINK("https://www.google.iq/maps/search/+35.4317,43.8003/@35.4317,43.8003,14z?hl=en","Maplink2")</f>
        <v>Maplink2</v>
      </c>
      <c r="AU2142" s="20" t="str">
        <f aca="false">HYPERLINK("http://www.bing.com/maps/?lvl=14&amp;sty=h&amp;cp=35.4317~43.8003&amp;sp=point.35.4317_43.8003","Maplink3")</f>
        <v>Maplink3</v>
      </c>
    </row>
    <row r="2143" customFormat="false" ht="15" hidden="false" customHeight="true" outlineLevel="0" collapsed="false">
      <c r="A2143" s="15" t="n">
        <v>23660</v>
      </c>
      <c r="B2143" s="16" t="s">
        <v>23</v>
      </c>
      <c r="C2143" s="16" t="s">
        <v>4174</v>
      </c>
      <c r="D2143" s="16" t="s">
        <v>136</v>
      </c>
      <c r="E2143" s="17" t="s">
        <v>4204</v>
      </c>
      <c r="F2143" s="16" t="n">
        <v>35.324832</v>
      </c>
      <c r="G2143" s="16" t="n">
        <v>43.811402</v>
      </c>
      <c r="H2143" s="18" t="n">
        <v>50</v>
      </c>
      <c r="I2143" s="18" t="n">
        <v>300</v>
      </c>
      <c r="J2143" s="19" t="n">
        <v>20</v>
      </c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 t="n">
        <v>30</v>
      </c>
      <c r="Y2143" s="19"/>
      <c r="Z2143" s="19"/>
      <c r="AA2143" s="19"/>
      <c r="AB2143" s="19"/>
      <c r="AC2143" s="19" t="n">
        <v>30</v>
      </c>
      <c r="AD2143" s="19"/>
      <c r="AE2143" s="19"/>
      <c r="AF2143" s="19"/>
      <c r="AG2143" s="19"/>
      <c r="AH2143" s="19"/>
      <c r="AI2143" s="19"/>
      <c r="AJ2143" s="19"/>
      <c r="AK2143" s="19" t="n">
        <v>20</v>
      </c>
      <c r="AL2143" s="19" t="n">
        <v>20</v>
      </c>
      <c r="AM2143" s="19" t="n">
        <v>30</v>
      </c>
      <c r="AN2143" s="19"/>
      <c r="AO2143" s="19"/>
      <c r="AP2143" s="19"/>
      <c r="AQ2143" s="19"/>
      <c r="AR2143" s="19"/>
      <c r="AS2143" s="20" t="str">
        <f aca="false">HYPERLINK("http://www.openstreetmap.org/?mlat=35.3248&amp;mlon=43.8114&amp;zoom=12#map=12/35.3248/43.8114","Maplink1")</f>
        <v>Maplink1</v>
      </c>
      <c r="AT2143" s="20" t="str">
        <f aca="false">HYPERLINK("https://www.google.iq/maps/search/+35.3248,43.8114/@35.3248,43.8114,14z?hl=en","Maplink2")</f>
        <v>Maplink2</v>
      </c>
      <c r="AU2143" s="20" t="str">
        <f aca="false">HYPERLINK("http://www.bing.com/maps/?lvl=14&amp;sty=h&amp;cp=35.3248~43.8114&amp;sp=point.35.3248_43.8114","Maplink3")</f>
        <v>Maplink3</v>
      </c>
    </row>
    <row r="2144" customFormat="false" ht="15" hidden="false" customHeight="true" outlineLevel="0" collapsed="false">
      <c r="A2144" s="15" t="n">
        <v>22084</v>
      </c>
      <c r="B2144" s="16" t="s">
        <v>23</v>
      </c>
      <c r="C2144" s="16" t="s">
        <v>4174</v>
      </c>
      <c r="D2144" s="16" t="s">
        <v>225</v>
      </c>
      <c r="E2144" s="17" t="s">
        <v>226</v>
      </c>
      <c r="F2144" s="16" t="n">
        <v>35.32194444</v>
      </c>
      <c r="G2144" s="16" t="n">
        <v>43.77527778</v>
      </c>
      <c r="H2144" s="18" t="n">
        <v>150</v>
      </c>
      <c r="I2144" s="18" t="n">
        <v>900</v>
      </c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 t="n">
        <v>150</v>
      </c>
      <c r="Y2144" s="19"/>
      <c r="Z2144" s="19"/>
      <c r="AA2144" s="19"/>
      <c r="AB2144" s="19"/>
      <c r="AC2144" s="19" t="n">
        <v>150</v>
      </c>
      <c r="AD2144" s="19"/>
      <c r="AE2144" s="19"/>
      <c r="AF2144" s="19"/>
      <c r="AG2144" s="19"/>
      <c r="AH2144" s="19"/>
      <c r="AI2144" s="19"/>
      <c r="AJ2144" s="19"/>
      <c r="AK2144" s="19"/>
      <c r="AL2144" s="19"/>
      <c r="AM2144" s="19" t="n">
        <v>150</v>
      </c>
      <c r="AN2144" s="19"/>
      <c r="AO2144" s="19"/>
      <c r="AP2144" s="19"/>
      <c r="AQ2144" s="19"/>
      <c r="AR2144" s="19"/>
      <c r="AS2144" s="20" t="str">
        <f aca="false">HYPERLINK("http://www.openstreetmap.org/?mlat=35.3219&amp;mlon=43.7753&amp;zoom=12#map=12/35.3219/43.7753","Maplink1")</f>
        <v>Maplink1</v>
      </c>
      <c r="AT2144" s="20" t="str">
        <f aca="false">HYPERLINK("https://www.google.iq/maps/search/+35.3219,43.7753/@35.3219,43.7753,14z?hl=en","Maplink2")</f>
        <v>Maplink2</v>
      </c>
      <c r="AU2144" s="20" t="str">
        <f aca="false">HYPERLINK("http://www.bing.com/maps/?lvl=14&amp;sty=h&amp;cp=35.3219~43.7753&amp;sp=point.35.3219_43.7753","Maplink3")</f>
        <v>Maplink3</v>
      </c>
    </row>
    <row r="2145" customFormat="false" ht="15" hidden="false" customHeight="true" outlineLevel="0" collapsed="false">
      <c r="A2145" s="15" t="n">
        <v>24361</v>
      </c>
      <c r="B2145" s="16" t="s">
        <v>23</v>
      </c>
      <c r="C2145" s="16" t="s">
        <v>4174</v>
      </c>
      <c r="D2145" s="16" t="s">
        <v>4205</v>
      </c>
      <c r="E2145" s="17" t="s">
        <v>4206</v>
      </c>
      <c r="F2145" s="16" t="n">
        <v>35.500217</v>
      </c>
      <c r="G2145" s="16" t="n">
        <v>43.845064</v>
      </c>
      <c r="H2145" s="18" t="n">
        <v>500</v>
      </c>
      <c r="I2145" s="18" t="n">
        <v>3000</v>
      </c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 t="n">
        <v>500</v>
      </c>
      <c r="Y2145" s="19"/>
      <c r="Z2145" s="19"/>
      <c r="AA2145" s="19"/>
      <c r="AB2145" s="19"/>
      <c r="AC2145" s="19" t="n">
        <v>300</v>
      </c>
      <c r="AD2145" s="19"/>
      <c r="AE2145" s="19"/>
      <c r="AF2145" s="19"/>
      <c r="AG2145" s="19"/>
      <c r="AH2145" s="19"/>
      <c r="AI2145" s="19"/>
      <c r="AJ2145" s="19"/>
      <c r="AK2145" s="19" t="n">
        <v>200</v>
      </c>
      <c r="AL2145" s="19"/>
      <c r="AM2145" s="19" t="n">
        <v>500</v>
      </c>
      <c r="AN2145" s="19"/>
      <c r="AO2145" s="19"/>
      <c r="AP2145" s="19"/>
      <c r="AQ2145" s="19"/>
      <c r="AR2145" s="19"/>
      <c r="AS2145" s="20" t="str">
        <f aca="false">HYPERLINK("http://www.openstreetmap.org/?mlat=35.5002&amp;mlon=43.8451&amp;zoom=12#map=12/35.5002/43.8451","Maplink1")</f>
        <v>Maplink1</v>
      </c>
      <c r="AT2145" s="20" t="str">
        <f aca="false">HYPERLINK("https://www.google.iq/maps/search/+35.5002,43.8451/@35.5002,43.8451,14z?hl=en","Maplink2")</f>
        <v>Maplink2</v>
      </c>
      <c r="AU2145" s="20" t="str">
        <f aca="false">HYPERLINK("http://www.bing.com/maps/?lvl=14&amp;sty=h&amp;cp=35.5002~43.8451&amp;sp=point.35.5002_43.8451","Maplink3")</f>
        <v>Maplink3</v>
      </c>
    </row>
    <row r="2146" customFormat="false" ht="15" hidden="false" customHeight="true" outlineLevel="0" collapsed="false">
      <c r="A2146" s="15" t="n">
        <v>15554</v>
      </c>
      <c r="B2146" s="16" t="s">
        <v>23</v>
      </c>
      <c r="C2146" s="16" t="s">
        <v>4174</v>
      </c>
      <c r="D2146" s="16" t="s">
        <v>4207</v>
      </c>
      <c r="E2146" s="17" t="s">
        <v>4208</v>
      </c>
      <c r="F2146" s="16" t="n">
        <v>35.327747</v>
      </c>
      <c r="G2146" s="16" t="n">
        <v>43.78043</v>
      </c>
      <c r="H2146" s="18" t="n">
        <v>50</v>
      </c>
      <c r="I2146" s="18" t="n">
        <v>300</v>
      </c>
      <c r="J2146" s="19" t="n">
        <v>50</v>
      </c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 t="n">
        <v>50</v>
      </c>
      <c r="AD2146" s="19"/>
      <c r="AE2146" s="19"/>
      <c r="AF2146" s="19"/>
      <c r="AG2146" s="19"/>
      <c r="AH2146" s="19"/>
      <c r="AI2146" s="19"/>
      <c r="AJ2146" s="19"/>
      <c r="AK2146" s="19"/>
      <c r="AL2146" s="19" t="n">
        <v>50</v>
      </c>
      <c r="AM2146" s="19"/>
      <c r="AN2146" s="19"/>
      <c r="AO2146" s="19"/>
      <c r="AP2146" s="19"/>
      <c r="AQ2146" s="19"/>
      <c r="AR2146" s="19"/>
      <c r="AS2146" s="20" t="str">
        <f aca="false">HYPERLINK("http://www.openstreetmap.org/?mlat=35.3277&amp;mlon=43.7804&amp;zoom=12#map=12/35.3277/43.7804","Maplink1")</f>
        <v>Maplink1</v>
      </c>
      <c r="AT2146" s="20" t="str">
        <f aca="false">HYPERLINK("https://www.google.iq/maps/search/+35.3277,43.7804/@35.3277,43.7804,14z?hl=en","Maplink2")</f>
        <v>Maplink2</v>
      </c>
      <c r="AU2146" s="20" t="str">
        <f aca="false">HYPERLINK("http://www.bing.com/maps/?lvl=14&amp;sty=h&amp;cp=35.3277~43.7804&amp;sp=point.35.3277_43.7804","Maplink3")</f>
        <v>Maplink3</v>
      </c>
    </row>
    <row r="2147" customFormat="false" ht="15" hidden="false" customHeight="true" outlineLevel="0" collapsed="false">
      <c r="A2147" s="15" t="n">
        <v>15690</v>
      </c>
      <c r="B2147" s="16" t="s">
        <v>23</v>
      </c>
      <c r="C2147" s="16" t="s">
        <v>4174</v>
      </c>
      <c r="D2147" s="16" t="s">
        <v>313</v>
      </c>
      <c r="E2147" s="17" t="s">
        <v>314</v>
      </c>
      <c r="F2147" s="16" t="n">
        <v>35.275213</v>
      </c>
      <c r="G2147" s="16" t="n">
        <v>43.912829</v>
      </c>
      <c r="H2147" s="18" t="n">
        <v>500</v>
      </c>
      <c r="I2147" s="18" t="n">
        <v>3000</v>
      </c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 t="n">
        <v>500</v>
      </c>
      <c r="Y2147" s="19"/>
      <c r="Z2147" s="19"/>
      <c r="AA2147" s="19"/>
      <c r="AB2147" s="19"/>
      <c r="AC2147" s="19" t="n">
        <v>250</v>
      </c>
      <c r="AD2147" s="19"/>
      <c r="AE2147" s="19"/>
      <c r="AF2147" s="19"/>
      <c r="AG2147" s="19"/>
      <c r="AH2147" s="19"/>
      <c r="AI2147" s="19"/>
      <c r="AJ2147" s="19" t="n">
        <v>200</v>
      </c>
      <c r="AK2147" s="19" t="n">
        <v>50</v>
      </c>
      <c r="AL2147" s="19"/>
      <c r="AM2147" s="19" t="n">
        <v>500</v>
      </c>
      <c r="AN2147" s="19"/>
      <c r="AO2147" s="19"/>
      <c r="AP2147" s="19"/>
      <c r="AQ2147" s="19"/>
      <c r="AR2147" s="19"/>
      <c r="AS2147" s="20" t="str">
        <f aca="false">HYPERLINK("http://www.openstreetmap.org/?mlat=35.2752&amp;mlon=43.9128&amp;zoom=12#map=12/35.2752/43.9128","Maplink1")</f>
        <v>Maplink1</v>
      </c>
      <c r="AT2147" s="20" t="str">
        <f aca="false">HYPERLINK("https://www.google.iq/maps/search/+35.2752,43.9128/@35.2752,43.9128,14z?hl=en","Maplink2")</f>
        <v>Maplink2</v>
      </c>
      <c r="AU2147" s="20" t="str">
        <f aca="false">HYPERLINK("http://www.bing.com/maps/?lvl=14&amp;sty=h&amp;cp=35.2752~43.9128&amp;sp=point.35.2752_43.9128","Maplink3")</f>
        <v>Maplink3</v>
      </c>
    </row>
    <row r="2148" customFormat="false" ht="15" hidden="false" customHeight="true" outlineLevel="0" collapsed="false">
      <c r="A2148" s="15" t="n">
        <v>24235</v>
      </c>
      <c r="B2148" s="16" t="s">
        <v>23</v>
      </c>
      <c r="C2148" s="16" t="s">
        <v>4174</v>
      </c>
      <c r="D2148" s="16" t="s">
        <v>4209</v>
      </c>
      <c r="E2148" s="17" t="s">
        <v>4210</v>
      </c>
      <c r="F2148" s="16" t="n">
        <v>35.436662</v>
      </c>
      <c r="G2148" s="16" t="n">
        <v>43.796511</v>
      </c>
      <c r="H2148" s="18" t="n">
        <v>300</v>
      </c>
      <c r="I2148" s="18" t="n">
        <v>1800</v>
      </c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 t="n">
        <v>300</v>
      </c>
      <c r="Y2148" s="19"/>
      <c r="Z2148" s="19"/>
      <c r="AA2148" s="19"/>
      <c r="AB2148" s="19"/>
      <c r="AC2148" s="19" t="n">
        <v>300</v>
      </c>
      <c r="AD2148" s="19"/>
      <c r="AE2148" s="19"/>
      <c r="AF2148" s="19"/>
      <c r="AG2148" s="19"/>
      <c r="AH2148" s="19"/>
      <c r="AI2148" s="19"/>
      <c r="AJ2148" s="19"/>
      <c r="AK2148" s="19"/>
      <c r="AL2148" s="19"/>
      <c r="AM2148" s="19" t="n">
        <v>300</v>
      </c>
      <c r="AN2148" s="19"/>
      <c r="AO2148" s="19"/>
      <c r="AP2148" s="19"/>
      <c r="AQ2148" s="19"/>
      <c r="AR2148" s="19"/>
      <c r="AS2148" s="20" t="str">
        <f aca="false">HYPERLINK("http://www.openstreetmap.org/?mlat=35.4367&amp;mlon=43.7965&amp;zoom=12#map=12/35.4367/43.7965","Maplink1")</f>
        <v>Maplink1</v>
      </c>
      <c r="AT2148" s="20" t="str">
        <f aca="false">HYPERLINK("https://www.google.iq/maps/search/+35.4367,43.7965/@35.4367,43.7965,14z?hl=en","Maplink2")</f>
        <v>Maplink2</v>
      </c>
      <c r="AU2148" s="20" t="str">
        <f aca="false">HYPERLINK("http://www.bing.com/maps/?lvl=14&amp;sty=h&amp;cp=35.4367~43.7965&amp;sp=point.35.4367_43.7965","Maplink3")</f>
        <v>Maplink3</v>
      </c>
    </row>
    <row r="2149" customFormat="false" ht="15" hidden="false" customHeight="true" outlineLevel="0" collapsed="false">
      <c r="A2149" s="15" t="n">
        <v>14934</v>
      </c>
      <c r="B2149" s="16" t="s">
        <v>23</v>
      </c>
      <c r="C2149" s="16" t="s">
        <v>4174</v>
      </c>
      <c r="D2149" s="16" t="s">
        <v>4211</v>
      </c>
      <c r="E2149" s="17" t="s">
        <v>4212</v>
      </c>
      <c r="F2149" s="16" t="n">
        <v>35.45</v>
      </c>
      <c r="G2149" s="16" t="n">
        <v>43.73</v>
      </c>
      <c r="H2149" s="18" t="n">
        <v>120</v>
      </c>
      <c r="I2149" s="18" t="n">
        <v>720</v>
      </c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 t="n">
        <v>120</v>
      </c>
      <c r="Y2149" s="19"/>
      <c r="Z2149" s="19"/>
      <c r="AA2149" s="19"/>
      <c r="AB2149" s="19"/>
      <c r="AC2149" s="19" t="n">
        <v>120</v>
      </c>
      <c r="AD2149" s="19"/>
      <c r="AE2149" s="19"/>
      <c r="AF2149" s="19"/>
      <c r="AG2149" s="19"/>
      <c r="AH2149" s="19"/>
      <c r="AI2149" s="19"/>
      <c r="AJ2149" s="19"/>
      <c r="AK2149" s="19"/>
      <c r="AL2149" s="19"/>
      <c r="AM2149" s="19" t="n">
        <v>120</v>
      </c>
      <c r="AN2149" s="19"/>
      <c r="AO2149" s="19"/>
      <c r="AP2149" s="19"/>
      <c r="AQ2149" s="19"/>
      <c r="AR2149" s="19"/>
      <c r="AS2149" s="20" t="str">
        <f aca="false">HYPERLINK("http://www.openstreetmap.org/?mlat=35.45&amp;mlon=43.73&amp;zoom=12#map=12/35.45/43.73","Maplink1")</f>
        <v>Maplink1</v>
      </c>
      <c r="AT2149" s="20" t="str">
        <f aca="false">HYPERLINK("https://www.google.iq/maps/search/+35.45,43.73/@35.45,43.73,14z?hl=en","Maplink2")</f>
        <v>Maplink2</v>
      </c>
      <c r="AU2149" s="20" t="str">
        <f aca="false">HYPERLINK("http://www.bing.com/maps/?lvl=14&amp;sty=h&amp;cp=35.45~43.73&amp;sp=point.35.45_43.73","Maplink3")</f>
        <v>Maplink3</v>
      </c>
    </row>
    <row r="2150" customFormat="false" ht="15" hidden="false" customHeight="true" outlineLevel="0" collapsed="false">
      <c r="A2150" s="15" t="n">
        <v>15408</v>
      </c>
      <c r="B2150" s="16" t="s">
        <v>23</v>
      </c>
      <c r="C2150" s="16" t="s">
        <v>4174</v>
      </c>
      <c r="D2150" s="16" t="s">
        <v>4213</v>
      </c>
      <c r="E2150" s="17" t="s">
        <v>4214</v>
      </c>
      <c r="F2150" s="16" t="n">
        <v>35.457056</v>
      </c>
      <c r="G2150" s="16" t="n">
        <v>43.737611</v>
      </c>
      <c r="H2150" s="18" t="n">
        <v>150</v>
      </c>
      <c r="I2150" s="18" t="n">
        <v>900</v>
      </c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 t="n">
        <v>150</v>
      </c>
      <c r="Y2150" s="19"/>
      <c r="Z2150" s="19"/>
      <c r="AA2150" s="19"/>
      <c r="AB2150" s="19"/>
      <c r="AC2150" s="19" t="n">
        <v>150</v>
      </c>
      <c r="AD2150" s="19"/>
      <c r="AE2150" s="19"/>
      <c r="AF2150" s="19"/>
      <c r="AG2150" s="19"/>
      <c r="AH2150" s="19"/>
      <c r="AI2150" s="19"/>
      <c r="AJ2150" s="19"/>
      <c r="AK2150" s="19"/>
      <c r="AL2150" s="19"/>
      <c r="AM2150" s="19" t="n">
        <v>150</v>
      </c>
      <c r="AN2150" s="19"/>
      <c r="AO2150" s="19"/>
      <c r="AP2150" s="19"/>
      <c r="AQ2150" s="19"/>
      <c r="AR2150" s="19"/>
      <c r="AS2150" s="20" t="str">
        <f aca="false">HYPERLINK("http://www.openstreetmap.org/?mlat=35.4571&amp;mlon=43.7376&amp;zoom=12#map=12/35.4571/43.7376","Maplink1")</f>
        <v>Maplink1</v>
      </c>
      <c r="AT2150" s="20" t="str">
        <f aca="false">HYPERLINK("https://www.google.iq/maps/search/+35.4571,43.7376/@35.4571,43.7376,14z?hl=en","Maplink2")</f>
        <v>Maplink2</v>
      </c>
      <c r="AU2150" s="20" t="str">
        <f aca="false">HYPERLINK("http://www.bing.com/maps/?lvl=14&amp;sty=h&amp;cp=35.4571~43.7376&amp;sp=point.35.4571_43.7376","Maplink3")</f>
        <v>Maplink3</v>
      </c>
    </row>
    <row r="2151" customFormat="false" ht="15" hidden="false" customHeight="true" outlineLevel="0" collapsed="false">
      <c r="A2151" s="15" t="n">
        <v>15416</v>
      </c>
      <c r="B2151" s="16" t="s">
        <v>23</v>
      </c>
      <c r="C2151" s="16" t="s">
        <v>4174</v>
      </c>
      <c r="D2151" s="16" t="s">
        <v>4215</v>
      </c>
      <c r="E2151" s="17" t="s">
        <v>4216</v>
      </c>
      <c r="F2151" s="16" t="n">
        <v>35.474806</v>
      </c>
      <c r="G2151" s="16" t="n">
        <v>43.749083</v>
      </c>
      <c r="H2151" s="18" t="n">
        <v>250</v>
      </c>
      <c r="I2151" s="18" t="n">
        <v>1500</v>
      </c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 t="n">
        <v>250</v>
      </c>
      <c r="W2151" s="19"/>
      <c r="X2151" s="19"/>
      <c r="Y2151" s="19"/>
      <c r="Z2151" s="19"/>
      <c r="AA2151" s="19"/>
      <c r="AB2151" s="19"/>
      <c r="AC2151" s="19" t="n">
        <v>150</v>
      </c>
      <c r="AD2151" s="19"/>
      <c r="AE2151" s="19"/>
      <c r="AF2151" s="19"/>
      <c r="AG2151" s="19"/>
      <c r="AH2151" s="19"/>
      <c r="AI2151" s="19"/>
      <c r="AJ2151" s="19" t="n">
        <v>50</v>
      </c>
      <c r="AK2151" s="19" t="n">
        <v>50</v>
      </c>
      <c r="AL2151" s="19"/>
      <c r="AM2151" s="19" t="n">
        <v>250</v>
      </c>
      <c r="AN2151" s="19"/>
      <c r="AO2151" s="19"/>
      <c r="AP2151" s="19"/>
      <c r="AQ2151" s="19"/>
      <c r="AR2151" s="19"/>
      <c r="AS2151" s="20" t="str">
        <f aca="false">HYPERLINK("http://www.openstreetmap.org/?mlat=35.4748&amp;mlon=43.7491&amp;zoom=12#map=12/35.4748/43.7491","Maplink1")</f>
        <v>Maplink1</v>
      </c>
      <c r="AT2151" s="20" t="str">
        <f aca="false">HYPERLINK("https://www.google.iq/maps/search/+35.4748,43.7491/@35.4748,43.7491,14z?hl=en","Maplink2")</f>
        <v>Maplink2</v>
      </c>
      <c r="AU2151" s="20" t="str">
        <f aca="false">HYPERLINK("http://www.bing.com/maps/?lvl=14&amp;sty=h&amp;cp=35.4748~43.7491&amp;sp=point.35.4748_43.7491","Maplink3")</f>
        <v>Maplink3</v>
      </c>
    </row>
    <row r="2152" customFormat="false" ht="15" hidden="false" customHeight="true" outlineLevel="0" collapsed="false">
      <c r="A2152" s="15" t="n">
        <v>15281</v>
      </c>
      <c r="B2152" s="16" t="s">
        <v>23</v>
      </c>
      <c r="C2152" s="16" t="s">
        <v>4174</v>
      </c>
      <c r="D2152" s="16" t="s">
        <v>4217</v>
      </c>
      <c r="E2152" s="17" t="s">
        <v>4218</v>
      </c>
      <c r="F2152" s="16" t="n">
        <v>35.333556</v>
      </c>
      <c r="G2152" s="16" t="n">
        <v>43.652</v>
      </c>
      <c r="H2152" s="18" t="n">
        <v>22</v>
      </c>
      <c r="I2152" s="18" t="n">
        <v>132</v>
      </c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 t="n">
        <v>22</v>
      </c>
      <c r="Y2152" s="19"/>
      <c r="Z2152" s="19"/>
      <c r="AA2152" s="19"/>
      <c r="AB2152" s="19"/>
      <c r="AC2152" s="19" t="n">
        <v>22</v>
      </c>
      <c r="AD2152" s="19"/>
      <c r="AE2152" s="19"/>
      <c r="AF2152" s="19"/>
      <c r="AG2152" s="19"/>
      <c r="AH2152" s="19"/>
      <c r="AI2152" s="19"/>
      <c r="AJ2152" s="19"/>
      <c r="AK2152" s="19"/>
      <c r="AL2152" s="19"/>
      <c r="AM2152" s="19" t="n">
        <v>22</v>
      </c>
      <c r="AN2152" s="19"/>
      <c r="AO2152" s="19"/>
      <c r="AP2152" s="19"/>
      <c r="AQ2152" s="19"/>
      <c r="AR2152" s="19"/>
      <c r="AS2152" s="20" t="str">
        <f aca="false">HYPERLINK("http://www.openstreetmap.org/?mlat=35.3336&amp;mlon=43.652&amp;zoom=12#map=12/35.3336/43.652","Maplink1")</f>
        <v>Maplink1</v>
      </c>
      <c r="AT2152" s="20" t="str">
        <f aca="false">HYPERLINK("https://www.google.iq/maps/search/+35.3336,43.652/@35.3336,43.652,14z?hl=en","Maplink2")</f>
        <v>Maplink2</v>
      </c>
      <c r="AU2152" s="20" t="str">
        <f aca="false">HYPERLINK("http://www.bing.com/maps/?lvl=14&amp;sty=h&amp;cp=35.3336~43.652&amp;sp=point.35.3336_43.652","Maplink3")</f>
        <v>Maplink3</v>
      </c>
    </row>
    <row r="2153" customFormat="false" ht="15" hidden="false" customHeight="true" outlineLevel="0" collapsed="false">
      <c r="A2153" s="15" t="n">
        <v>24367</v>
      </c>
      <c r="B2153" s="16" t="s">
        <v>23</v>
      </c>
      <c r="C2153" s="16" t="s">
        <v>4174</v>
      </c>
      <c r="D2153" s="16" t="s">
        <v>4219</v>
      </c>
      <c r="E2153" s="17" t="s">
        <v>4220</v>
      </c>
      <c r="F2153" s="16" t="n">
        <v>35.372349</v>
      </c>
      <c r="G2153" s="16" t="n">
        <v>43.776123</v>
      </c>
      <c r="H2153" s="18" t="n">
        <v>250</v>
      </c>
      <c r="I2153" s="18" t="n">
        <v>1500</v>
      </c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 t="n">
        <v>250</v>
      </c>
      <c r="W2153" s="19"/>
      <c r="X2153" s="19"/>
      <c r="Y2153" s="19"/>
      <c r="Z2153" s="19"/>
      <c r="AA2153" s="19"/>
      <c r="AB2153" s="19"/>
      <c r="AC2153" s="19" t="n">
        <v>150</v>
      </c>
      <c r="AD2153" s="19"/>
      <c r="AE2153" s="19"/>
      <c r="AF2153" s="19"/>
      <c r="AG2153" s="19"/>
      <c r="AH2153" s="19"/>
      <c r="AI2153" s="19"/>
      <c r="AJ2153" s="19" t="n">
        <v>100</v>
      </c>
      <c r="AK2153" s="19"/>
      <c r="AL2153" s="19"/>
      <c r="AM2153" s="19" t="n">
        <v>250</v>
      </c>
      <c r="AN2153" s="19"/>
      <c r="AO2153" s="19"/>
      <c r="AP2153" s="19"/>
      <c r="AQ2153" s="19"/>
      <c r="AR2153" s="19"/>
      <c r="AS2153" s="20" t="str">
        <f aca="false">HYPERLINK("http://www.openstreetmap.org/?mlat=35.3723&amp;mlon=43.7761&amp;zoom=12#map=12/35.3723/43.7761","Maplink1")</f>
        <v>Maplink1</v>
      </c>
      <c r="AT2153" s="20" t="str">
        <f aca="false">HYPERLINK("https://www.google.iq/maps/search/+35.3723,43.7761/@35.3723,43.7761,14z?hl=en","Maplink2")</f>
        <v>Maplink2</v>
      </c>
      <c r="AU2153" s="20" t="str">
        <f aca="false">HYPERLINK("http://www.bing.com/maps/?lvl=14&amp;sty=h&amp;cp=35.3723~43.7761&amp;sp=point.35.3723_43.7761","Maplink3")</f>
        <v>Maplink3</v>
      </c>
    </row>
    <row r="2154" customFormat="false" ht="15" hidden="false" customHeight="true" outlineLevel="0" collapsed="false">
      <c r="A2154" s="15" t="n">
        <v>24496</v>
      </c>
      <c r="B2154" s="16" t="s">
        <v>23</v>
      </c>
      <c r="C2154" s="16" t="s">
        <v>4174</v>
      </c>
      <c r="D2154" s="16" t="s">
        <v>4221</v>
      </c>
      <c r="E2154" s="17" t="s">
        <v>4222</v>
      </c>
      <c r="F2154" s="16" t="n">
        <v>35.343421</v>
      </c>
      <c r="G2154" s="16" t="n">
        <v>43.967658</v>
      </c>
      <c r="H2154" s="18" t="n">
        <v>50</v>
      </c>
      <c r="I2154" s="18" t="n">
        <v>300</v>
      </c>
      <c r="J2154" s="19"/>
      <c r="K2154" s="19"/>
      <c r="L2154" s="19"/>
      <c r="M2154" s="19"/>
      <c r="N2154" s="19"/>
      <c r="O2154" s="19"/>
      <c r="P2154" s="19"/>
      <c r="Q2154" s="19"/>
      <c r="R2154" s="19" t="n">
        <v>50</v>
      </c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 t="n">
        <v>50</v>
      </c>
      <c r="AD2154" s="19"/>
      <c r="AE2154" s="19"/>
      <c r="AF2154" s="19"/>
      <c r="AG2154" s="19"/>
      <c r="AH2154" s="19"/>
      <c r="AI2154" s="19"/>
      <c r="AJ2154" s="19"/>
      <c r="AK2154" s="19"/>
      <c r="AL2154" s="19"/>
      <c r="AM2154" s="19"/>
      <c r="AN2154" s="19" t="n">
        <v>50</v>
      </c>
      <c r="AO2154" s="19"/>
      <c r="AP2154" s="19"/>
      <c r="AQ2154" s="19"/>
      <c r="AR2154" s="19"/>
      <c r="AS2154" s="20" t="str">
        <f aca="false">HYPERLINK("http://www.openstreetmap.org/?mlat=35.3434&amp;mlon=43.9677&amp;zoom=12#map=12/35.3434/43.9677","Maplink1")</f>
        <v>Maplink1</v>
      </c>
      <c r="AT2154" s="20" t="str">
        <f aca="false">HYPERLINK("https://www.google.iq/maps/search/+35.3434,43.9677/@35.3434,43.9677,14z?hl=en","Maplink2")</f>
        <v>Maplink2</v>
      </c>
      <c r="AU2154" s="20" t="str">
        <f aca="false">HYPERLINK("http://www.bing.com/maps/?lvl=14&amp;sty=h&amp;cp=35.3434~43.9677&amp;sp=point.35.3434_43.9677","Maplink3")</f>
        <v>Maplink3</v>
      </c>
    </row>
    <row r="2155" customFormat="false" ht="15" hidden="false" customHeight="true" outlineLevel="0" collapsed="false">
      <c r="A2155" s="15" t="n">
        <v>15353</v>
      </c>
      <c r="B2155" s="16" t="s">
        <v>23</v>
      </c>
      <c r="C2155" s="16" t="s">
        <v>4174</v>
      </c>
      <c r="D2155" s="16" t="s">
        <v>4223</v>
      </c>
      <c r="E2155" s="17" t="s">
        <v>4224</v>
      </c>
      <c r="F2155" s="16" t="n">
        <v>35.386972</v>
      </c>
      <c r="G2155" s="16" t="n">
        <v>43.692583</v>
      </c>
      <c r="H2155" s="18" t="n">
        <v>15</v>
      </c>
      <c r="I2155" s="18" t="n">
        <v>90</v>
      </c>
      <c r="J2155" s="19" t="n">
        <v>15</v>
      </c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 t="n">
        <v>15</v>
      </c>
      <c r="AD2155" s="19"/>
      <c r="AE2155" s="19"/>
      <c r="AF2155" s="19"/>
      <c r="AG2155" s="19"/>
      <c r="AH2155" s="19"/>
      <c r="AI2155" s="19"/>
      <c r="AJ2155" s="19"/>
      <c r="AK2155" s="19"/>
      <c r="AL2155" s="19" t="n">
        <v>15</v>
      </c>
      <c r="AM2155" s="19"/>
      <c r="AN2155" s="19"/>
      <c r="AO2155" s="19"/>
      <c r="AP2155" s="19"/>
      <c r="AQ2155" s="19"/>
      <c r="AR2155" s="19"/>
      <c r="AS2155" s="20" t="str">
        <f aca="false">HYPERLINK("http://www.openstreetmap.org/?mlat=35.387&amp;mlon=43.6926&amp;zoom=12#map=12/35.387/43.6926","Maplink1")</f>
        <v>Maplink1</v>
      </c>
      <c r="AT2155" s="20" t="str">
        <f aca="false">HYPERLINK("https://www.google.iq/maps/search/+35.387,43.6926/@35.387,43.6926,14z?hl=en","Maplink2")</f>
        <v>Maplink2</v>
      </c>
      <c r="AU2155" s="20" t="str">
        <f aca="false">HYPERLINK("http://www.bing.com/maps/?lvl=14&amp;sty=h&amp;cp=35.387~43.6926&amp;sp=point.35.387_43.6926","Maplink3")</f>
        <v>Maplink3</v>
      </c>
    </row>
    <row r="2156" customFormat="false" ht="15" hidden="false" customHeight="true" outlineLevel="0" collapsed="false">
      <c r="A2156" s="15" t="n">
        <v>24363</v>
      </c>
      <c r="B2156" s="16" t="s">
        <v>23</v>
      </c>
      <c r="C2156" s="16" t="s">
        <v>4174</v>
      </c>
      <c r="D2156" s="16" t="s">
        <v>4225</v>
      </c>
      <c r="E2156" s="17" t="s">
        <v>4226</v>
      </c>
      <c r="F2156" s="16" t="n">
        <v>35.402409</v>
      </c>
      <c r="G2156" s="16" t="n">
        <v>43.884541</v>
      </c>
      <c r="H2156" s="18" t="n">
        <v>175</v>
      </c>
      <c r="I2156" s="18" t="n">
        <v>1050</v>
      </c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 t="n">
        <v>175</v>
      </c>
      <c r="Y2156" s="19"/>
      <c r="Z2156" s="19"/>
      <c r="AA2156" s="19"/>
      <c r="AB2156" s="19"/>
      <c r="AC2156" s="19" t="n">
        <v>150</v>
      </c>
      <c r="AD2156" s="19"/>
      <c r="AE2156" s="19"/>
      <c r="AF2156" s="19"/>
      <c r="AG2156" s="19"/>
      <c r="AH2156" s="19"/>
      <c r="AI2156" s="19"/>
      <c r="AJ2156" s="19" t="n">
        <v>25</v>
      </c>
      <c r="AK2156" s="19"/>
      <c r="AL2156" s="19"/>
      <c r="AM2156" s="19" t="n">
        <v>175</v>
      </c>
      <c r="AN2156" s="19"/>
      <c r="AO2156" s="19"/>
      <c r="AP2156" s="19"/>
      <c r="AQ2156" s="19"/>
      <c r="AR2156" s="19"/>
      <c r="AS2156" s="20" t="str">
        <f aca="false">HYPERLINK("http://www.openstreetmap.org/?mlat=35.4024&amp;mlon=43.8845&amp;zoom=12#map=12/35.4024/43.8845","Maplink1")</f>
        <v>Maplink1</v>
      </c>
      <c r="AT2156" s="20" t="str">
        <f aca="false">HYPERLINK("https://www.google.iq/maps/search/+35.4024,43.8845/@35.4024,43.8845,14z?hl=en","Maplink2")</f>
        <v>Maplink2</v>
      </c>
      <c r="AU2156" s="20" t="str">
        <f aca="false">HYPERLINK("http://www.bing.com/maps/?lvl=14&amp;sty=h&amp;cp=35.4024~43.8845&amp;sp=point.35.4024_43.8845","Maplink3")</f>
        <v>Maplink3</v>
      </c>
    </row>
    <row r="2157" customFormat="false" ht="15" hidden="false" customHeight="true" outlineLevel="0" collapsed="false">
      <c r="A2157" s="15" t="n">
        <v>24085</v>
      </c>
      <c r="B2157" s="16" t="s">
        <v>23</v>
      </c>
      <c r="C2157" s="16" t="s">
        <v>4174</v>
      </c>
      <c r="D2157" s="16" t="s">
        <v>4227</v>
      </c>
      <c r="E2157" s="17" t="s">
        <v>4228</v>
      </c>
      <c r="F2157" s="16" t="n">
        <v>35.325724</v>
      </c>
      <c r="G2157" s="16" t="n">
        <v>43.782384</v>
      </c>
      <c r="H2157" s="18" t="n">
        <v>286</v>
      </c>
      <c r="I2157" s="18" t="n">
        <v>1716</v>
      </c>
      <c r="J2157" s="19" t="n">
        <v>36</v>
      </c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 t="n">
        <v>250</v>
      </c>
      <c r="Y2157" s="19"/>
      <c r="Z2157" s="19"/>
      <c r="AA2157" s="19"/>
      <c r="AB2157" s="19"/>
      <c r="AC2157" s="19" t="n">
        <v>46</v>
      </c>
      <c r="AD2157" s="19"/>
      <c r="AE2157" s="19"/>
      <c r="AF2157" s="19"/>
      <c r="AG2157" s="19"/>
      <c r="AH2157" s="19" t="n">
        <v>16</v>
      </c>
      <c r="AI2157" s="19" t="n">
        <v>4</v>
      </c>
      <c r="AJ2157" s="19"/>
      <c r="AK2157" s="19" t="n">
        <v>220</v>
      </c>
      <c r="AL2157" s="19" t="n">
        <v>36</v>
      </c>
      <c r="AM2157" s="19"/>
      <c r="AN2157" s="19" t="n">
        <v>250</v>
      </c>
      <c r="AO2157" s="19"/>
      <c r="AP2157" s="19"/>
      <c r="AQ2157" s="19"/>
      <c r="AR2157" s="19"/>
      <c r="AS2157" s="20" t="str">
        <f aca="false">HYPERLINK("http://www.openstreetmap.org/?mlat=35.3257&amp;mlon=43.7824&amp;zoom=12#map=12/35.3257/43.7824","Maplink1")</f>
        <v>Maplink1</v>
      </c>
      <c r="AT2157" s="20" t="str">
        <f aca="false">HYPERLINK("https://www.google.iq/maps/search/+35.3257,43.7824/@35.3257,43.7824,14z?hl=en","Maplink2")</f>
        <v>Maplink2</v>
      </c>
      <c r="AU2157" s="20" t="str">
        <f aca="false">HYPERLINK("http://www.bing.com/maps/?lvl=14&amp;sty=h&amp;cp=35.3257~43.7824&amp;sp=point.35.3257_43.7824","Maplink3")</f>
        <v>Maplink3</v>
      </c>
    </row>
    <row r="2158" customFormat="false" ht="15" hidden="false" customHeight="true" outlineLevel="0" collapsed="false">
      <c r="A2158" s="15" t="n">
        <v>14661</v>
      </c>
      <c r="B2158" s="16" t="s">
        <v>23</v>
      </c>
      <c r="C2158" s="16" t="s">
        <v>4174</v>
      </c>
      <c r="D2158" s="16" t="s">
        <v>4229</v>
      </c>
      <c r="E2158" s="17" t="s">
        <v>4230</v>
      </c>
      <c r="F2158" s="16" t="n">
        <v>35.4</v>
      </c>
      <c r="G2158" s="16" t="n">
        <v>43.67</v>
      </c>
      <c r="H2158" s="18" t="n">
        <v>90</v>
      </c>
      <c r="I2158" s="18" t="n">
        <v>540</v>
      </c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 t="n">
        <v>90</v>
      </c>
      <c r="Y2158" s="19"/>
      <c r="Z2158" s="19"/>
      <c r="AA2158" s="19"/>
      <c r="AB2158" s="19"/>
      <c r="AC2158" s="19" t="n">
        <v>90</v>
      </c>
      <c r="AD2158" s="19"/>
      <c r="AE2158" s="19"/>
      <c r="AF2158" s="19"/>
      <c r="AG2158" s="19"/>
      <c r="AH2158" s="19"/>
      <c r="AI2158" s="19"/>
      <c r="AJ2158" s="19"/>
      <c r="AK2158" s="19"/>
      <c r="AL2158" s="19"/>
      <c r="AM2158" s="19" t="n">
        <v>90</v>
      </c>
      <c r="AN2158" s="19"/>
      <c r="AO2158" s="19"/>
      <c r="AP2158" s="19"/>
      <c r="AQ2158" s="19"/>
      <c r="AR2158" s="19"/>
      <c r="AS2158" s="20" t="str">
        <f aca="false">HYPERLINK("http://www.openstreetmap.org/?mlat=35.4&amp;mlon=43.67&amp;zoom=12#map=12/35.4/43.67","Maplink1")</f>
        <v>Maplink1</v>
      </c>
      <c r="AT2158" s="20" t="str">
        <f aca="false">HYPERLINK("https://www.google.iq/maps/search/+35.4,43.67/@35.4,43.67,14z?hl=en","Maplink2")</f>
        <v>Maplink2</v>
      </c>
      <c r="AU2158" s="20" t="str">
        <f aca="false">HYPERLINK("http://www.bing.com/maps/?lvl=14&amp;sty=h&amp;cp=35.4~43.67&amp;sp=point.35.4_43.67","Maplink3")</f>
        <v>Maplink3</v>
      </c>
    </row>
    <row r="2159" customFormat="false" ht="15" hidden="false" customHeight="true" outlineLevel="0" collapsed="false">
      <c r="A2159" s="15" t="n">
        <v>24495</v>
      </c>
      <c r="B2159" s="16" t="s">
        <v>23</v>
      </c>
      <c r="C2159" s="16" t="s">
        <v>4174</v>
      </c>
      <c r="D2159" s="16" t="s">
        <v>4231</v>
      </c>
      <c r="E2159" s="17" t="s">
        <v>4232</v>
      </c>
      <c r="F2159" s="16" t="n">
        <v>35.369028</v>
      </c>
      <c r="G2159" s="16" t="n">
        <v>43.736729</v>
      </c>
      <c r="H2159" s="18" t="n">
        <v>50</v>
      </c>
      <c r="I2159" s="18" t="n">
        <v>300</v>
      </c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 t="n">
        <v>50</v>
      </c>
      <c r="Y2159" s="19"/>
      <c r="Z2159" s="19"/>
      <c r="AA2159" s="19"/>
      <c r="AB2159" s="19"/>
      <c r="AC2159" s="19"/>
      <c r="AD2159" s="19"/>
      <c r="AE2159" s="19"/>
      <c r="AF2159" s="19"/>
      <c r="AG2159" s="19"/>
      <c r="AH2159" s="19"/>
      <c r="AI2159" s="19"/>
      <c r="AJ2159" s="19"/>
      <c r="AK2159" s="19" t="n">
        <v>50</v>
      </c>
      <c r="AL2159" s="19"/>
      <c r="AM2159" s="19"/>
      <c r="AN2159" s="19" t="n">
        <v>50</v>
      </c>
      <c r="AO2159" s="19"/>
      <c r="AP2159" s="19"/>
      <c r="AQ2159" s="19"/>
      <c r="AR2159" s="19"/>
      <c r="AS2159" s="20" t="str">
        <f aca="false">HYPERLINK("http://www.openstreetmap.org/?mlat=35.369&amp;mlon=43.7367&amp;zoom=12#map=12/35.369/43.7367","Maplink1")</f>
        <v>Maplink1</v>
      </c>
      <c r="AT2159" s="20" t="str">
        <f aca="false">HYPERLINK("https://www.google.iq/maps/search/+35.369,43.7367/@35.369,43.7367,14z?hl=en","Maplink2")</f>
        <v>Maplink2</v>
      </c>
      <c r="AU2159" s="20" t="str">
        <f aca="false">HYPERLINK("http://www.bing.com/maps/?lvl=14&amp;sty=h&amp;cp=35.369~43.7367&amp;sp=point.35.369_43.7367","Maplink3")</f>
        <v>Maplink3</v>
      </c>
    </row>
    <row r="2160" customFormat="false" ht="15" hidden="false" customHeight="true" outlineLevel="0" collapsed="false">
      <c r="A2160" s="15" t="n">
        <v>14664</v>
      </c>
      <c r="B2160" s="16" t="s">
        <v>23</v>
      </c>
      <c r="C2160" s="16" t="s">
        <v>4174</v>
      </c>
      <c r="D2160" s="16" t="s">
        <v>4233</v>
      </c>
      <c r="E2160" s="17" t="s">
        <v>4234</v>
      </c>
      <c r="F2160" s="16" t="n">
        <v>35.27</v>
      </c>
      <c r="G2160" s="16" t="n">
        <v>43.48</v>
      </c>
      <c r="H2160" s="18" t="n">
        <v>120</v>
      </c>
      <c r="I2160" s="18" t="n">
        <v>720</v>
      </c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 t="n">
        <v>120</v>
      </c>
      <c r="Y2160" s="19"/>
      <c r="Z2160" s="19"/>
      <c r="AA2160" s="19"/>
      <c r="AB2160" s="19"/>
      <c r="AC2160" s="19" t="n">
        <v>120</v>
      </c>
      <c r="AD2160" s="19"/>
      <c r="AE2160" s="19"/>
      <c r="AF2160" s="19"/>
      <c r="AG2160" s="19"/>
      <c r="AH2160" s="19"/>
      <c r="AI2160" s="19"/>
      <c r="AJ2160" s="19"/>
      <c r="AK2160" s="19"/>
      <c r="AL2160" s="19"/>
      <c r="AM2160" s="19" t="n">
        <v>120</v>
      </c>
      <c r="AN2160" s="19"/>
      <c r="AO2160" s="19"/>
      <c r="AP2160" s="19"/>
      <c r="AQ2160" s="19"/>
      <c r="AR2160" s="19"/>
      <c r="AS2160" s="20" t="str">
        <f aca="false">HYPERLINK("http://www.openstreetmap.org/?mlat=35.27&amp;mlon=43.48&amp;zoom=12#map=12/35.27/43.48","Maplink1")</f>
        <v>Maplink1</v>
      </c>
      <c r="AT2160" s="20" t="str">
        <f aca="false">HYPERLINK("https://www.google.iq/maps/search/+35.27,43.48/@35.27,43.48,14z?hl=en","Maplink2")</f>
        <v>Maplink2</v>
      </c>
      <c r="AU2160" s="20" t="str">
        <f aca="false">HYPERLINK("http://www.bing.com/maps/?lvl=14&amp;sty=h&amp;cp=35.27~43.48&amp;sp=point.35.27_43.48","Maplink3")</f>
        <v>Maplink3</v>
      </c>
    </row>
    <row r="2161" customFormat="false" ht="15" hidden="false" customHeight="true" outlineLevel="0" collapsed="false">
      <c r="A2161" s="15" t="n">
        <v>24362</v>
      </c>
      <c r="B2161" s="16" t="s">
        <v>23</v>
      </c>
      <c r="C2161" s="16" t="s">
        <v>4174</v>
      </c>
      <c r="D2161" s="16" t="s">
        <v>4235</v>
      </c>
      <c r="E2161" s="17" t="s">
        <v>4236</v>
      </c>
      <c r="F2161" s="16" t="n">
        <v>35.421142</v>
      </c>
      <c r="G2161" s="16" t="n">
        <v>43.796734</v>
      </c>
      <c r="H2161" s="18" t="n">
        <v>200</v>
      </c>
      <c r="I2161" s="18" t="n">
        <v>1200</v>
      </c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 t="n">
        <v>200</v>
      </c>
      <c r="Y2161" s="19"/>
      <c r="Z2161" s="19"/>
      <c r="AA2161" s="19"/>
      <c r="AB2161" s="19"/>
      <c r="AC2161" s="19" t="n">
        <v>200</v>
      </c>
      <c r="AD2161" s="19"/>
      <c r="AE2161" s="19"/>
      <c r="AF2161" s="19"/>
      <c r="AG2161" s="19"/>
      <c r="AH2161" s="19"/>
      <c r="AI2161" s="19"/>
      <c r="AJ2161" s="19"/>
      <c r="AK2161" s="19"/>
      <c r="AL2161" s="19"/>
      <c r="AM2161" s="19" t="n">
        <v>200</v>
      </c>
      <c r="AN2161" s="19"/>
      <c r="AO2161" s="19"/>
      <c r="AP2161" s="19"/>
      <c r="AQ2161" s="19"/>
      <c r="AR2161" s="19"/>
      <c r="AS2161" s="20" t="str">
        <f aca="false">HYPERLINK("http://www.openstreetmap.org/?mlat=35.4211&amp;mlon=43.7967&amp;zoom=12#map=12/35.4211/43.7967","Maplink1")</f>
        <v>Maplink1</v>
      </c>
      <c r="AT2161" s="20" t="str">
        <f aca="false">HYPERLINK("https://www.google.iq/maps/search/+35.4211,43.7967/@35.4211,43.7967,14z?hl=en","Maplink2")</f>
        <v>Maplink2</v>
      </c>
      <c r="AU2161" s="20" t="str">
        <f aca="false">HYPERLINK("http://www.bing.com/maps/?lvl=14&amp;sty=h&amp;cp=35.4211~43.7967&amp;sp=point.35.4211_43.7967","Maplink3")</f>
        <v>Maplink3</v>
      </c>
    </row>
    <row r="2162" customFormat="false" ht="15" hidden="false" customHeight="true" outlineLevel="0" collapsed="false">
      <c r="A2162" s="15" t="n">
        <v>14889</v>
      </c>
      <c r="B2162" s="16" t="s">
        <v>23</v>
      </c>
      <c r="C2162" s="16" t="s">
        <v>4174</v>
      </c>
      <c r="D2162" s="16" t="s">
        <v>4237</v>
      </c>
      <c r="E2162" s="17" t="s">
        <v>4238</v>
      </c>
      <c r="F2162" s="16" t="n">
        <v>35.35</v>
      </c>
      <c r="G2162" s="16" t="n">
        <v>43.64</v>
      </c>
      <c r="H2162" s="18" t="n">
        <v>30</v>
      </c>
      <c r="I2162" s="18" t="n">
        <v>180</v>
      </c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 t="n">
        <v>30</v>
      </c>
      <c r="Y2162" s="19"/>
      <c r="Z2162" s="19"/>
      <c r="AA2162" s="19"/>
      <c r="AB2162" s="19"/>
      <c r="AC2162" s="19" t="n">
        <v>20</v>
      </c>
      <c r="AD2162" s="19"/>
      <c r="AE2162" s="19"/>
      <c r="AF2162" s="19"/>
      <c r="AG2162" s="19"/>
      <c r="AH2162" s="19"/>
      <c r="AI2162" s="19" t="n">
        <v>10</v>
      </c>
      <c r="AJ2162" s="19"/>
      <c r="AK2162" s="19"/>
      <c r="AL2162" s="19"/>
      <c r="AM2162" s="19" t="n">
        <v>30</v>
      </c>
      <c r="AN2162" s="19"/>
      <c r="AO2162" s="19"/>
      <c r="AP2162" s="19"/>
      <c r="AQ2162" s="19"/>
      <c r="AR2162" s="19"/>
      <c r="AS2162" s="20" t="str">
        <f aca="false">HYPERLINK("http://www.openstreetmap.org/?mlat=35.35&amp;mlon=43.64&amp;zoom=12#map=12/35.35/43.64","Maplink1")</f>
        <v>Maplink1</v>
      </c>
      <c r="AT2162" s="20" t="str">
        <f aca="false">HYPERLINK("https://www.google.iq/maps/search/+35.35,43.64/@35.35,43.64,14z?hl=en","Maplink2")</f>
        <v>Maplink2</v>
      </c>
      <c r="AU2162" s="20" t="str">
        <f aca="false">HYPERLINK("http://www.bing.com/maps/?lvl=14&amp;sty=h&amp;cp=35.35~43.64&amp;sp=point.35.35_43.64","Maplink3")</f>
        <v>Maplink3</v>
      </c>
    </row>
    <row r="2163" customFormat="false" ht="15" hidden="false" customHeight="true" outlineLevel="0" collapsed="false">
      <c r="A2163" s="15" t="n">
        <v>15313</v>
      </c>
      <c r="B2163" s="16" t="s">
        <v>23</v>
      </c>
      <c r="C2163" s="16" t="s">
        <v>4174</v>
      </c>
      <c r="D2163" s="16" t="s">
        <v>4239</v>
      </c>
      <c r="E2163" s="17" t="s">
        <v>4240</v>
      </c>
      <c r="F2163" s="16" t="n">
        <v>35.43568</v>
      </c>
      <c r="G2163" s="16" t="n">
        <v>43.79698</v>
      </c>
      <c r="H2163" s="18" t="n">
        <v>80</v>
      </c>
      <c r="I2163" s="18" t="n">
        <v>480</v>
      </c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 t="n">
        <v>80</v>
      </c>
      <c r="Y2163" s="19"/>
      <c r="Z2163" s="19"/>
      <c r="AA2163" s="19"/>
      <c r="AB2163" s="19"/>
      <c r="AC2163" s="19"/>
      <c r="AD2163" s="19"/>
      <c r="AE2163" s="19"/>
      <c r="AF2163" s="19"/>
      <c r="AG2163" s="19"/>
      <c r="AH2163" s="19"/>
      <c r="AI2163" s="19"/>
      <c r="AJ2163" s="19"/>
      <c r="AK2163" s="19" t="n">
        <v>80</v>
      </c>
      <c r="AL2163" s="19"/>
      <c r="AM2163" s="19"/>
      <c r="AN2163" s="19" t="n">
        <v>80</v>
      </c>
      <c r="AO2163" s="19"/>
      <c r="AP2163" s="19"/>
      <c r="AQ2163" s="19"/>
      <c r="AR2163" s="19"/>
      <c r="AS2163" s="20" t="str">
        <f aca="false">HYPERLINK("http://www.openstreetmap.org/?mlat=35.4357&amp;mlon=43.797&amp;zoom=12#map=12/35.4357/43.797","Maplink1")</f>
        <v>Maplink1</v>
      </c>
      <c r="AT2163" s="20" t="str">
        <f aca="false">HYPERLINK("https://www.google.iq/maps/search/+35.4357,43.797/@35.4357,43.797,14z?hl=en","Maplink2")</f>
        <v>Maplink2</v>
      </c>
      <c r="AU2163" s="20" t="str">
        <f aca="false">HYPERLINK("http://www.bing.com/maps/?lvl=14&amp;sty=h&amp;cp=35.4357~43.797&amp;sp=point.35.4357_43.797","Maplink3")</f>
        <v>Maplink3</v>
      </c>
    </row>
    <row r="2164" customFormat="false" ht="15" hidden="false" customHeight="true" outlineLevel="0" collapsed="false">
      <c r="A2164" s="15" t="n">
        <v>15178</v>
      </c>
      <c r="B2164" s="16" t="s">
        <v>23</v>
      </c>
      <c r="C2164" s="16" t="s">
        <v>4174</v>
      </c>
      <c r="D2164" s="16" t="s">
        <v>4241</v>
      </c>
      <c r="E2164" s="17" t="s">
        <v>4242</v>
      </c>
      <c r="F2164" s="16" t="n">
        <v>35.246528</v>
      </c>
      <c r="G2164" s="16" t="n">
        <v>43.572417</v>
      </c>
      <c r="H2164" s="18" t="n">
        <v>20</v>
      </c>
      <c r="I2164" s="18" t="n">
        <v>120</v>
      </c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 t="n">
        <v>20</v>
      </c>
      <c r="Y2164" s="19"/>
      <c r="Z2164" s="19"/>
      <c r="AA2164" s="19"/>
      <c r="AB2164" s="19"/>
      <c r="AC2164" s="19" t="n">
        <v>20</v>
      </c>
      <c r="AD2164" s="19"/>
      <c r="AE2164" s="19"/>
      <c r="AF2164" s="19"/>
      <c r="AG2164" s="19"/>
      <c r="AH2164" s="19"/>
      <c r="AI2164" s="19"/>
      <c r="AJ2164" s="19"/>
      <c r="AK2164" s="19"/>
      <c r="AL2164" s="19"/>
      <c r="AM2164" s="19" t="n">
        <v>20</v>
      </c>
      <c r="AN2164" s="19"/>
      <c r="AO2164" s="19"/>
      <c r="AP2164" s="19"/>
      <c r="AQ2164" s="19"/>
      <c r="AR2164" s="19"/>
      <c r="AS2164" s="20" t="str">
        <f aca="false">HYPERLINK("http://www.openstreetmap.org/?mlat=35.2465&amp;mlon=43.5724&amp;zoom=12#map=12/35.2465/43.5724","Maplink1")</f>
        <v>Maplink1</v>
      </c>
      <c r="AT2164" s="20" t="str">
        <f aca="false">HYPERLINK("https://www.google.iq/maps/search/+35.2465,43.5724/@35.2465,43.5724,14z?hl=en","Maplink2")</f>
        <v>Maplink2</v>
      </c>
      <c r="AU2164" s="20" t="str">
        <f aca="false">HYPERLINK("http://www.bing.com/maps/?lvl=14&amp;sty=h&amp;cp=35.2465~43.5724&amp;sp=point.35.2465_43.5724","Maplink3")</f>
        <v>Maplink3</v>
      </c>
    </row>
    <row r="2165" customFormat="false" ht="15" hidden="false" customHeight="true" outlineLevel="0" collapsed="false">
      <c r="A2165" s="15" t="n">
        <v>14718</v>
      </c>
      <c r="B2165" s="16" t="s">
        <v>23</v>
      </c>
      <c r="C2165" s="16" t="s">
        <v>4174</v>
      </c>
      <c r="D2165" s="16" t="s">
        <v>4243</v>
      </c>
      <c r="E2165" s="17" t="s">
        <v>4244</v>
      </c>
      <c r="F2165" s="16" t="n">
        <v>35.33</v>
      </c>
      <c r="G2165" s="16" t="n">
        <v>43.57</v>
      </c>
      <c r="H2165" s="18" t="n">
        <v>120</v>
      </c>
      <c r="I2165" s="18" t="n">
        <v>720</v>
      </c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 t="n">
        <v>120</v>
      </c>
      <c r="Y2165" s="19"/>
      <c r="Z2165" s="19"/>
      <c r="AA2165" s="19"/>
      <c r="AB2165" s="19"/>
      <c r="AC2165" s="19" t="n">
        <v>120</v>
      </c>
      <c r="AD2165" s="19"/>
      <c r="AE2165" s="19"/>
      <c r="AF2165" s="19"/>
      <c r="AG2165" s="19"/>
      <c r="AH2165" s="19"/>
      <c r="AI2165" s="19"/>
      <c r="AJ2165" s="19"/>
      <c r="AK2165" s="19"/>
      <c r="AL2165" s="19"/>
      <c r="AM2165" s="19" t="n">
        <v>120</v>
      </c>
      <c r="AN2165" s="19"/>
      <c r="AO2165" s="19"/>
      <c r="AP2165" s="19"/>
      <c r="AQ2165" s="19"/>
      <c r="AR2165" s="19"/>
      <c r="AS2165" s="20" t="str">
        <f aca="false">HYPERLINK("http://www.openstreetmap.org/?mlat=35.33&amp;mlon=43.57&amp;zoom=12#map=12/35.33/43.57","Maplink1")</f>
        <v>Maplink1</v>
      </c>
      <c r="AT2165" s="20" t="str">
        <f aca="false">HYPERLINK("https://www.google.iq/maps/search/+35.33,43.57/@35.33,43.57,14z?hl=en","Maplink2")</f>
        <v>Maplink2</v>
      </c>
      <c r="AU2165" s="20" t="str">
        <f aca="false">HYPERLINK("http://www.bing.com/maps/?lvl=14&amp;sty=h&amp;cp=35.33~43.57&amp;sp=point.35.33_43.57","Maplink3")</f>
        <v>Maplink3</v>
      </c>
    </row>
    <row r="2166" customFormat="false" ht="15" hidden="false" customHeight="true" outlineLevel="0" collapsed="false">
      <c r="A2166" s="15" t="n">
        <v>14375</v>
      </c>
      <c r="B2166" s="16" t="s">
        <v>23</v>
      </c>
      <c r="C2166" s="16" t="s">
        <v>4245</v>
      </c>
      <c r="D2166" s="16" t="s">
        <v>4246</v>
      </c>
      <c r="E2166" s="17" t="s">
        <v>4247</v>
      </c>
      <c r="F2166" s="16" t="n">
        <v>35.75</v>
      </c>
      <c r="G2166" s="16" t="n">
        <v>44.138</v>
      </c>
      <c r="H2166" s="18" t="n">
        <v>530</v>
      </c>
      <c r="I2166" s="18" t="n">
        <v>3180</v>
      </c>
      <c r="J2166" s="19" t="n">
        <v>35</v>
      </c>
      <c r="K2166" s="19"/>
      <c r="L2166" s="19"/>
      <c r="M2166" s="19"/>
      <c r="N2166" s="19"/>
      <c r="O2166" s="19" t="n">
        <v>5</v>
      </c>
      <c r="P2166" s="19"/>
      <c r="Q2166" s="19"/>
      <c r="R2166" s="19"/>
      <c r="S2166" s="19"/>
      <c r="T2166" s="19"/>
      <c r="U2166" s="19"/>
      <c r="V2166" s="19" t="n">
        <v>490</v>
      </c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19"/>
      <c r="AH2166" s="19" t="n">
        <v>530</v>
      </c>
      <c r="AI2166" s="19"/>
      <c r="AJ2166" s="19"/>
      <c r="AK2166" s="19"/>
      <c r="AL2166" s="19" t="n">
        <v>25</v>
      </c>
      <c r="AM2166" s="19" t="n">
        <v>255</v>
      </c>
      <c r="AN2166" s="19" t="n">
        <v>60</v>
      </c>
      <c r="AO2166" s="19" t="n">
        <v>180</v>
      </c>
      <c r="AP2166" s="19"/>
      <c r="AQ2166" s="19" t="n">
        <v>10</v>
      </c>
      <c r="AR2166" s="19"/>
      <c r="AS2166" s="20" t="str">
        <f aca="false">HYPERLINK("http://www.openstreetmap.org/?mlat=35.75&amp;mlon=44.138&amp;zoom=12#map=12/35.75/44.138","Maplink1")</f>
        <v>Maplink1</v>
      </c>
      <c r="AT2166" s="20" t="str">
        <f aca="false">HYPERLINK("https://www.google.iq/maps/search/+35.75,44.138/@35.75,44.138,14z?hl=en","Maplink2")</f>
        <v>Maplink2</v>
      </c>
      <c r="AU2166" s="20" t="str">
        <f aca="false">HYPERLINK("http://www.bing.com/maps/?lvl=14&amp;sty=h&amp;cp=35.75~44.138&amp;sp=point.35.75_44.138","Maplink3")</f>
        <v>Maplink3</v>
      </c>
    </row>
    <row r="2167" customFormat="false" ht="15" hidden="false" customHeight="true" outlineLevel="0" collapsed="false">
      <c r="A2167" s="15" t="n">
        <v>14424</v>
      </c>
      <c r="B2167" s="16" t="s">
        <v>23</v>
      </c>
      <c r="C2167" s="16" t="s">
        <v>4245</v>
      </c>
      <c r="D2167" s="16" t="s">
        <v>4248</v>
      </c>
      <c r="E2167" s="17" t="s">
        <v>4249</v>
      </c>
      <c r="F2167" s="16" t="n">
        <v>35.63</v>
      </c>
      <c r="G2167" s="16" t="n">
        <v>44.01</v>
      </c>
      <c r="H2167" s="18" t="n">
        <v>90</v>
      </c>
      <c r="I2167" s="18" t="n">
        <v>540</v>
      </c>
      <c r="J2167" s="19"/>
      <c r="K2167" s="19"/>
      <c r="L2167" s="19"/>
      <c r="M2167" s="19"/>
      <c r="N2167" s="19"/>
      <c r="O2167" s="19"/>
      <c r="P2167" s="19"/>
      <c r="Q2167" s="19"/>
      <c r="R2167" s="19" t="n">
        <v>90</v>
      </c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 t="n">
        <v>70</v>
      </c>
      <c r="AD2167" s="19"/>
      <c r="AE2167" s="19"/>
      <c r="AF2167" s="19"/>
      <c r="AG2167" s="19"/>
      <c r="AH2167" s="19"/>
      <c r="AI2167" s="19"/>
      <c r="AJ2167" s="19" t="n">
        <v>20</v>
      </c>
      <c r="AK2167" s="19"/>
      <c r="AL2167" s="19"/>
      <c r="AM2167" s="19"/>
      <c r="AN2167" s="19"/>
      <c r="AO2167" s="19" t="n">
        <v>90</v>
      </c>
      <c r="AP2167" s="19"/>
      <c r="AQ2167" s="19"/>
      <c r="AR2167" s="19"/>
      <c r="AS2167" s="20" t="str">
        <f aca="false">HYPERLINK("http://www.openstreetmap.org/?mlat=35.63&amp;mlon=44.01&amp;zoom=12#map=12/35.63/44.01","Maplink1")</f>
        <v>Maplink1</v>
      </c>
      <c r="AT2167" s="20" t="str">
        <f aca="false">HYPERLINK("https://www.google.iq/maps/search/+35.63,44.01/@35.63,44.01,14z?hl=en","Maplink2")</f>
        <v>Maplink2</v>
      </c>
      <c r="AU2167" s="20" t="str">
        <f aca="false">HYPERLINK("http://www.bing.com/maps/?lvl=14&amp;sty=h&amp;cp=35.63~44.01&amp;sp=point.35.63_44.01","Maplink3")</f>
        <v>Maplink3</v>
      </c>
    </row>
    <row r="2168" customFormat="false" ht="15" hidden="false" customHeight="true" outlineLevel="0" collapsed="false">
      <c r="A2168" s="15" t="n">
        <v>24632</v>
      </c>
      <c r="B2168" s="16" t="s">
        <v>23</v>
      </c>
      <c r="C2168" s="16" t="s">
        <v>4245</v>
      </c>
      <c r="D2168" s="16" t="s">
        <v>4250</v>
      </c>
      <c r="E2168" s="17" t="s">
        <v>4251</v>
      </c>
      <c r="F2168" s="16" t="n">
        <v>35.670006</v>
      </c>
      <c r="G2168" s="16" t="n">
        <v>44.074898</v>
      </c>
      <c r="H2168" s="18" t="n">
        <v>70</v>
      </c>
      <c r="I2168" s="18" t="n">
        <v>420</v>
      </c>
      <c r="J2168" s="19"/>
      <c r="K2168" s="19"/>
      <c r="L2168" s="19"/>
      <c r="M2168" s="19"/>
      <c r="N2168" s="19"/>
      <c r="O2168" s="19"/>
      <c r="P2168" s="19"/>
      <c r="Q2168" s="19"/>
      <c r="R2168" s="19" t="n">
        <v>70</v>
      </c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19"/>
      <c r="AH2168" s="19" t="n">
        <v>70</v>
      </c>
      <c r="AI2168" s="19"/>
      <c r="AJ2168" s="19"/>
      <c r="AK2168" s="19"/>
      <c r="AL2168" s="19"/>
      <c r="AM2168" s="19"/>
      <c r="AN2168" s="19"/>
      <c r="AO2168" s="19" t="n">
        <v>60</v>
      </c>
      <c r="AP2168" s="19" t="n">
        <v>10</v>
      </c>
      <c r="AQ2168" s="19"/>
      <c r="AR2168" s="19"/>
      <c r="AS2168" s="20" t="str">
        <f aca="false">HYPERLINK("http://www.openstreetmap.org/?mlat=35.67&amp;mlon=44.0749&amp;zoom=12#map=12/35.67/44.0749","Maplink1")</f>
        <v>Maplink1</v>
      </c>
      <c r="AT2168" s="20" t="str">
        <f aca="false">HYPERLINK("https://www.google.iq/maps/search/+35.67,44.0749/@35.67,44.0749,14z?hl=en","Maplink2")</f>
        <v>Maplink2</v>
      </c>
      <c r="AU2168" s="20" t="str">
        <f aca="false">HYPERLINK("http://www.bing.com/maps/?lvl=14&amp;sty=h&amp;cp=35.67~44.0749&amp;sp=point.35.67_44.0749","Maplink3")</f>
        <v>Maplink3</v>
      </c>
    </row>
    <row r="2169" customFormat="false" ht="15" hidden="false" customHeight="true" outlineLevel="0" collapsed="false">
      <c r="A2169" s="15" t="n">
        <v>24631</v>
      </c>
      <c r="B2169" s="16" t="s">
        <v>23</v>
      </c>
      <c r="C2169" s="16" t="s">
        <v>4245</v>
      </c>
      <c r="D2169" s="16" t="s">
        <v>4252</v>
      </c>
      <c r="E2169" s="17" t="s">
        <v>4253</v>
      </c>
      <c r="F2169" s="16" t="n">
        <v>35.664664</v>
      </c>
      <c r="G2169" s="16" t="n">
        <v>44.08759</v>
      </c>
      <c r="H2169" s="18" t="n">
        <v>50</v>
      </c>
      <c r="I2169" s="18" t="n">
        <v>300</v>
      </c>
      <c r="J2169" s="19"/>
      <c r="K2169" s="19"/>
      <c r="L2169" s="19"/>
      <c r="M2169" s="19"/>
      <c r="N2169" s="19"/>
      <c r="O2169" s="19"/>
      <c r="P2169" s="19"/>
      <c r="Q2169" s="19"/>
      <c r="R2169" s="19" t="n">
        <v>50</v>
      </c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19"/>
      <c r="AH2169" s="19" t="n">
        <v>50</v>
      </c>
      <c r="AI2169" s="19"/>
      <c r="AJ2169" s="19"/>
      <c r="AK2169" s="19"/>
      <c r="AL2169" s="19"/>
      <c r="AM2169" s="19"/>
      <c r="AN2169" s="19"/>
      <c r="AO2169" s="19" t="n">
        <v>35</v>
      </c>
      <c r="AP2169" s="19" t="n">
        <v>5</v>
      </c>
      <c r="AQ2169" s="19"/>
      <c r="AR2169" s="19" t="n">
        <v>10</v>
      </c>
      <c r="AS2169" s="20" t="str">
        <f aca="false">HYPERLINK("http://www.openstreetmap.org/?mlat=35.6647&amp;mlon=44.0876&amp;zoom=12#map=12/35.6647/44.0876","Maplink1")</f>
        <v>Maplink1</v>
      </c>
      <c r="AT2169" s="20" t="str">
        <f aca="false">HYPERLINK("https://www.google.iq/maps/search/+35.6647,44.0876/@35.6647,44.0876,14z?hl=en","Maplink2")</f>
        <v>Maplink2</v>
      </c>
      <c r="AU2169" s="20" t="str">
        <f aca="false">HYPERLINK("http://www.bing.com/maps/?lvl=14&amp;sty=h&amp;cp=35.6647~44.0876&amp;sp=point.35.6647_44.0876","Maplink3")</f>
        <v>Maplink3</v>
      </c>
    </row>
    <row r="2170" customFormat="false" ht="15" hidden="false" customHeight="true" outlineLevel="0" collapsed="false">
      <c r="A2170" s="15" t="n">
        <v>15674</v>
      </c>
      <c r="B2170" s="16" t="s">
        <v>23</v>
      </c>
      <c r="C2170" s="16" t="s">
        <v>4245</v>
      </c>
      <c r="D2170" s="16" t="s">
        <v>582</v>
      </c>
      <c r="E2170" s="17" t="s">
        <v>85</v>
      </c>
      <c r="F2170" s="16" t="n">
        <v>35.670492</v>
      </c>
      <c r="G2170" s="16" t="n">
        <v>44.067294</v>
      </c>
      <c r="H2170" s="18" t="n">
        <v>60</v>
      </c>
      <c r="I2170" s="18" t="n">
        <v>360</v>
      </c>
      <c r="J2170" s="19"/>
      <c r="K2170" s="19"/>
      <c r="L2170" s="19"/>
      <c r="M2170" s="19"/>
      <c r="N2170" s="19"/>
      <c r="O2170" s="19"/>
      <c r="P2170" s="19"/>
      <c r="Q2170" s="19"/>
      <c r="R2170" s="19" t="n">
        <v>45</v>
      </c>
      <c r="S2170" s="19"/>
      <c r="T2170" s="19"/>
      <c r="U2170" s="19"/>
      <c r="V2170" s="19" t="n">
        <v>15</v>
      </c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19"/>
      <c r="AH2170" s="19" t="n">
        <v>60</v>
      </c>
      <c r="AI2170" s="19"/>
      <c r="AJ2170" s="19"/>
      <c r="AK2170" s="19"/>
      <c r="AL2170" s="19"/>
      <c r="AM2170" s="19"/>
      <c r="AN2170" s="19"/>
      <c r="AO2170" s="19" t="n">
        <v>45</v>
      </c>
      <c r="AP2170" s="19"/>
      <c r="AQ2170" s="19"/>
      <c r="AR2170" s="19" t="n">
        <v>15</v>
      </c>
      <c r="AS2170" s="20" t="str">
        <f aca="false">HYPERLINK("http://www.openstreetmap.org/?mlat=35.6705&amp;mlon=44.0673&amp;zoom=12#map=12/35.6705/44.0673","Maplink1")</f>
        <v>Maplink1</v>
      </c>
      <c r="AT2170" s="20" t="str">
        <f aca="false">HYPERLINK("https://www.google.iq/maps/search/+35.6705,44.0673/@35.6705,44.0673,14z?hl=en","Maplink2")</f>
        <v>Maplink2</v>
      </c>
      <c r="AU2170" s="20" t="str">
        <f aca="false">HYPERLINK("http://www.bing.com/maps/?lvl=14&amp;sty=h&amp;cp=35.6705~44.0673&amp;sp=point.35.6705_44.0673","Maplink3")</f>
        <v>Maplink3</v>
      </c>
    </row>
    <row r="2171" customFormat="false" ht="15" hidden="false" customHeight="true" outlineLevel="0" collapsed="false">
      <c r="A2171" s="15" t="n">
        <v>15413</v>
      </c>
      <c r="B2171" s="16" t="s">
        <v>23</v>
      </c>
      <c r="C2171" s="16" t="s">
        <v>4245</v>
      </c>
      <c r="D2171" s="16" t="s">
        <v>4254</v>
      </c>
      <c r="E2171" s="17" t="s">
        <v>4255</v>
      </c>
      <c r="F2171" s="16" t="n">
        <v>35.594753</v>
      </c>
      <c r="G2171" s="16" t="n">
        <v>44.160511</v>
      </c>
      <c r="H2171" s="18" t="n">
        <v>500</v>
      </c>
      <c r="I2171" s="18" t="n">
        <v>3000</v>
      </c>
      <c r="J2171" s="19"/>
      <c r="K2171" s="19"/>
      <c r="L2171" s="19"/>
      <c r="M2171" s="19"/>
      <c r="N2171" s="19"/>
      <c r="O2171" s="19"/>
      <c r="P2171" s="19"/>
      <c r="Q2171" s="19"/>
      <c r="R2171" s="19" t="n">
        <v>500</v>
      </c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19"/>
      <c r="AH2171" s="19"/>
      <c r="AI2171" s="19"/>
      <c r="AJ2171" s="19" t="n">
        <v>200</v>
      </c>
      <c r="AK2171" s="19" t="n">
        <v>300</v>
      </c>
      <c r="AL2171" s="19"/>
      <c r="AM2171" s="19"/>
      <c r="AN2171" s="19"/>
      <c r="AO2171" s="19" t="n">
        <v>500</v>
      </c>
      <c r="AP2171" s="19"/>
      <c r="AQ2171" s="19"/>
      <c r="AR2171" s="19"/>
      <c r="AS2171" s="20" t="str">
        <f aca="false">HYPERLINK("http://www.openstreetmap.org/?mlat=35.5948&amp;mlon=44.1605&amp;zoom=12#map=12/35.5948/44.1605","Maplink1")</f>
        <v>Maplink1</v>
      </c>
      <c r="AT2171" s="20" t="str">
        <f aca="false">HYPERLINK("https://www.google.iq/maps/search/+35.5948,44.1605/@35.5948,44.1605,14z?hl=en","Maplink2")</f>
        <v>Maplink2</v>
      </c>
      <c r="AU2171" s="20" t="str">
        <f aca="false">HYPERLINK("http://www.bing.com/maps/?lvl=14&amp;sty=h&amp;cp=35.5948~44.1605&amp;sp=point.35.5948_44.1605","Maplink3")</f>
        <v>Maplink3</v>
      </c>
    </row>
    <row r="2172" customFormat="false" ht="15" hidden="false" customHeight="true" outlineLevel="0" collapsed="false">
      <c r="A2172" s="15" t="n">
        <v>24546</v>
      </c>
      <c r="B2172" s="16" t="s">
        <v>23</v>
      </c>
      <c r="C2172" s="16" t="s">
        <v>4256</v>
      </c>
      <c r="D2172" s="16" t="s">
        <v>4257</v>
      </c>
      <c r="E2172" s="17" t="s">
        <v>4258</v>
      </c>
      <c r="F2172" s="16" t="n">
        <v>35.064269</v>
      </c>
      <c r="G2172" s="16" t="n">
        <v>44.38654</v>
      </c>
      <c r="H2172" s="18" t="n">
        <v>100</v>
      </c>
      <c r="I2172" s="18" t="n">
        <v>600</v>
      </c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 t="n">
        <v>100</v>
      </c>
      <c r="Y2172" s="19"/>
      <c r="Z2172" s="19"/>
      <c r="AA2172" s="19"/>
      <c r="AB2172" s="19"/>
      <c r="AC2172" s="19"/>
      <c r="AD2172" s="19"/>
      <c r="AE2172" s="19"/>
      <c r="AF2172" s="19"/>
      <c r="AG2172" s="19"/>
      <c r="AH2172" s="19"/>
      <c r="AI2172" s="19"/>
      <c r="AJ2172" s="19"/>
      <c r="AK2172" s="19" t="n">
        <v>100</v>
      </c>
      <c r="AL2172" s="19"/>
      <c r="AM2172" s="19"/>
      <c r="AN2172" s="19" t="n">
        <v>100</v>
      </c>
      <c r="AO2172" s="19"/>
      <c r="AP2172" s="19"/>
      <c r="AQ2172" s="19"/>
      <c r="AR2172" s="19"/>
      <c r="AS2172" s="20" t="str">
        <f aca="false">HYPERLINK("http://www.openstreetmap.org/?mlat=35.0643&amp;mlon=44.3865&amp;zoom=12#map=12/35.0643/44.3865","Maplink1")</f>
        <v>Maplink1</v>
      </c>
      <c r="AT2172" s="20" t="str">
        <f aca="false">HYPERLINK("https://www.google.iq/maps/search/+35.0643,44.3865/@35.0643,44.3865,14z?hl=en","Maplink2")</f>
        <v>Maplink2</v>
      </c>
      <c r="AU2172" s="20" t="str">
        <f aca="false">HYPERLINK("http://www.bing.com/maps/?lvl=14&amp;sty=h&amp;cp=35.0643~44.3865&amp;sp=point.35.0643_44.3865","Maplink3")</f>
        <v>Maplink3</v>
      </c>
    </row>
    <row r="2173" customFormat="false" ht="15" hidden="false" customHeight="true" outlineLevel="0" collapsed="false">
      <c r="A2173" s="15" t="n">
        <v>24116</v>
      </c>
      <c r="B2173" s="16" t="s">
        <v>23</v>
      </c>
      <c r="C2173" s="16" t="s">
        <v>4256</v>
      </c>
      <c r="D2173" s="16" t="s">
        <v>4259</v>
      </c>
      <c r="E2173" s="17" t="s">
        <v>4260</v>
      </c>
      <c r="F2173" s="16" t="n">
        <v>35.318707</v>
      </c>
      <c r="G2173" s="16" t="n">
        <v>44.269216</v>
      </c>
      <c r="H2173" s="18" t="n">
        <v>67</v>
      </c>
      <c r="I2173" s="18" t="n">
        <v>402</v>
      </c>
      <c r="J2173" s="19" t="n">
        <v>22</v>
      </c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 t="n">
        <v>45</v>
      </c>
      <c r="Y2173" s="19"/>
      <c r="Z2173" s="19"/>
      <c r="AA2173" s="19"/>
      <c r="AB2173" s="19"/>
      <c r="AC2173" s="19" t="n">
        <v>22</v>
      </c>
      <c r="AD2173" s="19"/>
      <c r="AE2173" s="19"/>
      <c r="AF2173" s="19"/>
      <c r="AG2173" s="19"/>
      <c r="AH2173" s="19"/>
      <c r="AI2173" s="19"/>
      <c r="AJ2173" s="19" t="n">
        <v>45</v>
      </c>
      <c r="AK2173" s="19"/>
      <c r="AL2173" s="19" t="n">
        <v>22</v>
      </c>
      <c r="AM2173" s="19"/>
      <c r="AN2173" s="19" t="n">
        <v>45</v>
      </c>
      <c r="AO2173" s="19"/>
      <c r="AP2173" s="19"/>
      <c r="AQ2173" s="19"/>
      <c r="AR2173" s="19"/>
      <c r="AS2173" s="20" t="str">
        <f aca="false">HYPERLINK("http://www.openstreetmap.org/?mlat=35.3187&amp;mlon=44.2692&amp;zoom=12#map=12/35.3187/44.2692","Maplink1")</f>
        <v>Maplink1</v>
      </c>
      <c r="AT2173" s="20" t="str">
        <f aca="false">HYPERLINK("https://www.google.iq/maps/search/+35.3187,44.2692/@35.3187,44.2692,14z?hl=en","Maplink2")</f>
        <v>Maplink2</v>
      </c>
      <c r="AU2173" s="20" t="str">
        <f aca="false">HYPERLINK("http://www.bing.com/maps/?lvl=14&amp;sty=h&amp;cp=35.3187~44.2692&amp;sp=point.35.3187_44.2692","Maplink3")</f>
        <v>Maplink3</v>
      </c>
    </row>
    <row r="2174" customFormat="false" ht="15" hidden="false" customHeight="true" outlineLevel="0" collapsed="false">
      <c r="A2174" s="15" t="n">
        <v>14864</v>
      </c>
      <c r="B2174" s="16" t="s">
        <v>23</v>
      </c>
      <c r="C2174" s="16" t="s">
        <v>4256</v>
      </c>
      <c r="D2174" s="16" t="s">
        <v>4261</v>
      </c>
      <c r="E2174" s="17" t="s">
        <v>4262</v>
      </c>
      <c r="F2174" s="16" t="n">
        <v>35.05</v>
      </c>
      <c r="G2174" s="16" t="n">
        <v>44.37</v>
      </c>
      <c r="H2174" s="18" t="n">
        <v>120</v>
      </c>
      <c r="I2174" s="18" t="n">
        <v>720</v>
      </c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 t="n">
        <v>120</v>
      </c>
      <c r="Y2174" s="19"/>
      <c r="Z2174" s="19"/>
      <c r="AA2174" s="19"/>
      <c r="AB2174" s="19"/>
      <c r="AC2174" s="19" t="n">
        <v>50</v>
      </c>
      <c r="AD2174" s="19"/>
      <c r="AE2174" s="19"/>
      <c r="AF2174" s="19"/>
      <c r="AG2174" s="19"/>
      <c r="AH2174" s="19"/>
      <c r="AI2174" s="19"/>
      <c r="AJ2174" s="19"/>
      <c r="AK2174" s="19" t="n">
        <v>70</v>
      </c>
      <c r="AL2174" s="19"/>
      <c r="AM2174" s="19"/>
      <c r="AN2174" s="19" t="n">
        <v>120</v>
      </c>
      <c r="AO2174" s="19"/>
      <c r="AP2174" s="19"/>
      <c r="AQ2174" s="19"/>
      <c r="AR2174" s="19"/>
      <c r="AS2174" s="20" t="str">
        <f aca="false">HYPERLINK("http://www.openstreetmap.org/?mlat=35.05&amp;mlon=44.37&amp;zoom=12#map=12/35.05/44.37","Maplink1")</f>
        <v>Maplink1</v>
      </c>
      <c r="AT2174" s="20" t="str">
        <f aca="false">HYPERLINK("https://www.google.iq/maps/search/+35.05,44.37/@35.05,44.37,14z?hl=en","Maplink2")</f>
        <v>Maplink2</v>
      </c>
      <c r="AU2174" s="20" t="str">
        <f aca="false">HYPERLINK("http://www.bing.com/maps/?lvl=14&amp;sty=h&amp;cp=35.05~44.37&amp;sp=point.35.05_44.37","Maplink3")</f>
        <v>Maplink3</v>
      </c>
    </row>
    <row r="2175" customFormat="false" ht="15" hidden="false" customHeight="true" outlineLevel="0" collapsed="false">
      <c r="A2175" s="15" t="n">
        <v>26069</v>
      </c>
      <c r="B2175" s="16" t="s">
        <v>23</v>
      </c>
      <c r="C2175" s="16" t="s">
        <v>4256</v>
      </c>
      <c r="D2175" s="16" t="s">
        <v>4263</v>
      </c>
      <c r="E2175" s="17" t="s">
        <v>4264</v>
      </c>
      <c r="F2175" s="16" t="n">
        <v>35.240239</v>
      </c>
      <c r="G2175" s="16" t="n">
        <v>44.624402</v>
      </c>
      <c r="H2175" s="18" t="n">
        <v>260</v>
      </c>
      <c r="I2175" s="18" t="n">
        <v>1560</v>
      </c>
      <c r="J2175" s="19" t="n">
        <v>5</v>
      </c>
      <c r="K2175" s="19"/>
      <c r="L2175" s="19"/>
      <c r="M2175" s="19"/>
      <c r="N2175" s="19"/>
      <c r="O2175" s="19"/>
      <c r="P2175" s="19"/>
      <c r="Q2175" s="19"/>
      <c r="R2175" s="19" t="n">
        <v>200</v>
      </c>
      <c r="S2175" s="19"/>
      <c r="T2175" s="19"/>
      <c r="U2175" s="19"/>
      <c r="V2175" s="19" t="n">
        <v>35</v>
      </c>
      <c r="W2175" s="19"/>
      <c r="X2175" s="19" t="n">
        <v>20</v>
      </c>
      <c r="Y2175" s="19"/>
      <c r="Z2175" s="19"/>
      <c r="AA2175" s="19"/>
      <c r="AB2175" s="19"/>
      <c r="AC2175" s="19"/>
      <c r="AD2175" s="19"/>
      <c r="AE2175" s="19"/>
      <c r="AF2175" s="19"/>
      <c r="AG2175" s="19"/>
      <c r="AH2175" s="19" t="n">
        <v>260</v>
      </c>
      <c r="AI2175" s="19"/>
      <c r="AJ2175" s="19"/>
      <c r="AK2175" s="19"/>
      <c r="AL2175" s="19"/>
      <c r="AM2175" s="19" t="n">
        <v>70</v>
      </c>
      <c r="AN2175" s="19"/>
      <c r="AO2175" s="19" t="n">
        <v>40</v>
      </c>
      <c r="AP2175" s="19" t="n">
        <v>50</v>
      </c>
      <c r="AQ2175" s="19" t="n">
        <v>60</v>
      </c>
      <c r="AR2175" s="19" t="n">
        <v>40</v>
      </c>
      <c r="AS2175" s="20" t="str">
        <f aca="false">HYPERLINK("http://www.openstreetmap.org/?mlat=35.2402&amp;mlon=44.6244&amp;zoom=12#map=12/35.2402/44.6244","Maplink1")</f>
        <v>Maplink1</v>
      </c>
      <c r="AT2175" s="20" t="str">
        <f aca="false">HYPERLINK("https://www.google.iq/maps/search/+35.2402,44.6244/@35.2402,44.6244,14z?hl=en","Maplink2")</f>
        <v>Maplink2</v>
      </c>
      <c r="AU2175" s="20" t="str">
        <f aca="false">HYPERLINK("http://www.bing.com/maps/?lvl=14&amp;sty=h&amp;cp=35.2402~44.6244&amp;sp=point.35.2402_44.6244","Maplink3")</f>
        <v>Maplink3</v>
      </c>
    </row>
    <row r="2176" customFormat="false" ht="15" hidden="false" customHeight="true" outlineLevel="0" collapsed="false">
      <c r="A2176" s="15" t="n">
        <v>29617</v>
      </c>
      <c r="B2176" s="16" t="s">
        <v>23</v>
      </c>
      <c r="C2176" s="16" t="s">
        <v>4256</v>
      </c>
      <c r="D2176" s="16" t="s">
        <v>4265</v>
      </c>
      <c r="E2176" s="17" t="s">
        <v>4266</v>
      </c>
      <c r="F2176" s="16" t="n">
        <v>35.23435</v>
      </c>
      <c r="G2176" s="16" t="n">
        <v>44.38096</v>
      </c>
      <c r="H2176" s="18" t="n">
        <v>1705</v>
      </c>
      <c r="I2176" s="18" t="n">
        <v>10230</v>
      </c>
      <c r="J2176" s="19" t="n">
        <v>2</v>
      </c>
      <c r="K2176" s="19"/>
      <c r="L2176" s="19"/>
      <c r="M2176" s="19"/>
      <c r="N2176" s="19"/>
      <c r="O2176" s="19" t="n">
        <v>1</v>
      </c>
      <c r="P2176" s="19"/>
      <c r="Q2176" s="19"/>
      <c r="R2176" s="19" t="n">
        <v>1655</v>
      </c>
      <c r="S2176" s="19"/>
      <c r="T2176" s="19"/>
      <c r="U2176" s="19"/>
      <c r="V2176" s="19" t="n">
        <v>7</v>
      </c>
      <c r="W2176" s="19"/>
      <c r="X2176" s="19" t="n">
        <v>40</v>
      </c>
      <c r="Y2176" s="19"/>
      <c r="Z2176" s="19"/>
      <c r="AA2176" s="19"/>
      <c r="AB2176" s="19" t="n">
        <v>1705</v>
      </c>
      <c r="AC2176" s="19"/>
      <c r="AD2176" s="19"/>
      <c r="AE2176" s="19"/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/>
      <c r="AP2176" s="19"/>
      <c r="AQ2176" s="19" t="n">
        <v>1017</v>
      </c>
      <c r="AR2176" s="19" t="n">
        <v>688</v>
      </c>
      <c r="AS2176" s="20" t="str">
        <f aca="false">HYPERLINK("http://www.openstreetmap.org/?mlat=35.2343&amp;mlon=44.381&amp;zoom=12#map=12/35.2343/44.381","Maplink1")</f>
        <v>Maplink1</v>
      </c>
      <c r="AT2176" s="20" t="str">
        <f aca="false">HYPERLINK("https://www.google.iq/maps/search/+35.2343,44.381/@35.2343,44.381,14z?hl=en","Maplink2")</f>
        <v>Maplink2</v>
      </c>
      <c r="AU2176" s="20" t="str">
        <f aca="false">HYPERLINK("http://www.bing.com/maps/?lvl=14&amp;sty=h&amp;cp=35.2343~44.381&amp;sp=point.35.2343_44.381","Maplink3")</f>
        <v>Maplink3</v>
      </c>
    </row>
    <row r="2177" customFormat="false" ht="15" hidden="false" customHeight="true" outlineLevel="0" collapsed="false">
      <c r="A2177" s="15" t="n">
        <v>14786</v>
      </c>
      <c r="B2177" s="16" t="s">
        <v>23</v>
      </c>
      <c r="C2177" s="16" t="s">
        <v>4256</v>
      </c>
      <c r="D2177" s="16" t="s">
        <v>4267</v>
      </c>
      <c r="E2177" s="17" t="s">
        <v>4268</v>
      </c>
      <c r="F2177" s="16" t="n">
        <v>35.13</v>
      </c>
      <c r="G2177" s="16" t="n">
        <v>44.43</v>
      </c>
      <c r="H2177" s="18" t="n">
        <v>395</v>
      </c>
      <c r="I2177" s="18" t="n">
        <v>2370</v>
      </c>
      <c r="J2177" s="19" t="n">
        <v>110</v>
      </c>
      <c r="K2177" s="19"/>
      <c r="L2177" s="19"/>
      <c r="M2177" s="19"/>
      <c r="N2177" s="19"/>
      <c r="O2177" s="19" t="n">
        <v>50</v>
      </c>
      <c r="P2177" s="19"/>
      <c r="Q2177" s="19"/>
      <c r="R2177" s="19" t="n">
        <v>70</v>
      </c>
      <c r="S2177" s="19"/>
      <c r="T2177" s="19"/>
      <c r="U2177" s="19"/>
      <c r="V2177" s="19" t="n">
        <v>10</v>
      </c>
      <c r="W2177" s="19"/>
      <c r="X2177" s="19" t="n">
        <v>155</v>
      </c>
      <c r="Y2177" s="19"/>
      <c r="Z2177" s="19"/>
      <c r="AA2177" s="19"/>
      <c r="AB2177" s="19"/>
      <c r="AC2177" s="19" t="n">
        <v>5</v>
      </c>
      <c r="AD2177" s="19"/>
      <c r="AE2177" s="19"/>
      <c r="AF2177" s="19"/>
      <c r="AG2177" s="19"/>
      <c r="AH2177" s="19" t="n">
        <v>390</v>
      </c>
      <c r="AI2177" s="19"/>
      <c r="AJ2177" s="19"/>
      <c r="AK2177" s="19"/>
      <c r="AL2177" s="19"/>
      <c r="AM2177" s="19" t="n">
        <v>13</v>
      </c>
      <c r="AN2177" s="19" t="n">
        <v>175</v>
      </c>
      <c r="AO2177" s="19" t="n">
        <v>67</v>
      </c>
      <c r="AP2177" s="19" t="n">
        <v>90</v>
      </c>
      <c r="AQ2177" s="19"/>
      <c r="AR2177" s="19" t="n">
        <v>50</v>
      </c>
      <c r="AS2177" s="20" t="str">
        <f aca="false">HYPERLINK("http://www.openstreetmap.org/?mlat=35.13&amp;mlon=44.43&amp;zoom=12#map=12/35.13/44.43","Maplink1")</f>
        <v>Maplink1</v>
      </c>
      <c r="AT2177" s="20" t="str">
        <f aca="false">HYPERLINK("https://www.google.iq/maps/search/+35.13,44.43/@35.13,44.43,14z?hl=en","Maplink2")</f>
        <v>Maplink2</v>
      </c>
      <c r="AU2177" s="20" t="str">
        <f aca="false">HYPERLINK("http://www.bing.com/maps/?lvl=14&amp;sty=h&amp;cp=35.13~44.43&amp;sp=point.35.13_44.43","Maplink3")</f>
        <v>Maplink3</v>
      </c>
    </row>
    <row r="2178" customFormat="false" ht="15" hidden="false" customHeight="true" outlineLevel="0" collapsed="false">
      <c r="A2178" s="15" t="n">
        <v>14545</v>
      </c>
      <c r="B2178" s="16" t="s">
        <v>23</v>
      </c>
      <c r="C2178" s="16" t="s">
        <v>4256</v>
      </c>
      <c r="D2178" s="16" t="s">
        <v>4269</v>
      </c>
      <c r="E2178" s="17" t="s">
        <v>4270</v>
      </c>
      <c r="F2178" s="16" t="n">
        <v>35.314924</v>
      </c>
      <c r="G2178" s="16" t="n">
        <v>44.562222</v>
      </c>
      <c r="H2178" s="18" t="n">
        <v>97</v>
      </c>
      <c r="I2178" s="18" t="n">
        <v>582</v>
      </c>
      <c r="J2178" s="19" t="n">
        <v>7</v>
      </c>
      <c r="K2178" s="19"/>
      <c r="L2178" s="19"/>
      <c r="M2178" s="19"/>
      <c r="N2178" s="19"/>
      <c r="O2178" s="19"/>
      <c r="P2178" s="19"/>
      <c r="Q2178" s="19"/>
      <c r="R2178" s="19" t="n">
        <v>22</v>
      </c>
      <c r="S2178" s="19"/>
      <c r="T2178" s="19"/>
      <c r="U2178" s="19"/>
      <c r="V2178" s="19" t="n">
        <v>5</v>
      </c>
      <c r="W2178" s="19"/>
      <c r="X2178" s="19" t="n">
        <v>63</v>
      </c>
      <c r="Y2178" s="19"/>
      <c r="Z2178" s="19"/>
      <c r="AA2178" s="19"/>
      <c r="AB2178" s="19"/>
      <c r="AC2178" s="19"/>
      <c r="AD2178" s="19"/>
      <c r="AE2178" s="19"/>
      <c r="AF2178" s="19"/>
      <c r="AG2178" s="19"/>
      <c r="AH2178" s="19"/>
      <c r="AI2178" s="19"/>
      <c r="AJ2178" s="19" t="n">
        <v>97</v>
      </c>
      <c r="AK2178" s="19"/>
      <c r="AL2178" s="19"/>
      <c r="AM2178" s="19" t="n">
        <v>6</v>
      </c>
      <c r="AN2178" s="19" t="n">
        <v>31</v>
      </c>
      <c r="AO2178" s="19" t="n">
        <v>35</v>
      </c>
      <c r="AP2178" s="19"/>
      <c r="AQ2178" s="19" t="n">
        <v>20</v>
      </c>
      <c r="AR2178" s="19" t="n">
        <v>5</v>
      </c>
      <c r="AS2178" s="20" t="str">
        <f aca="false">HYPERLINK("http://www.openstreetmap.org/?mlat=35.3149&amp;mlon=44.5622&amp;zoom=12#map=12/35.3149/44.5622","Maplink1")</f>
        <v>Maplink1</v>
      </c>
      <c r="AT2178" s="20" t="str">
        <f aca="false">HYPERLINK("https://www.google.iq/maps/search/+35.3149,44.5622/@35.3149,44.5622,14z?hl=en","Maplink2")</f>
        <v>Maplink2</v>
      </c>
      <c r="AU2178" s="20" t="str">
        <f aca="false">HYPERLINK("http://www.bing.com/maps/?lvl=14&amp;sty=h&amp;cp=35.3149~44.5622&amp;sp=point.35.3149_44.5622","Maplink3")</f>
        <v>Maplink3</v>
      </c>
    </row>
    <row r="2179" customFormat="false" ht="15" hidden="false" customHeight="true" outlineLevel="0" collapsed="false">
      <c r="A2179" s="15" t="n">
        <v>24238</v>
      </c>
      <c r="B2179" s="16" t="s">
        <v>23</v>
      </c>
      <c r="C2179" s="16" t="s">
        <v>4256</v>
      </c>
      <c r="D2179" s="16" t="s">
        <v>4202</v>
      </c>
      <c r="E2179" s="17" t="s">
        <v>4271</v>
      </c>
      <c r="F2179" s="16" t="n">
        <v>35.128221</v>
      </c>
      <c r="G2179" s="16" t="n">
        <v>44.44936</v>
      </c>
      <c r="H2179" s="18" t="n">
        <v>386</v>
      </c>
      <c r="I2179" s="18" t="n">
        <v>2316</v>
      </c>
      <c r="J2179" s="19" t="n">
        <v>100</v>
      </c>
      <c r="K2179" s="19"/>
      <c r="L2179" s="19" t="n">
        <v>4</v>
      </c>
      <c r="M2179" s="19"/>
      <c r="N2179" s="19"/>
      <c r="O2179" s="19" t="n">
        <v>35</v>
      </c>
      <c r="P2179" s="19"/>
      <c r="Q2179" s="19"/>
      <c r="R2179" s="19" t="n">
        <v>90</v>
      </c>
      <c r="S2179" s="19"/>
      <c r="T2179" s="19"/>
      <c r="U2179" s="19"/>
      <c r="V2179" s="19" t="n">
        <v>10</v>
      </c>
      <c r="W2179" s="19"/>
      <c r="X2179" s="19" t="n">
        <v>147</v>
      </c>
      <c r="Y2179" s="19"/>
      <c r="Z2179" s="19"/>
      <c r="AA2179" s="19"/>
      <c r="AB2179" s="19"/>
      <c r="AC2179" s="19" t="n">
        <v>40</v>
      </c>
      <c r="AD2179" s="19"/>
      <c r="AE2179" s="19"/>
      <c r="AF2179" s="19"/>
      <c r="AG2179" s="19"/>
      <c r="AH2179" s="19" t="n">
        <v>346</v>
      </c>
      <c r="AI2179" s="19"/>
      <c r="AJ2179" s="19"/>
      <c r="AK2179" s="19"/>
      <c r="AL2179" s="19"/>
      <c r="AM2179" s="19" t="n">
        <v>8</v>
      </c>
      <c r="AN2179" s="19" t="n">
        <v>80</v>
      </c>
      <c r="AO2179" s="19" t="n">
        <v>110</v>
      </c>
      <c r="AP2179" s="19" t="n">
        <v>133</v>
      </c>
      <c r="AQ2179" s="19"/>
      <c r="AR2179" s="19" t="n">
        <v>55</v>
      </c>
      <c r="AS2179" s="20" t="str">
        <f aca="false">HYPERLINK("http://www.openstreetmap.org/?mlat=35.1282&amp;mlon=44.4494&amp;zoom=12#map=12/35.1282/44.4494","Maplink1")</f>
        <v>Maplink1</v>
      </c>
      <c r="AT2179" s="20" t="str">
        <f aca="false">HYPERLINK("https://www.google.iq/maps/search/+35.1282,44.4494/@35.1282,44.4494,14z?hl=en","Maplink2")</f>
        <v>Maplink2</v>
      </c>
      <c r="AU2179" s="20" t="str">
        <f aca="false">HYPERLINK("http://www.bing.com/maps/?lvl=14&amp;sty=h&amp;cp=35.1282~44.4494&amp;sp=point.35.1282_44.4494","Maplink3")</f>
        <v>Maplink3</v>
      </c>
    </row>
    <row r="2180" customFormat="false" ht="15" hidden="false" customHeight="true" outlineLevel="0" collapsed="false">
      <c r="A2180" s="15" t="n">
        <v>21453</v>
      </c>
      <c r="B2180" s="16" t="s">
        <v>23</v>
      </c>
      <c r="C2180" s="16" t="s">
        <v>4256</v>
      </c>
      <c r="D2180" s="16" t="s">
        <v>4272</v>
      </c>
      <c r="E2180" s="17" t="s">
        <v>4273</v>
      </c>
      <c r="F2180" s="16" t="n">
        <v>35.0826</v>
      </c>
      <c r="G2180" s="16" t="n">
        <v>44.2624</v>
      </c>
      <c r="H2180" s="18" t="n">
        <v>390</v>
      </c>
      <c r="I2180" s="18" t="n">
        <v>2340</v>
      </c>
      <c r="J2180" s="19" t="n">
        <v>30</v>
      </c>
      <c r="K2180" s="19"/>
      <c r="L2180" s="19"/>
      <c r="M2180" s="19"/>
      <c r="N2180" s="19"/>
      <c r="O2180" s="19" t="n">
        <v>40</v>
      </c>
      <c r="P2180" s="19"/>
      <c r="Q2180" s="19"/>
      <c r="R2180" s="19" t="n">
        <v>90</v>
      </c>
      <c r="S2180" s="19"/>
      <c r="T2180" s="19"/>
      <c r="U2180" s="19"/>
      <c r="V2180" s="19" t="n">
        <v>30</v>
      </c>
      <c r="W2180" s="19"/>
      <c r="X2180" s="19" t="n">
        <v>200</v>
      </c>
      <c r="Y2180" s="19"/>
      <c r="Z2180" s="19"/>
      <c r="AA2180" s="19"/>
      <c r="AB2180" s="19"/>
      <c r="AC2180" s="19" t="n">
        <v>40</v>
      </c>
      <c r="AD2180" s="19"/>
      <c r="AE2180" s="19"/>
      <c r="AF2180" s="19"/>
      <c r="AG2180" s="19"/>
      <c r="AH2180" s="19" t="n">
        <v>350</v>
      </c>
      <c r="AI2180" s="19"/>
      <c r="AJ2180" s="19"/>
      <c r="AK2180" s="19"/>
      <c r="AL2180" s="19"/>
      <c r="AM2180" s="19"/>
      <c r="AN2180" s="19" t="n">
        <v>160</v>
      </c>
      <c r="AO2180" s="19" t="n">
        <v>105</v>
      </c>
      <c r="AP2180" s="19" t="n">
        <v>67</v>
      </c>
      <c r="AQ2180" s="19" t="n">
        <v>13</v>
      </c>
      <c r="AR2180" s="19" t="n">
        <v>45</v>
      </c>
      <c r="AS2180" s="20" t="str">
        <f aca="false">HYPERLINK("http://www.openstreetmap.org/?mlat=35.0826&amp;mlon=44.2624&amp;zoom=12#map=12/35.0826/44.2624","Maplink1")</f>
        <v>Maplink1</v>
      </c>
      <c r="AT2180" s="20" t="str">
        <f aca="false">HYPERLINK("https://www.google.iq/maps/search/+35.0826,44.2624/@35.0826,44.2624,14z?hl=en","Maplink2")</f>
        <v>Maplink2</v>
      </c>
      <c r="AU2180" s="20" t="str">
        <f aca="false">HYPERLINK("http://www.bing.com/maps/?lvl=14&amp;sty=h&amp;cp=35.0826~44.2624&amp;sp=point.35.0826_44.2624","Maplink3")</f>
        <v>Maplink3</v>
      </c>
    </row>
    <row r="2181" customFormat="false" ht="15" hidden="false" customHeight="true" outlineLevel="0" collapsed="false">
      <c r="A2181" s="15" t="n">
        <v>25557</v>
      </c>
      <c r="B2181" s="16" t="s">
        <v>23</v>
      </c>
      <c r="C2181" s="16" t="s">
        <v>4256</v>
      </c>
      <c r="D2181" s="16" t="s">
        <v>4274</v>
      </c>
      <c r="E2181" s="17" t="s">
        <v>4275</v>
      </c>
      <c r="F2181" s="16" t="n">
        <v>35.43077</v>
      </c>
      <c r="G2181" s="16" t="n">
        <v>44.606418</v>
      </c>
      <c r="H2181" s="18" t="n">
        <v>290</v>
      </c>
      <c r="I2181" s="18" t="n">
        <v>1740</v>
      </c>
      <c r="J2181" s="19" t="n">
        <v>15</v>
      </c>
      <c r="K2181" s="19"/>
      <c r="L2181" s="19"/>
      <c r="M2181" s="19"/>
      <c r="N2181" s="19"/>
      <c r="O2181" s="19"/>
      <c r="P2181" s="19"/>
      <c r="Q2181" s="19"/>
      <c r="R2181" s="19" t="n">
        <v>15</v>
      </c>
      <c r="S2181" s="19"/>
      <c r="T2181" s="19"/>
      <c r="U2181" s="19"/>
      <c r="V2181" s="19" t="n">
        <v>10</v>
      </c>
      <c r="W2181" s="19"/>
      <c r="X2181" s="19" t="n">
        <v>250</v>
      </c>
      <c r="Y2181" s="19"/>
      <c r="Z2181" s="19"/>
      <c r="AA2181" s="19"/>
      <c r="AB2181" s="19"/>
      <c r="AC2181" s="19"/>
      <c r="AD2181" s="19"/>
      <c r="AE2181" s="19"/>
      <c r="AF2181" s="19"/>
      <c r="AG2181" s="19"/>
      <c r="AH2181" s="19" t="n">
        <v>290</v>
      </c>
      <c r="AI2181" s="19"/>
      <c r="AJ2181" s="19"/>
      <c r="AK2181" s="19"/>
      <c r="AL2181" s="19"/>
      <c r="AM2181" s="19" t="n">
        <v>50</v>
      </c>
      <c r="AN2181" s="19" t="n">
        <v>10</v>
      </c>
      <c r="AO2181" s="19" t="n">
        <v>120</v>
      </c>
      <c r="AP2181" s="19" t="n">
        <v>70</v>
      </c>
      <c r="AQ2181" s="19" t="n">
        <v>40</v>
      </c>
      <c r="AR2181" s="19"/>
      <c r="AS2181" s="20" t="str">
        <f aca="false">HYPERLINK("http://www.openstreetmap.org/?mlat=35.4308&amp;mlon=44.6064&amp;zoom=12#map=12/35.4308/44.6064","Maplink1")</f>
        <v>Maplink1</v>
      </c>
      <c r="AT2181" s="20" t="str">
        <f aca="false">HYPERLINK("https://www.google.iq/maps/search/+35.4308,44.6064/@35.4308,44.6064,14z?hl=en","Maplink2")</f>
        <v>Maplink2</v>
      </c>
      <c r="AU2181" s="20" t="str">
        <f aca="false">HYPERLINK("http://www.bing.com/maps/?lvl=14&amp;sty=h&amp;cp=35.4308~44.6064&amp;sp=point.35.4308_44.6064","Maplink3")</f>
        <v>Maplink3</v>
      </c>
    </row>
    <row r="2182" customFormat="false" ht="15" hidden="false" customHeight="true" outlineLevel="0" collapsed="false">
      <c r="A2182" s="15" t="n">
        <v>14536</v>
      </c>
      <c r="B2182" s="16" t="s">
        <v>23</v>
      </c>
      <c r="C2182" s="16" t="s">
        <v>4256</v>
      </c>
      <c r="D2182" s="16" t="s">
        <v>4276</v>
      </c>
      <c r="E2182" s="17" t="s">
        <v>4277</v>
      </c>
      <c r="F2182" s="16" t="n">
        <v>35.328914</v>
      </c>
      <c r="G2182" s="16" t="n">
        <v>44.529045</v>
      </c>
      <c r="H2182" s="18" t="n">
        <v>1935</v>
      </c>
      <c r="I2182" s="18" t="n">
        <v>11610</v>
      </c>
      <c r="J2182" s="19" t="n">
        <v>41</v>
      </c>
      <c r="K2182" s="19" t="n">
        <v>4</v>
      </c>
      <c r="L2182" s="19" t="n">
        <v>1</v>
      </c>
      <c r="M2182" s="19"/>
      <c r="N2182" s="19"/>
      <c r="O2182" s="19" t="n">
        <v>31</v>
      </c>
      <c r="P2182" s="19"/>
      <c r="Q2182" s="19"/>
      <c r="R2182" s="19" t="n">
        <v>998</v>
      </c>
      <c r="S2182" s="19"/>
      <c r="T2182" s="19"/>
      <c r="U2182" s="19"/>
      <c r="V2182" s="19" t="n">
        <v>160</v>
      </c>
      <c r="W2182" s="19"/>
      <c r="X2182" s="19" t="n">
        <v>700</v>
      </c>
      <c r="Y2182" s="19"/>
      <c r="Z2182" s="19"/>
      <c r="AA2182" s="19"/>
      <c r="AB2182" s="19" t="n">
        <v>1935</v>
      </c>
      <c r="AC2182" s="19"/>
      <c r="AD2182" s="19"/>
      <c r="AE2182" s="19"/>
      <c r="AF2182" s="19"/>
      <c r="AG2182" s="19"/>
      <c r="AH2182" s="19"/>
      <c r="AI2182" s="19"/>
      <c r="AJ2182" s="19"/>
      <c r="AK2182" s="19"/>
      <c r="AL2182" s="19" t="n">
        <v>41</v>
      </c>
      <c r="AM2182" s="19" t="n">
        <v>490</v>
      </c>
      <c r="AN2182" s="19" t="n">
        <v>390</v>
      </c>
      <c r="AO2182" s="19" t="n">
        <v>106</v>
      </c>
      <c r="AP2182" s="19" t="n">
        <v>145</v>
      </c>
      <c r="AQ2182" s="19" t="n">
        <v>550</v>
      </c>
      <c r="AR2182" s="19" t="n">
        <v>213</v>
      </c>
      <c r="AS2182" s="20" t="str">
        <f aca="false">HYPERLINK("http://www.openstreetmap.org/?mlat=35.3289&amp;mlon=44.529&amp;zoom=12#map=12/35.3289/44.529","Maplink1")</f>
        <v>Maplink1</v>
      </c>
      <c r="AT2182" s="20" t="str">
        <f aca="false">HYPERLINK("https://www.google.iq/maps/search/+35.3289,44.529/@35.3289,44.529,14z?hl=en","Maplink2")</f>
        <v>Maplink2</v>
      </c>
      <c r="AU2182" s="20" t="str">
        <f aca="false">HYPERLINK("http://www.bing.com/maps/?lvl=14&amp;sty=h&amp;cp=35.3289~44.529&amp;sp=point.35.3289_44.529","Maplink3")</f>
        <v>Maplink3</v>
      </c>
    </row>
    <row r="2183" customFormat="false" ht="15" hidden="false" customHeight="true" outlineLevel="0" collapsed="false">
      <c r="A2183" s="15" t="n">
        <v>25738</v>
      </c>
      <c r="B2183" s="16" t="s">
        <v>23</v>
      </c>
      <c r="C2183" s="16" t="s">
        <v>4256</v>
      </c>
      <c r="D2183" s="16" t="s">
        <v>4278</v>
      </c>
      <c r="E2183" s="17" t="s">
        <v>4279</v>
      </c>
      <c r="F2183" s="16" t="n">
        <v>35.316659</v>
      </c>
      <c r="G2183" s="16" t="n">
        <v>44.367975</v>
      </c>
      <c r="H2183" s="18" t="n">
        <v>179</v>
      </c>
      <c r="I2183" s="18" t="n">
        <v>1074</v>
      </c>
      <c r="J2183" s="19"/>
      <c r="K2183" s="19"/>
      <c r="L2183" s="19"/>
      <c r="M2183" s="19"/>
      <c r="N2183" s="19"/>
      <c r="O2183" s="19"/>
      <c r="P2183" s="19"/>
      <c r="Q2183" s="19"/>
      <c r="R2183" s="19" t="n">
        <v>179</v>
      </c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 t="n">
        <v>18</v>
      </c>
      <c r="AD2183" s="19"/>
      <c r="AE2183" s="19" t="n">
        <v>161</v>
      </c>
      <c r="AF2183" s="19"/>
      <c r="AG2183" s="19"/>
      <c r="AH2183" s="19"/>
      <c r="AI2183" s="19"/>
      <c r="AJ2183" s="19"/>
      <c r="AK2183" s="19"/>
      <c r="AL2183" s="19"/>
      <c r="AM2183" s="19"/>
      <c r="AN2183" s="19" t="n">
        <v>10</v>
      </c>
      <c r="AO2183" s="19" t="n">
        <v>158</v>
      </c>
      <c r="AP2183" s="19"/>
      <c r="AQ2183" s="19" t="n">
        <v>11</v>
      </c>
      <c r="AR2183" s="19"/>
      <c r="AS2183" s="20" t="str">
        <f aca="false">HYPERLINK("http://www.openstreetmap.org/?mlat=35.3167&amp;mlon=44.368&amp;zoom=12#map=12/35.3167/44.368","Maplink1")</f>
        <v>Maplink1</v>
      </c>
      <c r="AT2183" s="20" t="str">
        <f aca="false">HYPERLINK("https://www.google.iq/maps/search/+35.3167,44.368/@35.3167,44.368,14z?hl=en","Maplink2")</f>
        <v>Maplink2</v>
      </c>
      <c r="AU2183" s="20" t="str">
        <f aca="false">HYPERLINK("http://www.bing.com/maps/?lvl=14&amp;sty=h&amp;cp=35.3167~44.368&amp;sp=point.35.3167_44.368","Maplink3")</f>
        <v>Maplink3</v>
      </c>
    </row>
    <row r="2184" customFormat="false" ht="15" hidden="false" customHeight="true" outlineLevel="0" collapsed="false">
      <c r="A2184" s="15" t="n">
        <v>25739</v>
      </c>
      <c r="B2184" s="16" t="s">
        <v>23</v>
      </c>
      <c r="C2184" s="16" t="s">
        <v>4256</v>
      </c>
      <c r="D2184" s="16" t="s">
        <v>4280</v>
      </c>
      <c r="E2184" s="17" t="s">
        <v>4281</v>
      </c>
      <c r="F2184" s="16" t="n">
        <v>35.307476</v>
      </c>
      <c r="G2184" s="16" t="n">
        <v>44.345912</v>
      </c>
      <c r="H2184" s="18" t="n">
        <v>183</v>
      </c>
      <c r="I2184" s="18" t="n">
        <v>1098</v>
      </c>
      <c r="J2184" s="19"/>
      <c r="K2184" s="19"/>
      <c r="L2184" s="19"/>
      <c r="M2184" s="19"/>
      <c r="N2184" s="19"/>
      <c r="O2184" s="19"/>
      <c r="P2184" s="19"/>
      <c r="Q2184" s="19"/>
      <c r="R2184" s="19" t="n">
        <v>183</v>
      </c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 t="n">
        <v>51</v>
      </c>
      <c r="AD2184" s="19"/>
      <c r="AE2184" s="19" t="n">
        <v>132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n">
        <v>173</v>
      </c>
      <c r="AP2184" s="19"/>
      <c r="AQ2184" s="19" t="n">
        <v>10</v>
      </c>
      <c r="AR2184" s="19"/>
      <c r="AS2184" s="20" t="str">
        <f aca="false">HYPERLINK("http://www.openstreetmap.org/?mlat=35.3075&amp;mlon=44.3459&amp;zoom=12#map=12/35.3075/44.3459","Maplink1")</f>
        <v>Maplink1</v>
      </c>
      <c r="AT2184" s="20" t="str">
        <f aca="false">HYPERLINK("https://www.google.iq/maps/search/+35.3075,44.3459/@35.3075,44.3459,14z?hl=en","Maplink2")</f>
        <v>Maplink2</v>
      </c>
      <c r="AU2184" s="20" t="str">
        <f aca="false">HYPERLINK("http://www.bing.com/maps/?lvl=14&amp;sty=h&amp;cp=35.3075~44.3459&amp;sp=point.35.3075_44.3459","Maplink3")</f>
        <v>Maplink3</v>
      </c>
    </row>
    <row r="2185" customFormat="false" ht="15" hidden="false" customHeight="true" outlineLevel="0" collapsed="false">
      <c r="A2185" s="15" t="n">
        <v>29668</v>
      </c>
      <c r="B2185" s="16" t="s">
        <v>23</v>
      </c>
      <c r="C2185" s="16" t="s">
        <v>4256</v>
      </c>
      <c r="D2185" s="16" t="s">
        <v>4282</v>
      </c>
      <c r="E2185" s="17" t="s">
        <v>4283</v>
      </c>
      <c r="F2185" s="16" t="n">
        <v>35.3302282</v>
      </c>
      <c r="G2185" s="16" t="n">
        <v>44.528194</v>
      </c>
      <c r="H2185" s="18" t="n">
        <v>791</v>
      </c>
      <c r="I2185" s="18" t="n">
        <v>4746</v>
      </c>
      <c r="J2185" s="19"/>
      <c r="K2185" s="19"/>
      <c r="L2185" s="19"/>
      <c r="M2185" s="19"/>
      <c r="N2185" s="19"/>
      <c r="O2185" s="19"/>
      <c r="P2185" s="19"/>
      <c r="Q2185" s="19"/>
      <c r="R2185" s="19" t="n">
        <v>780</v>
      </c>
      <c r="S2185" s="19"/>
      <c r="T2185" s="19"/>
      <c r="U2185" s="19"/>
      <c r="V2185" s="19" t="n">
        <v>2</v>
      </c>
      <c r="W2185" s="19"/>
      <c r="X2185" s="19" t="n">
        <v>9</v>
      </c>
      <c r="Y2185" s="19"/>
      <c r="Z2185" s="19"/>
      <c r="AA2185" s="19"/>
      <c r="AB2185" s="19" t="n">
        <v>791</v>
      </c>
      <c r="AC2185" s="19"/>
      <c r="AD2185" s="19"/>
      <c r="AE2185" s="19"/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/>
      <c r="AP2185" s="19"/>
      <c r="AQ2185" s="19"/>
      <c r="AR2185" s="19" t="n">
        <v>791</v>
      </c>
      <c r="AS2185" s="20" t="str">
        <f aca="false">HYPERLINK("http://www.openstreetmap.org/?mlat=35.3302&amp;mlon=44.5282&amp;zoom=12#map=12/35.3302/44.5282","Maplink1")</f>
        <v>Maplink1</v>
      </c>
      <c r="AT2185" s="20" t="str">
        <f aca="false">HYPERLINK("https://www.google.iq/maps/search/+35.3302,44.5282/@35.3302,44.5282,14z?hl=en","Maplink2")</f>
        <v>Maplink2</v>
      </c>
      <c r="AU2185" s="20" t="str">
        <f aca="false">HYPERLINK("http://www.bing.com/maps/?lvl=14&amp;sty=h&amp;cp=35.3302~44.5282&amp;sp=point.35.3302_44.5282","Maplink3")</f>
        <v>Maplink3</v>
      </c>
    </row>
    <row r="2186" customFormat="false" ht="15" hidden="false" customHeight="true" outlineLevel="0" collapsed="false">
      <c r="A2186" s="15" t="n">
        <v>21711</v>
      </c>
      <c r="B2186" s="16" t="s">
        <v>23</v>
      </c>
      <c r="C2186" s="16" t="s">
        <v>4256</v>
      </c>
      <c r="D2186" s="16" t="s">
        <v>2819</v>
      </c>
      <c r="E2186" s="17" t="s">
        <v>4284</v>
      </c>
      <c r="F2186" s="16" t="n">
        <v>35.318977</v>
      </c>
      <c r="G2186" s="16" t="n">
        <v>44.51783</v>
      </c>
      <c r="H2186" s="18" t="n">
        <v>260</v>
      </c>
      <c r="I2186" s="18" t="n">
        <v>1560</v>
      </c>
      <c r="J2186" s="19" t="n">
        <v>15</v>
      </c>
      <c r="K2186" s="19"/>
      <c r="L2186" s="19"/>
      <c r="M2186" s="19"/>
      <c r="N2186" s="19"/>
      <c r="O2186" s="19"/>
      <c r="P2186" s="19"/>
      <c r="Q2186" s="19"/>
      <c r="R2186" s="19" t="n">
        <v>65</v>
      </c>
      <c r="S2186" s="19"/>
      <c r="T2186" s="19"/>
      <c r="U2186" s="19"/>
      <c r="V2186" s="19" t="n">
        <v>165</v>
      </c>
      <c r="W2186" s="19"/>
      <c r="X2186" s="19" t="n">
        <v>15</v>
      </c>
      <c r="Y2186" s="19"/>
      <c r="Z2186" s="19"/>
      <c r="AA2186" s="19"/>
      <c r="AB2186" s="19"/>
      <c r="AC2186" s="19"/>
      <c r="AD2186" s="19"/>
      <c r="AE2186" s="19"/>
      <c r="AF2186" s="19"/>
      <c r="AG2186" s="19"/>
      <c r="AH2186" s="19" t="n">
        <v>260</v>
      </c>
      <c r="AI2186" s="19"/>
      <c r="AJ2186" s="19"/>
      <c r="AK2186" s="19"/>
      <c r="AL2186" s="19" t="n">
        <v>20</v>
      </c>
      <c r="AM2186" s="19" t="n">
        <v>30</v>
      </c>
      <c r="AN2186" s="19" t="n">
        <v>30</v>
      </c>
      <c r="AO2186" s="19" t="n">
        <v>125</v>
      </c>
      <c r="AP2186" s="19" t="n">
        <v>55</v>
      </c>
      <c r="AQ2186" s="19"/>
      <c r="AR2186" s="19"/>
      <c r="AS2186" s="20" t="str">
        <f aca="false">HYPERLINK("http://www.openstreetmap.org/?mlat=35.319&amp;mlon=44.5178&amp;zoom=12#map=12/35.319/44.5178","Maplink1")</f>
        <v>Maplink1</v>
      </c>
      <c r="AT2186" s="20" t="str">
        <f aca="false">HYPERLINK("https://www.google.iq/maps/search/+35.319,44.5178/@35.319,44.5178,14z?hl=en","Maplink2")</f>
        <v>Maplink2</v>
      </c>
      <c r="AU2186" s="20" t="str">
        <f aca="false">HYPERLINK("http://www.bing.com/maps/?lvl=14&amp;sty=h&amp;cp=35.319~44.5178&amp;sp=point.35.319_44.5178","Maplink3")</f>
        <v>Maplink3</v>
      </c>
    </row>
    <row r="2187" customFormat="false" ht="15" hidden="false" customHeight="true" outlineLevel="0" collapsed="false">
      <c r="A2187" s="15" t="n">
        <v>27337</v>
      </c>
      <c r="B2187" s="16" t="s">
        <v>23</v>
      </c>
      <c r="C2187" s="16" t="s">
        <v>4256</v>
      </c>
      <c r="D2187" s="16" t="s">
        <v>4285</v>
      </c>
      <c r="E2187" s="17" t="s">
        <v>4286</v>
      </c>
      <c r="F2187" s="16" t="n">
        <v>35.292728</v>
      </c>
      <c r="G2187" s="16" t="n">
        <v>44.576432</v>
      </c>
      <c r="H2187" s="18" t="n">
        <v>1661</v>
      </c>
      <c r="I2187" s="18" t="n">
        <v>9966</v>
      </c>
      <c r="J2187" s="19" t="n">
        <v>6</v>
      </c>
      <c r="K2187" s="19"/>
      <c r="L2187" s="19"/>
      <c r="M2187" s="19"/>
      <c r="N2187" s="19"/>
      <c r="O2187" s="19" t="n">
        <v>9</v>
      </c>
      <c r="P2187" s="19"/>
      <c r="Q2187" s="19"/>
      <c r="R2187" s="19" t="n">
        <v>1450</v>
      </c>
      <c r="S2187" s="19"/>
      <c r="T2187" s="19"/>
      <c r="U2187" s="19"/>
      <c r="V2187" s="19" t="n">
        <v>16</v>
      </c>
      <c r="W2187" s="19"/>
      <c r="X2187" s="19" t="n">
        <v>180</v>
      </c>
      <c r="Y2187" s="19"/>
      <c r="Z2187" s="19"/>
      <c r="AA2187" s="19"/>
      <c r="AB2187" s="19" t="n">
        <v>1661</v>
      </c>
      <c r="AC2187" s="19"/>
      <c r="AD2187" s="19"/>
      <c r="AE2187" s="19"/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/>
      <c r="AP2187" s="19" t="n">
        <v>59</v>
      </c>
      <c r="AQ2187" s="19" t="n">
        <v>1372</v>
      </c>
      <c r="AR2187" s="19" t="n">
        <v>230</v>
      </c>
      <c r="AS2187" s="20" t="str">
        <f aca="false">HYPERLINK("http://www.openstreetmap.org/?mlat=35.2927&amp;mlon=44.5764&amp;zoom=12#map=12/35.2927/44.5764","Maplink1")</f>
        <v>Maplink1</v>
      </c>
      <c r="AT2187" s="20" t="str">
        <f aca="false">HYPERLINK("https://www.google.iq/maps/search/+35.2927,44.5764/@35.2927,44.5764,14z?hl=en","Maplink2")</f>
        <v>Maplink2</v>
      </c>
      <c r="AU2187" s="20" t="str">
        <f aca="false">HYPERLINK("http://www.bing.com/maps/?lvl=14&amp;sty=h&amp;cp=35.2927~44.5764&amp;sp=point.35.2927_44.5764","Maplink3")</f>
        <v>Maplink3</v>
      </c>
    </row>
    <row r="2188" customFormat="false" ht="15" hidden="false" customHeight="true" outlineLevel="0" collapsed="false">
      <c r="A2188" s="15" t="n">
        <v>14960</v>
      </c>
      <c r="B2188" s="16" t="s">
        <v>23</v>
      </c>
      <c r="C2188" s="16" t="s">
        <v>4256</v>
      </c>
      <c r="D2188" s="16" t="s">
        <v>4287</v>
      </c>
      <c r="E2188" s="17" t="s">
        <v>4288</v>
      </c>
      <c r="F2188" s="16" t="n">
        <v>35.271874</v>
      </c>
      <c r="G2188" s="16" t="n">
        <v>44.383497</v>
      </c>
      <c r="H2188" s="18" t="n">
        <v>760</v>
      </c>
      <c r="I2188" s="18" t="n">
        <v>4560</v>
      </c>
      <c r="J2188" s="19"/>
      <c r="K2188" s="19"/>
      <c r="L2188" s="19"/>
      <c r="M2188" s="19"/>
      <c r="N2188" s="19"/>
      <c r="O2188" s="19"/>
      <c r="P2188" s="19"/>
      <c r="Q2188" s="19"/>
      <c r="R2188" s="19" t="n">
        <v>645</v>
      </c>
      <c r="S2188" s="19"/>
      <c r="T2188" s="19"/>
      <c r="U2188" s="19"/>
      <c r="V2188" s="19" t="n">
        <v>100</v>
      </c>
      <c r="W2188" s="19"/>
      <c r="X2188" s="19" t="n">
        <v>15</v>
      </c>
      <c r="Y2188" s="19"/>
      <c r="Z2188" s="19"/>
      <c r="AA2188" s="19"/>
      <c r="AB2188" s="19"/>
      <c r="AC2188" s="19"/>
      <c r="AD2188" s="19"/>
      <c r="AE2188" s="19" t="n">
        <v>760</v>
      </c>
      <c r="AF2188" s="19"/>
      <c r="AG2188" s="19"/>
      <c r="AH2188" s="19"/>
      <c r="AI2188" s="19"/>
      <c r="AJ2188" s="19"/>
      <c r="AK2188" s="19"/>
      <c r="AL2188" s="19"/>
      <c r="AM2188" s="19" t="n">
        <v>55</v>
      </c>
      <c r="AN2188" s="19" t="n">
        <v>60</v>
      </c>
      <c r="AO2188" s="19" t="n">
        <v>635</v>
      </c>
      <c r="AP2188" s="19"/>
      <c r="AQ2188" s="19"/>
      <c r="AR2188" s="19" t="n">
        <v>10</v>
      </c>
      <c r="AS2188" s="20" t="str">
        <f aca="false">HYPERLINK("http://www.openstreetmap.org/?mlat=35.2719&amp;mlon=44.3835&amp;zoom=12#map=12/35.2719/44.3835","Maplink1")</f>
        <v>Maplink1</v>
      </c>
      <c r="AT2188" s="20" t="str">
        <f aca="false">HYPERLINK("https://www.google.iq/maps/search/+35.2719,44.3835/@35.2719,44.3835,14z?hl=en","Maplink2")</f>
        <v>Maplink2</v>
      </c>
      <c r="AU2188" s="20" t="str">
        <f aca="false">HYPERLINK("http://www.bing.com/maps/?lvl=14&amp;sty=h&amp;cp=35.2719~44.3835&amp;sp=point.35.2719_44.3835","Maplink3")</f>
        <v>Maplink3</v>
      </c>
    </row>
    <row r="2189" customFormat="false" ht="15" hidden="false" customHeight="true" outlineLevel="0" collapsed="false">
      <c r="A2189" s="15" t="n">
        <v>24778</v>
      </c>
      <c r="B2189" s="16" t="s">
        <v>23</v>
      </c>
      <c r="C2189" s="16" t="s">
        <v>4256</v>
      </c>
      <c r="D2189" s="16" t="s">
        <v>4289</v>
      </c>
      <c r="E2189" s="17" t="s">
        <v>4290</v>
      </c>
      <c r="F2189" s="16" t="n">
        <v>35.327263</v>
      </c>
      <c r="G2189" s="16" t="n">
        <v>44.49611</v>
      </c>
      <c r="H2189" s="18" t="n">
        <v>609</v>
      </c>
      <c r="I2189" s="18" t="n">
        <v>3654</v>
      </c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 t="n">
        <v>609</v>
      </c>
      <c r="W2189" s="19"/>
      <c r="X2189" s="19"/>
      <c r="Y2189" s="19"/>
      <c r="Z2189" s="19"/>
      <c r="AA2189" s="19"/>
      <c r="AB2189" s="19" t="n">
        <v>609</v>
      </c>
      <c r="AC2189" s="19"/>
      <c r="AD2189" s="19"/>
      <c r="AE2189" s="19"/>
      <c r="AF2189" s="19"/>
      <c r="AG2189" s="19"/>
      <c r="AH2189" s="19"/>
      <c r="AI2189" s="19"/>
      <c r="AJ2189" s="19"/>
      <c r="AK2189" s="19"/>
      <c r="AL2189" s="19"/>
      <c r="AM2189" s="19" t="n">
        <v>260</v>
      </c>
      <c r="AN2189" s="19"/>
      <c r="AO2189" s="19" t="n">
        <v>293</v>
      </c>
      <c r="AP2189" s="19"/>
      <c r="AQ2189" s="19" t="n">
        <v>47</v>
      </c>
      <c r="AR2189" s="19" t="n">
        <v>9</v>
      </c>
      <c r="AS2189" s="20" t="str">
        <f aca="false">HYPERLINK("http://www.openstreetmap.org/?mlat=35.3273&amp;mlon=44.4961&amp;zoom=12#map=12/35.3273/44.4961","Maplink1")</f>
        <v>Maplink1</v>
      </c>
      <c r="AT2189" s="20" t="str">
        <f aca="false">HYPERLINK("https://www.google.iq/maps/search/+35.3273,44.4961/@35.3273,44.4961,14z?hl=en","Maplink2")</f>
        <v>Maplink2</v>
      </c>
      <c r="AU2189" s="20" t="str">
        <f aca="false">HYPERLINK("http://www.bing.com/maps/?lvl=14&amp;sty=h&amp;cp=35.3273~44.4961&amp;sp=point.35.3273_44.4961","Maplink3")</f>
        <v>Maplink3</v>
      </c>
    </row>
    <row r="2190" customFormat="false" ht="15" hidden="false" customHeight="true" outlineLevel="0" collapsed="false">
      <c r="A2190" s="15" t="n">
        <v>28476</v>
      </c>
      <c r="B2190" s="16" t="s">
        <v>23</v>
      </c>
      <c r="C2190" s="16" t="s">
        <v>4256</v>
      </c>
      <c r="D2190" s="16" t="s">
        <v>4291</v>
      </c>
      <c r="E2190" s="17" t="s">
        <v>4292</v>
      </c>
      <c r="F2190" s="16" t="n">
        <v>35.312227</v>
      </c>
      <c r="G2190" s="16" t="n">
        <v>44.438867</v>
      </c>
      <c r="H2190" s="18" t="n">
        <v>108</v>
      </c>
      <c r="I2190" s="18" t="n">
        <v>648</v>
      </c>
      <c r="J2190" s="19" t="n">
        <v>15</v>
      </c>
      <c r="K2190" s="19"/>
      <c r="L2190" s="19"/>
      <c r="M2190" s="19"/>
      <c r="N2190" s="19"/>
      <c r="O2190" s="19" t="n">
        <v>3</v>
      </c>
      <c r="P2190" s="19"/>
      <c r="Q2190" s="19"/>
      <c r="R2190" s="19" t="n">
        <v>80</v>
      </c>
      <c r="S2190" s="19"/>
      <c r="T2190" s="19"/>
      <c r="U2190" s="19"/>
      <c r="V2190" s="19" t="n">
        <v>3</v>
      </c>
      <c r="W2190" s="19"/>
      <c r="X2190" s="19" t="n">
        <v>7</v>
      </c>
      <c r="Y2190" s="19"/>
      <c r="Z2190" s="19"/>
      <c r="AA2190" s="19"/>
      <c r="AB2190" s="19"/>
      <c r="AC2190" s="19" t="n">
        <v>38</v>
      </c>
      <c r="AD2190" s="19"/>
      <c r="AE2190" s="19"/>
      <c r="AF2190" s="19"/>
      <c r="AG2190" s="19"/>
      <c r="AH2190" s="19" t="n">
        <v>40</v>
      </c>
      <c r="AI2190" s="19"/>
      <c r="AJ2190" s="19" t="n">
        <v>30</v>
      </c>
      <c r="AK2190" s="19"/>
      <c r="AL2190" s="19" t="n">
        <v>15</v>
      </c>
      <c r="AM2190" s="19" t="n">
        <v>30</v>
      </c>
      <c r="AN2190" s="19" t="n">
        <v>10</v>
      </c>
      <c r="AO2190" s="19" t="n">
        <v>10</v>
      </c>
      <c r="AP2190" s="19" t="n">
        <v>18</v>
      </c>
      <c r="AQ2190" s="19" t="n">
        <v>25</v>
      </c>
      <c r="AR2190" s="19"/>
      <c r="AS2190" s="20" t="str">
        <f aca="false">HYPERLINK("http://www.openstreetmap.org/?mlat=35.3122&amp;mlon=44.4389&amp;zoom=12#map=12/35.3122/44.4389","Maplink1")</f>
        <v>Maplink1</v>
      </c>
      <c r="AT2190" s="20" t="str">
        <f aca="false">HYPERLINK("https://www.google.iq/maps/search/+35.3122,44.4389/@35.3122,44.4389,14z?hl=en","Maplink2")</f>
        <v>Maplink2</v>
      </c>
      <c r="AU2190" s="20" t="str">
        <f aca="false">HYPERLINK("http://www.bing.com/maps/?lvl=14&amp;sty=h&amp;cp=35.3122~44.4389&amp;sp=point.35.3122_44.4389","Maplink3")</f>
        <v>Maplink3</v>
      </c>
    </row>
    <row r="2191" customFormat="false" ht="15" hidden="false" customHeight="true" outlineLevel="0" collapsed="false">
      <c r="A2191" s="15" t="n">
        <v>22289</v>
      </c>
      <c r="B2191" s="16" t="s">
        <v>23</v>
      </c>
      <c r="C2191" s="16" t="s">
        <v>23</v>
      </c>
      <c r="D2191" s="16" t="s">
        <v>4293</v>
      </c>
      <c r="E2191" s="17" t="s">
        <v>4294</v>
      </c>
      <c r="F2191" s="16" t="n">
        <v>35.480428</v>
      </c>
      <c r="G2191" s="16" t="n">
        <v>44.358837</v>
      </c>
      <c r="H2191" s="18" t="n">
        <v>800</v>
      </c>
      <c r="I2191" s="18" t="n">
        <v>4800</v>
      </c>
      <c r="J2191" s="19" t="n">
        <v>7</v>
      </c>
      <c r="K2191" s="19"/>
      <c r="L2191" s="19"/>
      <c r="M2191" s="19"/>
      <c r="N2191" s="19"/>
      <c r="O2191" s="19"/>
      <c r="P2191" s="19"/>
      <c r="Q2191" s="19"/>
      <c r="R2191" s="19" t="n">
        <v>560</v>
      </c>
      <c r="S2191" s="19"/>
      <c r="T2191" s="19"/>
      <c r="U2191" s="19"/>
      <c r="V2191" s="19" t="n">
        <v>160</v>
      </c>
      <c r="W2191" s="19"/>
      <c r="X2191" s="19" t="n">
        <v>73</v>
      </c>
      <c r="Y2191" s="19"/>
      <c r="Z2191" s="19"/>
      <c r="AA2191" s="19"/>
      <c r="AB2191" s="19"/>
      <c r="AC2191" s="19" t="n">
        <v>25</v>
      </c>
      <c r="AD2191" s="19"/>
      <c r="AE2191" s="19"/>
      <c r="AF2191" s="19"/>
      <c r="AG2191" s="19"/>
      <c r="AH2191" s="19" t="n">
        <v>765</v>
      </c>
      <c r="AI2191" s="19"/>
      <c r="AJ2191" s="19" t="n">
        <v>10</v>
      </c>
      <c r="AK2191" s="19"/>
      <c r="AL2191" s="19"/>
      <c r="AM2191" s="19" t="n">
        <v>20</v>
      </c>
      <c r="AN2191" s="19" t="n">
        <v>15</v>
      </c>
      <c r="AO2191" s="19" t="n">
        <v>114</v>
      </c>
      <c r="AP2191" s="19" t="n">
        <v>230</v>
      </c>
      <c r="AQ2191" s="19" t="n">
        <v>255</v>
      </c>
      <c r="AR2191" s="19" t="n">
        <v>166</v>
      </c>
      <c r="AS2191" s="20" t="str">
        <f aca="false">HYPERLINK("http://www.openstreetmap.org/?mlat=35.4804&amp;mlon=44.3588&amp;zoom=12#map=12/35.4804/44.3588","Maplink1")</f>
        <v>Maplink1</v>
      </c>
      <c r="AT2191" s="20" t="str">
        <f aca="false">HYPERLINK("https://www.google.iq/maps/search/+35.4804,44.3588/@35.4804,44.3588,14z?hl=en","Maplink2")</f>
        <v>Maplink2</v>
      </c>
      <c r="AU2191" s="20" t="str">
        <f aca="false">HYPERLINK("http://www.bing.com/maps/?lvl=14&amp;sty=h&amp;cp=35.4804~44.3588&amp;sp=point.35.4804_44.3588","Maplink3")</f>
        <v>Maplink3</v>
      </c>
    </row>
    <row r="2192" customFormat="false" ht="15" hidden="false" customHeight="true" outlineLevel="0" collapsed="false">
      <c r="A2192" s="15" t="n">
        <v>24359</v>
      </c>
      <c r="B2192" s="16" t="s">
        <v>23</v>
      </c>
      <c r="C2192" s="16" t="s">
        <v>23</v>
      </c>
      <c r="D2192" s="16" t="s">
        <v>4295</v>
      </c>
      <c r="E2192" s="17" t="s">
        <v>4296</v>
      </c>
      <c r="F2192" s="16" t="n">
        <v>35.500082</v>
      </c>
      <c r="G2192" s="16" t="n">
        <v>44.391612</v>
      </c>
      <c r="H2192" s="18" t="n">
        <v>752</v>
      </c>
      <c r="I2192" s="18" t="n">
        <v>4512</v>
      </c>
      <c r="J2192" s="19" t="n">
        <v>305</v>
      </c>
      <c r="K2192" s="19"/>
      <c r="L2192" s="19"/>
      <c r="M2192" s="19"/>
      <c r="N2192" s="19"/>
      <c r="O2192" s="19"/>
      <c r="P2192" s="19"/>
      <c r="Q2192" s="19"/>
      <c r="R2192" s="19" t="n">
        <v>160</v>
      </c>
      <c r="S2192" s="19"/>
      <c r="T2192" s="19"/>
      <c r="U2192" s="19"/>
      <c r="V2192" s="19" t="n">
        <v>57</v>
      </c>
      <c r="W2192" s="19"/>
      <c r="X2192" s="19" t="n">
        <v>230</v>
      </c>
      <c r="Y2192" s="19"/>
      <c r="Z2192" s="19"/>
      <c r="AA2192" s="19"/>
      <c r="AB2192" s="19"/>
      <c r="AC2192" s="19"/>
      <c r="AD2192" s="19"/>
      <c r="AE2192" s="19"/>
      <c r="AF2192" s="19"/>
      <c r="AG2192" s="19"/>
      <c r="AH2192" s="19" t="n">
        <v>752</v>
      </c>
      <c r="AI2192" s="19"/>
      <c r="AJ2192" s="19"/>
      <c r="AK2192" s="19"/>
      <c r="AL2192" s="19" t="n">
        <v>80</v>
      </c>
      <c r="AM2192" s="19" t="n">
        <v>130</v>
      </c>
      <c r="AN2192" s="19"/>
      <c r="AO2192" s="19" t="n">
        <v>215</v>
      </c>
      <c r="AP2192" s="19" t="n">
        <v>250</v>
      </c>
      <c r="AQ2192" s="19" t="n">
        <v>50</v>
      </c>
      <c r="AR2192" s="19" t="n">
        <v>27</v>
      </c>
      <c r="AS2192" s="20" t="str">
        <f aca="false">HYPERLINK("http://www.openstreetmap.org/?mlat=35.5001&amp;mlon=44.3916&amp;zoom=12#map=12/35.5001/44.3916","Maplink1")</f>
        <v>Maplink1</v>
      </c>
      <c r="AT2192" s="20" t="str">
        <f aca="false">HYPERLINK("https://www.google.iq/maps/search/+35.5001,44.3916/@35.5001,44.3916,14z?hl=en","Maplink2")</f>
        <v>Maplink2</v>
      </c>
      <c r="AU2192" s="20" t="str">
        <f aca="false">HYPERLINK("http://www.bing.com/maps/?lvl=14&amp;sty=h&amp;cp=35.5001~44.3916&amp;sp=point.35.5001_44.3916","Maplink3")</f>
        <v>Maplink3</v>
      </c>
    </row>
    <row r="2193" customFormat="false" ht="15" hidden="false" customHeight="true" outlineLevel="0" collapsed="false">
      <c r="A2193" s="15" t="n">
        <v>14984</v>
      </c>
      <c r="B2193" s="16" t="s">
        <v>23</v>
      </c>
      <c r="C2193" s="16" t="s">
        <v>23</v>
      </c>
      <c r="D2193" s="16" t="s">
        <v>4297</v>
      </c>
      <c r="E2193" s="17" t="s">
        <v>4298</v>
      </c>
      <c r="F2193" s="16" t="n">
        <v>35.44</v>
      </c>
      <c r="G2193" s="16" t="n">
        <v>44.35</v>
      </c>
      <c r="H2193" s="18" t="n">
        <v>1580</v>
      </c>
      <c r="I2193" s="18" t="n">
        <v>9480</v>
      </c>
      <c r="J2193" s="19" t="n">
        <v>455</v>
      </c>
      <c r="K2193" s="19"/>
      <c r="L2193" s="19"/>
      <c r="M2193" s="19"/>
      <c r="N2193" s="19"/>
      <c r="O2193" s="19"/>
      <c r="P2193" s="19"/>
      <c r="Q2193" s="19"/>
      <c r="R2193" s="19" t="n">
        <v>935</v>
      </c>
      <c r="S2193" s="19"/>
      <c r="T2193" s="19"/>
      <c r="U2193" s="19"/>
      <c r="V2193" s="19" t="n">
        <v>150</v>
      </c>
      <c r="W2193" s="19"/>
      <c r="X2193" s="19" t="n">
        <v>40</v>
      </c>
      <c r="Y2193" s="19"/>
      <c r="Z2193" s="19"/>
      <c r="AA2193" s="19"/>
      <c r="AB2193" s="19"/>
      <c r="AC2193" s="19" t="n">
        <v>40</v>
      </c>
      <c r="AD2193" s="19"/>
      <c r="AE2193" s="19"/>
      <c r="AF2193" s="19"/>
      <c r="AG2193" s="19"/>
      <c r="AH2193" s="19" t="n">
        <v>1420</v>
      </c>
      <c r="AI2193" s="19"/>
      <c r="AJ2193" s="19" t="n">
        <v>120</v>
      </c>
      <c r="AK2193" s="19"/>
      <c r="AL2193" s="19" t="n">
        <v>520</v>
      </c>
      <c r="AM2193" s="19" t="n">
        <v>300</v>
      </c>
      <c r="AN2193" s="19"/>
      <c r="AO2193" s="19" t="n">
        <v>210</v>
      </c>
      <c r="AP2193" s="19" t="n">
        <v>165</v>
      </c>
      <c r="AQ2193" s="19" t="n">
        <v>190</v>
      </c>
      <c r="AR2193" s="19" t="n">
        <v>195</v>
      </c>
      <c r="AS2193" s="20" t="str">
        <f aca="false">HYPERLINK("http://www.openstreetmap.org/?mlat=35.44&amp;mlon=44.35&amp;zoom=12#map=12/35.44/44.35","Maplink1")</f>
        <v>Maplink1</v>
      </c>
      <c r="AT2193" s="20" t="str">
        <f aca="false">HYPERLINK("https://www.google.iq/maps/search/+35.44,44.35/@35.44,44.35,14z?hl=en","Maplink2")</f>
        <v>Maplink2</v>
      </c>
      <c r="AU2193" s="20" t="str">
        <f aca="false">HYPERLINK("http://www.bing.com/maps/?lvl=14&amp;sty=h&amp;cp=35.44~44.35&amp;sp=point.35.44_44.35","Maplink3")</f>
        <v>Maplink3</v>
      </c>
    </row>
    <row r="2194" customFormat="false" ht="15" hidden="false" customHeight="true" outlineLevel="0" collapsed="false">
      <c r="A2194" s="15" t="n">
        <v>24084</v>
      </c>
      <c r="B2194" s="16" t="s">
        <v>23</v>
      </c>
      <c r="C2194" s="16" t="s">
        <v>23</v>
      </c>
      <c r="D2194" s="16" t="s">
        <v>4299</v>
      </c>
      <c r="E2194" s="17" t="s">
        <v>4300</v>
      </c>
      <c r="F2194" s="16" t="n">
        <v>35.397836</v>
      </c>
      <c r="G2194" s="16" t="n">
        <v>44.401615</v>
      </c>
      <c r="H2194" s="18" t="n">
        <v>1550</v>
      </c>
      <c r="I2194" s="18" t="n">
        <v>9300</v>
      </c>
      <c r="J2194" s="19" t="n">
        <v>395</v>
      </c>
      <c r="K2194" s="19"/>
      <c r="L2194" s="19"/>
      <c r="M2194" s="19"/>
      <c r="N2194" s="19"/>
      <c r="O2194" s="19" t="n">
        <v>25</v>
      </c>
      <c r="P2194" s="19"/>
      <c r="Q2194" s="19"/>
      <c r="R2194" s="19" t="n">
        <v>710</v>
      </c>
      <c r="S2194" s="19"/>
      <c r="T2194" s="19"/>
      <c r="U2194" s="19"/>
      <c r="V2194" s="19" t="n">
        <v>150</v>
      </c>
      <c r="W2194" s="19"/>
      <c r="X2194" s="19" t="n">
        <v>270</v>
      </c>
      <c r="Y2194" s="19"/>
      <c r="Z2194" s="19"/>
      <c r="AA2194" s="19"/>
      <c r="AB2194" s="19"/>
      <c r="AC2194" s="19" t="n">
        <v>40</v>
      </c>
      <c r="AD2194" s="19"/>
      <c r="AE2194" s="19"/>
      <c r="AF2194" s="19"/>
      <c r="AG2194" s="19"/>
      <c r="AH2194" s="19" t="n">
        <v>1495</v>
      </c>
      <c r="AI2194" s="19"/>
      <c r="AJ2194" s="19" t="n">
        <v>15</v>
      </c>
      <c r="AK2194" s="19"/>
      <c r="AL2194" s="19" t="n">
        <v>385</v>
      </c>
      <c r="AM2194" s="19" t="n">
        <v>360</v>
      </c>
      <c r="AN2194" s="19" t="n">
        <v>10</v>
      </c>
      <c r="AO2194" s="19" t="n">
        <v>534</v>
      </c>
      <c r="AP2194" s="19" t="n">
        <v>173</v>
      </c>
      <c r="AQ2194" s="19" t="n">
        <v>84</v>
      </c>
      <c r="AR2194" s="19" t="n">
        <v>4</v>
      </c>
      <c r="AS2194" s="20" t="str">
        <f aca="false">HYPERLINK("http://www.openstreetmap.org/?mlat=35.3978&amp;mlon=44.4016&amp;zoom=12#map=12/35.3978/44.4016","Maplink1")</f>
        <v>Maplink1</v>
      </c>
      <c r="AT2194" s="20" t="str">
        <f aca="false">HYPERLINK("https://www.google.iq/maps/search/+35.3978,44.4016/@35.3978,44.4016,14z?hl=en","Maplink2")</f>
        <v>Maplink2</v>
      </c>
      <c r="AU2194" s="20" t="str">
        <f aca="false">HYPERLINK("http://www.bing.com/maps/?lvl=14&amp;sty=h&amp;cp=35.3978~44.4016&amp;sp=point.35.3978_44.4016","Maplink3")</f>
        <v>Maplink3</v>
      </c>
    </row>
    <row r="2195" customFormat="false" ht="15" hidden="false" customHeight="true" outlineLevel="0" collapsed="false">
      <c r="A2195" s="15" t="n">
        <v>24453</v>
      </c>
      <c r="B2195" s="16" t="s">
        <v>23</v>
      </c>
      <c r="C2195" s="16" t="s">
        <v>23</v>
      </c>
      <c r="D2195" s="16" t="s">
        <v>4301</v>
      </c>
      <c r="E2195" s="17" t="s">
        <v>4302</v>
      </c>
      <c r="F2195" s="16" t="n">
        <v>35.388361</v>
      </c>
      <c r="G2195" s="16" t="n">
        <v>44.351849</v>
      </c>
      <c r="H2195" s="18" t="n">
        <v>460</v>
      </c>
      <c r="I2195" s="18" t="n">
        <v>2760</v>
      </c>
      <c r="J2195" s="19" t="n">
        <v>10</v>
      </c>
      <c r="K2195" s="19"/>
      <c r="L2195" s="19"/>
      <c r="M2195" s="19"/>
      <c r="N2195" s="19"/>
      <c r="O2195" s="19"/>
      <c r="P2195" s="19"/>
      <c r="Q2195" s="19"/>
      <c r="R2195" s="19" t="n">
        <v>420</v>
      </c>
      <c r="S2195" s="19"/>
      <c r="T2195" s="19"/>
      <c r="U2195" s="19"/>
      <c r="V2195" s="19"/>
      <c r="W2195" s="19"/>
      <c r="X2195" s="19" t="n">
        <v>30</v>
      </c>
      <c r="Y2195" s="19"/>
      <c r="Z2195" s="19"/>
      <c r="AA2195" s="19"/>
      <c r="AB2195" s="19"/>
      <c r="AC2195" s="19" t="n">
        <v>75</v>
      </c>
      <c r="AD2195" s="19"/>
      <c r="AE2195" s="19"/>
      <c r="AF2195" s="19"/>
      <c r="AG2195" s="19"/>
      <c r="AH2195" s="19" t="n">
        <v>285</v>
      </c>
      <c r="AI2195" s="19"/>
      <c r="AJ2195" s="19" t="n">
        <v>100</v>
      </c>
      <c r="AK2195" s="19"/>
      <c r="AL2195" s="19"/>
      <c r="AM2195" s="19"/>
      <c r="AN2195" s="19" t="n">
        <v>25</v>
      </c>
      <c r="AO2195" s="19" t="n">
        <v>45</v>
      </c>
      <c r="AP2195" s="19" t="n">
        <v>40</v>
      </c>
      <c r="AQ2195" s="19" t="n">
        <v>165</v>
      </c>
      <c r="AR2195" s="19" t="n">
        <v>185</v>
      </c>
      <c r="AS2195" s="20" t="str">
        <f aca="false">HYPERLINK("http://www.openstreetmap.org/?mlat=35.3884&amp;mlon=44.3518&amp;zoom=12#map=12/35.3884/44.3518","Maplink1")</f>
        <v>Maplink1</v>
      </c>
      <c r="AT2195" s="20" t="str">
        <f aca="false">HYPERLINK("https://www.google.iq/maps/search/+35.3884,44.3518/@35.3884,44.3518,14z?hl=en","Maplink2")</f>
        <v>Maplink2</v>
      </c>
      <c r="AU2195" s="20" t="str">
        <f aca="false">HYPERLINK("http://www.bing.com/maps/?lvl=14&amp;sty=h&amp;cp=35.3884~44.3518&amp;sp=point.35.3884_44.3518","Maplink3")</f>
        <v>Maplink3</v>
      </c>
    </row>
    <row r="2196" customFormat="false" ht="15" hidden="false" customHeight="true" outlineLevel="0" collapsed="false">
      <c r="A2196" s="15" t="n">
        <v>14813</v>
      </c>
      <c r="B2196" s="16" t="s">
        <v>23</v>
      </c>
      <c r="C2196" s="16" t="s">
        <v>23</v>
      </c>
      <c r="D2196" s="16" t="s">
        <v>4303</v>
      </c>
      <c r="E2196" s="17" t="s">
        <v>4304</v>
      </c>
      <c r="F2196" s="16" t="n">
        <v>35.415974</v>
      </c>
      <c r="G2196" s="16" t="n">
        <v>44.421178</v>
      </c>
      <c r="H2196" s="18" t="n">
        <v>2490</v>
      </c>
      <c r="I2196" s="18" t="n">
        <v>14940</v>
      </c>
      <c r="J2196" s="19" t="n">
        <v>935</v>
      </c>
      <c r="K2196" s="19"/>
      <c r="L2196" s="19"/>
      <c r="M2196" s="19"/>
      <c r="N2196" s="19"/>
      <c r="O2196" s="19" t="n">
        <v>10</v>
      </c>
      <c r="P2196" s="19"/>
      <c r="Q2196" s="19"/>
      <c r="R2196" s="19" t="n">
        <v>775</v>
      </c>
      <c r="S2196" s="19"/>
      <c r="T2196" s="19"/>
      <c r="U2196" s="19"/>
      <c r="V2196" s="19" t="n">
        <v>635</v>
      </c>
      <c r="W2196" s="19"/>
      <c r="X2196" s="19" t="n">
        <v>135</v>
      </c>
      <c r="Y2196" s="19"/>
      <c r="Z2196" s="19"/>
      <c r="AA2196" s="19"/>
      <c r="AB2196" s="19"/>
      <c r="AC2196" s="19" t="n">
        <v>65</v>
      </c>
      <c r="AD2196" s="19"/>
      <c r="AE2196" s="19" t="n">
        <v>30</v>
      </c>
      <c r="AF2196" s="19"/>
      <c r="AG2196" s="19"/>
      <c r="AH2196" s="19" t="n">
        <v>2155</v>
      </c>
      <c r="AI2196" s="19"/>
      <c r="AJ2196" s="19" t="n">
        <v>240</v>
      </c>
      <c r="AK2196" s="19"/>
      <c r="AL2196" s="19" t="n">
        <v>925</v>
      </c>
      <c r="AM2196" s="19" t="n">
        <v>55</v>
      </c>
      <c r="AN2196" s="19"/>
      <c r="AO2196" s="19" t="n">
        <v>1020</v>
      </c>
      <c r="AP2196" s="19" t="n">
        <v>180</v>
      </c>
      <c r="AQ2196" s="19" t="n">
        <v>170</v>
      </c>
      <c r="AR2196" s="19" t="n">
        <v>140</v>
      </c>
      <c r="AS2196" s="20" t="str">
        <f aca="false">HYPERLINK("http://www.openstreetmap.org/?mlat=35.416&amp;mlon=44.4212&amp;zoom=12#map=12/35.416/44.4212","Maplink1")</f>
        <v>Maplink1</v>
      </c>
      <c r="AT2196" s="20" t="str">
        <f aca="false">HYPERLINK("https://www.google.iq/maps/search/+35.416,44.4212/@35.416,44.4212,14z?hl=en","Maplink2")</f>
        <v>Maplink2</v>
      </c>
      <c r="AU2196" s="20" t="str">
        <f aca="false">HYPERLINK("http://www.bing.com/maps/?lvl=14&amp;sty=h&amp;cp=35.416~44.4212&amp;sp=point.35.416_44.4212","Maplink3")</f>
        <v>Maplink3</v>
      </c>
    </row>
    <row r="2197" customFormat="false" ht="15" hidden="false" customHeight="true" outlineLevel="0" collapsed="false">
      <c r="A2197" s="15" t="n">
        <v>15648</v>
      </c>
      <c r="B2197" s="16" t="s">
        <v>23</v>
      </c>
      <c r="C2197" s="16" t="s">
        <v>23</v>
      </c>
      <c r="D2197" s="16" t="s">
        <v>4305</v>
      </c>
      <c r="E2197" s="17" t="s">
        <v>4306</v>
      </c>
      <c r="F2197" s="16" t="n">
        <v>35.38083335</v>
      </c>
      <c r="G2197" s="16" t="n">
        <v>44.3294445</v>
      </c>
      <c r="H2197" s="18" t="n">
        <v>500</v>
      </c>
      <c r="I2197" s="18" t="n">
        <v>3000</v>
      </c>
      <c r="J2197" s="19" t="n">
        <v>3</v>
      </c>
      <c r="K2197" s="19"/>
      <c r="L2197" s="19"/>
      <c r="M2197" s="19"/>
      <c r="N2197" s="19"/>
      <c r="O2197" s="19" t="n">
        <v>2</v>
      </c>
      <c r="P2197" s="19"/>
      <c r="Q2197" s="19"/>
      <c r="R2197" s="19" t="n">
        <v>482</v>
      </c>
      <c r="S2197" s="19"/>
      <c r="T2197" s="19"/>
      <c r="U2197" s="19"/>
      <c r="V2197" s="19" t="n">
        <v>10</v>
      </c>
      <c r="W2197" s="19"/>
      <c r="X2197" s="19" t="n">
        <v>3</v>
      </c>
      <c r="Y2197" s="19"/>
      <c r="Z2197" s="19"/>
      <c r="AA2197" s="19"/>
      <c r="AB2197" s="19"/>
      <c r="AC2197" s="19"/>
      <c r="AD2197" s="19"/>
      <c r="AE2197" s="19"/>
      <c r="AF2197" s="19"/>
      <c r="AG2197" s="19"/>
      <c r="AH2197" s="19" t="n">
        <v>500</v>
      </c>
      <c r="AI2197" s="19"/>
      <c r="AJ2197" s="19"/>
      <c r="AK2197" s="19"/>
      <c r="AL2197" s="19"/>
      <c r="AM2197" s="19" t="n">
        <v>18</v>
      </c>
      <c r="AN2197" s="19"/>
      <c r="AO2197" s="19" t="n">
        <v>125</v>
      </c>
      <c r="AP2197" s="19" t="n">
        <v>87</v>
      </c>
      <c r="AQ2197" s="19" t="n">
        <v>170</v>
      </c>
      <c r="AR2197" s="19" t="n">
        <v>100</v>
      </c>
      <c r="AS2197" s="20" t="str">
        <f aca="false">HYPERLINK("http://www.openstreetmap.org/?mlat=35.3808&amp;mlon=44.3294&amp;zoom=12#map=12/35.3808/44.3294","Maplink1")</f>
        <v>Maplink1</v>
      </c>
      <c r="AT2197" s="20" t="str">
        <f aca="false">HYPERLINK("https://www.google.iq/maps/search/+35.3808,44.3294/@35.3808,44.3294,14z?hl=en","Maplink2")</f>
        <v>Maplink2</v>
      </c>
      <c r="AU2197" s="20" t="str">
        <f aca="false">HYPERLINK("http://www.bing.com/maps/?lvl=14&amp;sty=h&amp;cp=35.3808~44.3294&amp;sp=point.35.3808_44.3294","Maplink3")</f>
        <v>Maplink3</v>
      </c>
    </row>
    <row r="2198" customFormat="false" ht="15" hidden="false" customHeight="true" outlineLevel="0" collapsed="false">
      <c r="A2198" s="15" t="n">
        <v>15433</v>
      </c>
      <c r="B2198" s="16" t="s">
        <v>23</v>
      </c>
      <c r="C2198" s="16" t="s">
        <v>23</v>
      </c>
      <c r="D2198" s="16" t="s">
        <v>4307</v>
      </c>
      <c r="E2198" s="17" t="s">
        <v>4308</v>
      </c>
      <c r="F2198" s="16" t="n">
        <v>35.503444</v>
      </c>
      <c r="G2198" s="16" t="n">
        <v>44.333194</v>
      </c>
      <c r="H2198" s="18" t="n">
        <v>2409</v>
      </c>
      <c r="I2198" s="18" t="n">
        <v>14454</v>
      </c>
      <c r="J2198" s="19" t="n">
        <v>143</v>
      </c>
      <c r="K2198" s="19"/>
      <c r="L2198" s="19" t="n">
        <v>3</v>
      </c>
      <c r="M2198" s="19"/>
      <c r="N2198" s="19"/>
      <c r="O2198" s="19"/>
      <c r="P2198" s="19"/>
      <c r="Q2198" s="19"/>
      <c r="R2198" s="19" t="n">
        <v>1883</v>
      </c>
      <c r="S2198" s="19"/>
      <c r="T2198" s="19"/>
      <c r="U2198" s="19"/>
      <c r="V2198" s="19" t="n">
        <v>350</v>
      </c>
      <c r="W2198" s="19"/>
      <c r="X2198" s="19" t="n">
        <v>30</v>
      </c>
      <c r="Y2198" s="19"/>
      <c r="Z2198" s="19"/>
      <c r="AA2198" s="19"/>
      <c r="AB2198" s="19"/>
      <c r="AC2198" s="19" t="n">
        <v>120</v>
      </c>
      <c r="AD2198" s="19"/>
      <c r="AE2198" s="19" t="n">
        <v>35</v>
      </c>
      <c r="AF2198" s="19"/>
      <c r="AG2198" s="19"/>
      <c r="AH2198" s="19" t="n">
        <v>2239</v>
      </c>
      <c r="AI2198" s="19"/>
      <c r="AJ2198" s="19" t="n">
        <v>15</v>
      </c>
      <c r="AK2198" s="19"/>
      <c r="AL2198" s="19" t="n">
        <v>130</v>
      </c>
      <c r="AM2198" s="19" t="n">
        <v>55</v>
      </c>
      <c r="AN2198" s="19" t="n">
        <v>231</v>
      </c>
      <c r="AO2198" s="19" t="n">
        <v>305</v>
      </c>
      <c r="AP2198" s="19" t="n">
        <v>578</v>
      </c>
      <c r="AQ2198" s="19" t="n">
        <v>585</v>
      </c>
      <c r="AR2198" s="19" t="n">
        <v>525</v>
      </c>
      <c r="AS2198" s="20" t="str">
        <f aca="false">HYPERLINK("http://www.openstreetmap.org/?mlat=35.5034&amp;mlon=44.3332&amp;zoom=12#map=12/35.5034/44.3332","Maplink1")</f>
        <v>Maplink1</v>
      </c>
      <c r="AT2198" s="20" t="str">
        <f aca="false">HYPERLINK("https://www.google.iq/maps/search/+35.5034,44.3332/@35.5034,44.3332,14z?hl=en","Maplink2")</f>
        <v>Maplink2</v>
      </c>
      <c r="AU2198" s="20" t="str">
        <f aca="false">HYPERLINK("http://www.bing.com/maps/?lvl=14&amp;sty=h&amp;cp=35.5034~44.3332&amp;sp=point.35.5034_44.3332","Maplink3")</f>
        <v>Maplink3</v>
      </c>
    </row>
    <row r="2199" customFormat="false" ht="15" hidden="false" customHeight="true" outlineLevel="0" collapsed="false">
      <c r="A2199" s="15" t="n">
        <v>24807</v>
      </c>
      <c r="B2199" s="16" t="s">
        <v>23</v>
      </c>
      <c r="C2199" s="16" t="s">
        <v>23</v>
      </c>
      <c r="D2199" s="16" t="s">
        <v>4309</v>
      </c>
      <c r="E2199" s="17" t="s">
        <v>4310</v>
      </c>
      <c r="F2199" s="16" t="n">
        <v>35.463933</v>
      </c>
      <c r="G2199" s="16" t="n">
        <v>44.381559</v>
      </c>
      <c r="H2199" s="18" t="n">
        <v>162</v>
      </c>
      <c r="I2199" s="18" t="n">
        <v>972</v>
      </c>
      <c r="J2199" s="19" t="n">
        <v>40</v>
      </c>
      <c r="K2199" s="19"/>
      <c r="L2199" s="19"/>
      <c r="M2199" s="19"/>
      <c r="N2199" s="19"/>
      <c r="O2199" s="19"/>
      <c r="P2199" s="19"/>
      <c r="Q2199" s="19"/>
      <c r="R2199" s="19" t="n">
        <v>78</v>
      </c>
      <c r="S2199" s="19"/>
      <c r="T2199" s="19"/>
      <c r="U2199" s="19"/>
      <c r="V2199" s="19" t="n">
        <v>28</v>
      </c>
      <c r="W2199" s="19"/>
      <c r="X2199" s="19" t="n">
        <v>16</v>
      </c>
      <c r="Y2199" s="19"/>
      <c r="Z2199" s="19"/>
      <c r="AA2199" s="19"/>
      <c r="AB2199" s="19"/>
      <c r="AC2199" s="19"/>
      <c r="AD2199" s="19"/>
      <c r="AE2199" s="19"/>
      <c r="AF2199" s="19"/>
      <c r="AG2199" s="19"/>
      <c r="AH2199" s="19" t="n">
        <v>162</v>
      </c>
      <c r="AI2199" s="19"/>
      <c r="AJ2199" s="19"/>
      <c r="AK2199" s="19"/>
      <c r="AL2199" s="19"/>
      <c r="AM2199" s="19"/>
      <c r="AN2199" s="19"/>
      <c r="AO2199" s="19" t="n">
        <v>30</v>
      </c>
      <c r="AP2199" s="19" t="n">
        <v>77</v>
      </c>
      <c r="AQ2199" s="19" t="n">
        <v>50</v>
      </c>
      <c r="AR2199" s="19" t="n">
        <v>5</v>
      </c>
      <c r="AS2199" s="20" t="str">
        <f aca="false">HYPERLINK("http://www.openstreetmap.org/?mlat=35.4639&amp;mlon=44.3816&amp;zoom=12#map=12/35.4639/44.3816","Maplink1")</f>
        <v>Maplink1</v>
      </c>
      <c r="AT2199" s="20" t="str">
        <f aca="false">HYPERLINK("https://www.google.iq/maps/search/+35.4639,44.3816/@35.4639,44.3816,14z?hl=en","Maplink2")</f>
        <v>Maplink2</v>
      </c>
      <c r="AU2199" s="20" t="str">
        <f aca="false">HYPERLINK("http://www.bing.com/maps/?lvl=14&amp;sty=h&amp;cp=35.4639~44.3816&amp;sp=point.35.4639_44.3816","Maplink3")</f>
        <v>Maplink3</v>
      </c>
    </row>
    <row r="2200" customFormat="false" ht="15" hidden="false" customHeight="true" outlineLevel="0" collapsed="false">
      <c r="A2200" s="15" t="n">
        <v>15449</v>
      </c>
      <c r="B2200" s="16" t="s">
        <v>23</v>
      </c>
      <c r="C2200" s="16" t="s">
        <v>23</v>
      </c>
      <c r="D2200" s="16" t="s">
        <v>4311</v>
      </c>
      <c r="E2200" s="17" t="s">
        <v>4312</v>
      </c>
      <c r="F2200" s="16" t="n">
        <v>35.539778</v>
      </c>
      <c r="G2200" s="16" t="n">
        <v>44.282111</v>
      </c>
      <c r="H2200" s="18" t="n">
        <v>140</v>
      </c>
      <c r="I2200" s="18" t="n">
        <v>840</v>
      </c>
      <c r="J2200" s="19" t="n">
        <v>15</v>
      </c>
      <c r="K2200" s="19"/>
      <c r="L2200" s="19"/>
      <c r="M2200" s="19"/>
      <c r="N2200" s="19"/>
      <c r="O2200" s="19"/>
      <c r="P2200" s="19"/>
      <c r="Q2200" s="19"/>
      <c r="R2200" s="19" t="n">
        <v>95</v>
      </c>
      <c r="S2200" s="19"/>
      <c r="T2200" s="19"/>
      <c r="U2200" s="19"/>
      <c r="V2200" s="19" t="n">
        <v>20</v>
      </c>
      <c r="W2200" s="19"/>
      <c r="X2200" s="19" t="n">
        <v>10</v>
      </c>
      <c r="Y2200" s="19"/>
      <c r="Z2200" s="19"/>
      <c r="AA2200" s="19"/>
      <c r="AB2200" s="19"/>
      <c r="AC2200" s="19" t="n">
        <v>25</v>
      </c>
      <c r="AD2200" s="19"/>
      <c r="AE2200" s="19"/>
      <c r="AF2200" s="19"/>
      <c r="AG2200" s="19"/>
      <c r="AH2200" s="19" t="n">
        <v>100</v>
      </c>
      <c r="AI2200" s="19"/>
      <c r="AJ2200" s="19" t="n">
        <v>15</v>
      </c>
      <c r="AK2200" s="19"/>
      <c r="AL2200" s="19"/>
      <c r="AM2200" s="19" t="n">
        <v>15</v>
      </c>
      <c r="AN2200" s="19"/>
      <c r="AO2200" s="19" t="n">
        <v>90</v>
      </c>
      <c r="AP2200" s="19" t="n">
        <v>10</v>
      </c>
      <c r="AQ2200" s="19"/>
      <c r="AR2200" s="19" t="n">
        <v>25</v>
      </c>
      <c r="AS2200" s="20" t="str">
        <f aca="false">HYPERLINK("http://www.openstreetmap.org/?mlat=35.5398&amp;mlon=44.2821&amp;zoom=12#map=12/35.5398/44.2821","Maplink1")</f>
        <v>Maplink1</v>
      </c>
      <c r="AT2200" s="20" t="str">
        <f aca="false">HYPERLINK("https://www.google.iq/maps/search/+35.5398,44.2821/@35.5398,44.2821,14z?hl=en","Maplink2")</f>
        <v>Maplink2</v>
      </c>
      <c r="AU2200" s="20" t="str">
        <f aca="false">HYPERLINK("http://www.bing.com/maps/?lvl=14&amp;sty=h&amp;cp=35.5398~44.2821&amp;sp=point.35.5398_44.2821","Maplink3")</f>
        <v>Maplink3</v>
      </c>
    </row>
    <row r="2201" customFormat="false" ht="15" hidden="false" customHeight="true" outlineLevel="0" collapsed="false">
      <c r="A2201" s="15" t="n">
        <v>22847</v>
      </c>
      <c r="B2201" s="16" t="s">
        <v>23</v>
      </c>
      <c r="C2201" s="16" t="s">
        <v>23</v>
      </c>
      <c r="D2201" s="16" t="s">
        <v>4313</v>
      </c>
      <c r="E2201" s="17" t="s">
        <v>4314</v>
      </c>
      <c r="F2201" s="16" t="n">
        <v>35.2337</v>
      </c>
      <c r="G2201" s="16" t="n">
        <v>44.1844</v>
      </c>
      <c r="H2201" s="18" t="n">
        <v>158</v>
      </c>
      <c r="I2201" s="18" t="n">
        <v>948</v>
      </c>
      <c r="J2201" s="19"/>
      <c r="K2201" s="19"/>
      <c r="L2201" s="19"/>
      <c r="M2201" s="19"/>
      <c r="N2201" s="19"/>
      <c r="O2201" s="19"/>
      <c r="P2201" s="19"/>
      <c r="Q2201" s="19"/>
      <c r="R2201" s="19" t="n">
        <v>153</v>
      </c>
      <c r="S2201" s="19"/>
      <c r="T2201" s="19"/>
      <c r="U2201" s="19"/>
      <c r="V2201" s="19" t="n">
        <v>5</v>
      </c>
      <c r="W2201" s="19"/>
      <c r="X2201" s="19"/>
      <c r="Y2201" s="19"/>
      <c r="Z2201" s="19"/>
      <c r="AA2201" s="19"/>
      <c r="AB2201" s="19"/>
      <c r="AC2201" s="19" t="n">
        <v>18</v>
      </c>
      <c r="AD2201" s="19"/>
      <c r="AE2201" s="19"/>
      <c r="AF2201" s="19"/>
      <c r="AG2201" s="19"/>
      <c r="AH2201" s="19" t="n">
        <v>98</v>
      </c>
      <c r="AI2201" s="19"/>
      <c r="AJ2201" s="19" t="n">
        <v>42</v>
      </c>
      <c r="AK2201" s="19"/>
      <c r="AL2201" s="19"/>
      <c r="AM2201" s="19" t="n">
        <v>20</v>
      </c>
      <c r="AN2201" s="19" t="n">
        <v>35</v>
      </c>
      <c r="AO2201" s="19"/>
      <c r="AP2201" s="19" t="n">
        <v>42</v>
      </c>
      <c r="AQ2201" s="19" t="n">
        <v>23</v>
      </c>
      <c r="AR2201" s="19" t="n">
        <v>38</v>
      </c>
      <c r="AS2201" s="20" t="str">
        <f aca="false">HYPERLINK("http://www.openstreetmap.org/?mlat=35.2337&amp;mlon=44.1844&amp;zoom=12#map=12/35.2337/44.1844","Maplink1")</f>
        <v>Maplink1</v>
      </c>
      <c r="AT2201" s="20" t="str">
        <f aca="false">HYPERLINK("https://www.google.iq/maps/search/+35.2337,44.1844/@35.2337,44.1844,14z?hl=en","Maplink2")</f>
        <v>Maplink2</v>
      </c>
      <c r="AU2201" s="20" t="str">
        <f aca="false">HYPERLINK("http://www.bing.com/maps/?lvl=14&amp;sty=h&amp;cp=35.2337~44.1844&amp;sp=point.35.2337_44.1844","Maplink3")</f>
        <v>Maplink3</v>
      </c>
    </row>
    <row r="2202" customFormat="false" ht="15" hidden="false" customHeight="true" outlineLevel="0" collapsed="false">
      <c r="A2202" s="15" t="n">
        <v>25556</v>
      </c>
      <c r="B2202" s="16" t="s">
        <v>23</v>
      </c>
      <c r="C2202" s="16" t="s">
        <v>23</v>
      </c>
      <c r="D2202" s="16" t="s">
        <v>4315</v>
      </c>
      <c r="E2202" s="17" t="s">
        <v>4316</v>
      </c>
      <c r="F2202" s="16" t="n">
        <v>35.481924</v>
      </c>
      <c r="G2202" s="16" t="n">
        <v>44.42026</v>
      </c>
      <c r="H2202" s="18" t="n">
        <v>535</v>
      </c>
      <c r="I2202" s="18" t="n">
        <v>3210</v>
      </c>
      <c r="J2202" s="19" t="n">
        <v>35</v>
      </c>
      <c r="K2202" s="19"/>
      <c r="L2202" s="19"/>
      <c r="M2202" s="19"/>
      <c r="N2202" s="19"/>
      <c r="O2202" s="19"/>
      <c r="P2202" s="19"/>
      <c r="Q2202" s="19"/>
      <c r="R2202" s="19" t="n">
        <v>250</v>
      </c>
      <c r="S2202" s="19"/>
      <c r="T2202" s="19"/>
      <c r="U2202" s="19"/>
      <c r="V2202" s="19" t="n">
        <v>15</v>
      </c>
      <c r="W2202" s="19"/>
      <c r="X2202" s="19" t="n">
        <v>235</v>
      </c>
      <c r="Y2202" s="19"/>
      <c r="Z2202" s="19"/>
      <c r="AA2202" s="19"/>
      <c r="AB2202" s="19"/>
      <c r="AC2202" s="19"/>
      <c r="AD2202" s="19"/>
      <c r="AE2202" s="19"/>
      <c r="AF2202" s="19"/>
      <c r="AG2202" s="19"/>
      <c r="AH2202" s="19" t="n">
        <v>535</v>
      </c>
      <c r="AI2202" s="19"/>
      <c r="AJ2202" s="19"/>
      <c r="AK2202" s="19"/>
      <c r="AL2202" s="19" t="n">
        <v>20</v>
      </c>
      <c r="AM2202" s="19" t="n">
        <v>180</v>
      </c>
      <c r="AN2202" s="19"/>
      <c r="AO2202" s="19" t="n">
        <v>10</v>
      </c>
      <c r="AP2202" s="19" t="n">
        <v>110</v>
      </c>
      <c r="AQ2202" s="19" t="n">
        <v>160</v>
      </c>
      <c r="AR2202" s="19" t="n">
        <v>55</v>
      </c>
      <c r="AS2202" s="20" t="str">
        <f aca="false">HYPERLINK("http://www.openstreetmap.org/?mlat=35.4819&amp;mlon=44.4203&amp;zoom=12#map=12/35.4819/44.4203","Maplink1")</f>
        <v>Maplink1</v>
      </c>
      <c r="AT2202" s="20" t="str">
        <f aca="false">HYPERLINK("https://www.google.iq/maps/search/+35.4819,44.4203/@35.4819,44.4203,14z?hl=en","Maplink2")</f>
        <v>Maplink2</v>
      </c>
      <c r="AU2202" s="20" t="str">
        <f aca="false">HYPERLINK("http://www.bing.com/maps/?lvl=14&amp;sty=h&amp;cp=35.4819~44.4203&amp;sp=point.35.4819_44.4203","Maplink3")</f>
        <v>Maplink3</v>
      </c>
    </row>
    <row r="2203" customFormat="false" ht="15" hidden="false" customHeight="true" outlineLevel="0" collapsed="false">
      <c r="A2203" s="15" t="n">
        <v>15603</v>
      </c>
      <c r="B2203" s="16" t="s">
        <v>23</v>
      </c>
      <c r="C2203" s="16" t="s">
        <v>23</v>
      </c>
      <c r="D2203" s="16" t="s">
        <v>4317</v>
      </c>
      <c r="E2203" s="17" t="s">
        <v>4318</v>
      </c>
      <c r="F2203" s="16" t="n">
        <v>35.397255</v>
      </c>
      <c r="G2203" s="16" t="n">
        <v>44.363176</v>
      </c>
      <c r="H2203" s="18" t="n">
        <v>424</v>
      </c>
      <c r="I2203" s="18" t="n">
        <v>2544</v>
      </c>
      <c r="J2203" s="19" t="n">
        <v>145</v>
      </c>
      <c r="K2203" s="19"/>
      <c r="L2203" s="19"/>
      <c r="M2203" s="19"/>
      <c r="N2203" s="19"/>
      <c r="O2203" s="19"/>
      <c r="P2203" s="19"/>
      <c r="Q2203" s="19"/>
      <c r="R2203" s="19" t="n">
        <v>240</v>
      </c>
      <c r="S2203" s="19"/>
      <c r="T2203" s="19"/>
      <c r="U2203" s="19"/>
      <c r="V2203" s="19" t="n">
        <v>24</v>
      </c>
      <c r="W2203" s="19"/>
      <c r="X2203" s="19" t="n">
        <v>15</v>
      </c>
      <c r="Y2203" s="19"/>
      <c r="Z2203" s="19"/>
      <c r="AA2203" s="19"/>
      <c r="AB2203" s="19"/>
      <c r="AC2203" s="19" t="n">
        <v>45</v>
      </c>
      <c r="AD2203" s="19"/>
      <c r="AE2203" s="19"/>
      <c r="AF2203" s="19"/>
      <c r="AG2203" s="19"/>
      <c r="AH2203" s="19" t="n">
        <v>379</v>
      </c>
      <c r="AI2203" s="19"/>
      <c r="AJ2203" s="19"/>
      <c r="AK2203" s="19"/>
      <c r="AL2203" s="19"/>
      <c r="AM2203" s="19" t="n">
        <v>157</v>
      </c>
      <c r="AN2203" s="19"/>
      <c r="AO2203" s="19" t="n">
        <v>15</v>
      </c>
      <c r="AP2203" s="19" t="n">
        <v>165</v>
      </c>
      <c r="AQ2203" s="19" t="n">
        <v>57</v>
      </c>
      <c r="AR2203" s="19" t="n">
        <v>30</v>
      </c>
      <c r="AS2203" s="20" t="str">
        <f aca="false">HYPERLINK("http://www.openstreetmap.org/?mlat=35.3973&amp;mlon=44.3632&amp;zoom=12#map=12/35.3973/44.3632","Maplink1")</f>
        <v>Maplink1</v>
      </c>
      <c r="AT2203" s="20" t="str">
        <f aca="false">HYPERLINK("https://www.google.iq/maps/search/+35.3973,44.3632/@35.3973,44.3632,14z?hl=en","Maplink2")</f>
        <v>Maplink2</v>
      </c>
      <c r="AU2203" s="20" t="str">
        <f aca="false">HYPERLINK("http://www.bing.com/maps/?lvl=14&amp;sty=h&amp;cp=35.3973~44.3632&amp;sp=point.35.3973_44.3632","Maplink3")</f>
        <v>Maplink3</v>
      </c>
    </row>
    <row r="2204" customFormat="false" ht="15" hidden="false" customHeight="true" outlineLevel="0" collapsed="false">
      <c r="A2204" s="15" t="n">
        <v>15624</v>
      </c>
      <c r="B2204" s="16" t="s">
        <v>23</v>
      </c>
      <c r="C2204" s="16" t="s">
        <v>23</v>
      </c>
      <c r="D2204" s="16" t="s">
        <v>4319</v>
      </c>
      <c r="E2204" s="17" t="s">
        <v>4320</v>
      </c>
      <c r="F2204" s="16" t="n">
        <v>35.417437</v>
      </c>
      <c r="G2204" s="16" t="n">
        <v>44.373384</v>
      </c>
      <c r="H2204" s="18" t="n">
        <v>367</v>
      </c>
      <c r="I2204" s="18" t="n">
        <v>2202</v>
      </c>
      <c r="J2204" s="19" t="n">
        <v>92</v>
      </c>
      <c r="K2204" s="19"/>
      <c r="L2204" s="19"/>
      <c r="M2204" s="19"/>
      <c r="N2204" s="19"/>
      <c r="O2204" s="19"/>
      <c r="P2204" s="19"/>
      <c r="Q2204" s="19"/>
      <c r="R2204" s="19" t="n">
        <v>223</v>
      </c>
      <c r="S2204" s="19"/>
      <c r="T2204" s="19"/>
      <c r="U2204" s="19"/>
      <c r="V2204" s="19" t="n">
        <v>17</v>
      </c>
      <c r="W2204" s="19"/>
      <c r="X2204" s="19" t="n">
        <v>35</v>
      </c>
      <c r="Y2204" s="19"/>
      <c r="Z2204" s="19"/>
      <c r="AA2204" s="19"/>
      <c r="AB2204" s="19"/>
      <c r="AC2204" s="19" t="n">
        <v>13</v>
      </c>
      <c r="AD2204" s="19"/>
      <c r="AE2204" s="19"/>
      <c r="AF2204" s="19"/>
      <c r="AG2204" s="19"/>
      <c r="AH2204" s="19" t="n">
        <v>354</v>
      </c>
      <c r="AI2204" s="19"/>
      <c r="AJ2204" s="19"/>
      <c r="AK2204" s="19"/>
      <c r="AL2204" s="19"/>
      <c r="AM2204" s="19" t="n">
        <v>40</v>
      </c>
      <c r="AN2204" s="19" t="n">
        <v>32</v>
      </c>
      <c r="AO2204" s="19" t="n">
        <v>80</v>
      </c>
      <c r="AP2204" s="19" t="n">
        <v>124</v>
      </c>
      <c r="AQ2204" s="19" t="n">
        <v>71</v>
      </c>
      <c r="AR2204" s="19" t="n">
        <v>20</v>
      </c>
      <c r="AS2204" s="20" t="str">
        <f aca="false">HYPERLINK("http://www.openstreetmap.org/?mlat=35.4174&amp;mlon=44.3734&amp;zoom=12#map=12/35.4174/44.3734","Maplink1")</f>
        <v>Maplink1</v>
      </c>
      <c r="AT2204" s="20" t="str">
        <f aca="false">HYPERLINK("https://www.google.iq/maps/search/+35.4174,44.3734/@35.4174,44.3734,14z?hl=en","Maplink2")</f>
        <v>Maplink2</v>
      </c>
      <c r="AU2204" s="20" t="str">
        <f aca="false">HYPERLINK("http://www.bing.com/maps/?lvl=14&amp;sty=h&amp;cp=35.4174~44.3734&amp;sp=point.35.4174_44.3734","Maplink3")</f>
        <v>Maplink3</v>
      </c>
    </row>
    <row r="2205" customFormat="false" ht="15" hidden="false" customHeight="true" outlineLevel="0" collapsed="false">
      <c r="A2205" s="15" t="n">
        <v>14907</v>
      </c>
      <c r="B2205" s="16" t="s">
        <v>23</v>
      </c>
      <c r="C2205" s="16" t="s">
        <v>23</v>
      </c>
      <c r="D2205" s="16" t="s">
        <v>4321</v>
      </c>
      <c r="E2205" s="17" t="s">
        <v>4322</v>
      </c>
      <c r="F2205" s="16" t="n">
        <v>35.4922222222222</v>
      </c>
      <c r="G2205" s="16" t="n">
        <v>44.3538888888888</v>
      </c>
      <c r="H2205" s="18" t="n">
        <v>160</v>
      </c>
      <c r="I2205" s="18" t="n">
        <v>960</v>
      </c>
      <c r="J2205" s="19" t="n">
        <v>5</v>
      </c>
      <c r="K2205" s="19"/>
      <c r="L2205" s="19"/>
      <c r="M2205" s="19"/>
      <c r="N2205" s="19"/>
      <c r="O2205" s="19"/>
      <c r="P2205" s="19"/>
      <c r="Q2205" s="19"/>
      <c r="R2205" s="19" t="n">
        <v>135</v>
      </c>
      <c r="S2205" s="19"/>
      <c r="T2205" s="19"/>
      <c r="U2205" s="19"/>
      <c r="V2205" s="19" t="n">
        <v>10</v>
      </c>
      <c r="W2205" s="19"/>
      <c r="X2205" s="19" t="n">
        <v>10</v>
      </c>
      <c r="Y2205" s="19"/>
      <c r="Z2205" s="19"/>
      <c r="AA2205" s="19"/>
      <c r="AB2205" s="19"/>
      <c r="AC2205" s="19" t="n">
        <v>10</v>
      </c>
      <c r="AD2205" s="19"/>
      <c r="AE2205" s="19" t="n">
        <v>15</v>
      </c>
      <c r="AF2205" s="19"/>
      <c r="AG2205" s="19"/>
      <c r="AH2205" s="19" t="n">
        <v>125</v>
      </c>
      <c r="AI2205" s="19"/>
      <c r="AJ2205" s="19" t="n">
        <v>10</v>
      </c>
      <c r="AK2205" s="19"/>
      <c r="AL2205" s="19"/>
      <c r="AM2205" s="19" t="n">
        <v>5</v>
      </c>
      <c r="AN2205" s="19" t="n">
        <v>10</v>
      </c>
      <c r="AO2205" s="19" t="n">
        <v>10</v>
      </c>
      <c r="AP2205" s="19" t="n">
        <v>35</v>
      </c>
      <c r="AQ2205" s="19" t="n">
        <v>40</v>
      </c>
      <c r="AR2205" s="19" t="n">
        <v>60</v>
      </c>
      <c r="AS2205" s="20" t="str">
        <f aca="false">HYPERLINK("http://www.openstreetmap.org/?mlat=35.4922&amp;mlon=44.3539&amp;zoom=12#map=12/35.4922/44.3539","Maplink1")</f>
        <v>Maplink1</v>
      </c>
      <c r="AT2205" s="20" t="str">
        <f aca="false">HYPERLINK("https://www.google.iq/maps/search/+35.4922,44.3539/@35.4922,44.3539,14z?hl=en","Maplink2")</f>
        <v>Maplink2</v>
      </c>
      <c r="AU2205" s="20" t="str">
        <f aca="false">HYPERLINK("http://www.bing.com/maps/?lvl=14&amp;sty=h&amp;cp=35.4922~44.3539&amp;sp=point.35.4922_44.3539","Maplink3")</f>
        <v>Maplink3</v>
      </c>
    </row>
    <row r="2206" customFormat="false" ht="15" hidden="false" customHeight="true" outlineLevel="0" collapsed="false">
      <c r="A2206" s="15" t="n">
        <v>24779</v>
      </c>
      <c r="B2206" s="16" t="s">
        <v>23</v>
      </c>
      <c r="C2206" s="16" t="s">
        <v>23</v>
      </c>
      <c r="D2206" s="16" t="s">
        <v>4323</v>
      </c>
      <c r="E2206" s="17" t="s">
        <v>4324</v>
      </c>
      <c r="F2206" s="16" t="n">
        <v>35.450613</v>
      </c>
      <c r="G2206" s="16" t="n">
        <v>44.371248</v>
      </c>
      <c r="H2206" s="18" t="n">
        <v>215</v>
      </c>
      <c r="I2206" s="18" t="n">
        <v>1290</v>
      </c>
      <c r="J2206" s="19" t="n">
        <v>10</v>
      </c>
      <c r="K2206" s="19"/>
      <c r="L2206" s="19"/>
      <c r="M2206" s="19"/>
      <c r="N2206" s="19"/>
      <c r="O2206" s="19"/>
      <c r="P2206" s="19"/>
      <c r="Q2206" s="19"/>
      <c r="R2206" s="19" t="n">
        <v>85</v>
      </c>
      <c r="S2206" s="19"/>
      <c r="T2206" s="19"/>
      <c r="U2206" s="19"/>
      <c r="V2206" s="19" t="n">
        <v>110</v>
      </c>
      <c r="W2206" s="19"/>
      <c r="X2206" s="19" t="n">
        <v>10</v>
      </c>
      <c r="Y2206" s="19"/>
      <c r="Z2206" s="19"/>
      <c r="AA2206" s="19"/>
      <c r="AB2206" s="19"/>
      <c r="AC2206" s="19"/>
      <c r="AD2206" s="19"/>
      <c r="AE2206" s="19"/>
      <c r="AF2206" s="19"/>
      <c r="AG2206" s="19"/>
      <c r="AH2206" s="19" t="n">
        <v>175</v>
      </c>
      <c r="AI2206" s="19"/>
      <c r="AJ2206" s="19" t="n">
        <v>40</v>
      </c>
      <c r="AK2206" s="19"/>
      <c r="AL2206" s="19"/>
      <c r="AM2206" s="19" t="n">
        <v>10</v>
      </c>
      <c r="AN2206" s="19" t="n">
        <v>110</v>
      </c>
      <c r="AO2206" s="19"/>
      <c r="AP2206" s="19" t="n">
        <v>25</v>
      </c>
      <c r="AQ2206" s="19" t="n">
        <v>20</v>
      </c>
      <c r="AR2206" s="19" t="n">
        <v>50</v>
      </c>
      <c r="AS2206" s="20" t="str">
        <f aca="false">HYPERLINK("http://www.openstreetmap.org/?mlat=35.4506&amp;mlon=44.3712&amp;zoom=12#map=12/35.4506/44.3712","Maplink1")</f>
        <v>Maplink1</v>
      </c>
      <c r="AT2206" s="20" t="str">
        <f aca="false">HYPERLINK("https://www.google.iq/maps/search/+35.4506,44.3712/@35.4506,44.3712,14z?hl=en","Maplink2")</f>
        <v>Maplink2</v>
      </c>
      <c r="AU2206" s="20" t="str">
        <f aca="false">HYPERLINK("http://www.bing.com/maps/?lvl=14&amp;sty=h&amp;cp=35.4506~44.3712&amp;sp=point.35.4506_44.3712","Maplink3")</f>
        <v>Maplink3</v>
      </c>
    </row>
    <row r="2207" customFormat="false" ht="15" hidden="false" customHeight="true" outlineLevel="0" collapsed="false">
      <c r="A2207" s="15" t="n">
        <v>22296</v>
      </c>
      <c r="B2207" s="16" t="s">
        <v>23</v>
      </c>
      <c r="C2207" s="16" t="s">
        <v>23</v>
      </c>
      <c r="D2207" s="16" t="s">
        <v>4325</v>
      </c>
      <c r="E2207" s="17" t="s">
        <v>4326</v>
      </c>
      <c r="F2207" s="16" t="n">
        <v>35.40527778</v>
      </c>
      <c r="G2207" s="16" t="n">
        <v>44.35166667</v>
      </c>
      <c r="H2207" s="18" t="n">
        <v>5270</v>
      </c>
      <c r="I2207" s="18" t="n">
        <v>31620</v>
      </c>
      <c r="J2207" s="19" t="n">
        <v>2465</v>
      </c>
      <c r="K2207" s="19"/>
      <c r="L2207" s="19"/>
      <c r="M2207" s="19"/>
      <c r="N2207" s="19"/>
      <c r="O2207" s="19" t="n">
        <v>125</v>
      </c>
      <c r="P2207" s="19"/>
      <c r="Q2207" s="19"/>
      <c r="R2207" s="19" t="n">
        <v>2170</v>
      </c>
      <c r="S2207" s="19"/>
      <c r="T2207" s="19"/>
      <c r="U2207" s="19"/>
      <c r="V2207" s="19" t="n">
        <v>425</v>
      </c>
      <c r="W2207" s="19"/>
      <c r="X2207" s="19" t="n">
        <v>85</v>
      </c>
      <c r="Y2207" s="19"/>
      <c r="Z2207" s="19"/>
      <c r="AA2207" s="19"/>
      <c r="AB2207" s="19"/>
      <c r="AC2207" s="19" t="n">
        <v>35</v>
      </c>
      <c r="AD2207" s="19"/>
      <c r="AE2207" s="19" t="n">
        <v>110</v>
      </c>
      <c r="AF2207" s="19"/>
      <c r="AG2207" s="19"/>
      <c r="AH2207" s="19" t="n">
        <v>4615</v>
      </c>
      <c r="AI2207" s="19"/>
      <c r="AJ2207" s="19" t="n">
        <v>510</v>
      </c>
      <c r="AK2207" s="19"/>
      <c r="AL2207" s="19" t="n">
        <v>1395</v>
      </c>
      <c r="AM2207" s="19" t="n">
        <v>1730</v>
      </c>
      <c r="AN2207" s="19" t="n">
        <v>500</v>
      </c>
      <c r="AO2207" s="19" t="n">
        <v>765</v>
      </c>
      <c r="AP2207" s="19" t="n">
        <v>630</v>
      </c>
      <c r="AQ2207" s="19" t="n">
        <v>65</v>
      </c>
      <c r="AR2207" s="19" t="n">
        <v>185</v>
      </c>
      <c r="AS2207" s="20" t="str">
        <f aca="false">HYPERLINK("http://www.openstreetmap.org/?mlat=35.4053&amp;mlon=44.3517&amp;zoom=12#map=12/35.4053/44.3517","Maplink1")</f>
        <v>Maplink1</v>
      </c>
      <c r="AT2207" s="20" t="str">
        <f aca="false">HYPERLINK("https://www.google.iq/maps/search/+35.4053,44.3517/@35.4053,44.3517,14z?hl=en","Maplink2")</f>
        <v>Maplink2</v>
      </c>
      <c r="AU2207" s="20" t="str">
        <f aca="false">HYPERLINK("http://www.bing.com/maps/?lvl=14&amp;sty=h&amp;cp=35.4053~44.3517&amp;sp=point.35.4053_44.3517","Maplink3")</f>
        <v>Maplink3</v>
      </c>
    </row>
    <row r="2208" customFormat="false" ht="15" hidden="false" customHeight="true" outlineLevel="0" collapsed="false">
      <c r="A2208" s="15" t="n">
        <v>24089</v>
      </c>
      <c r="B2208" s="16" t="s">
        <v>23</v>
      </c>
      <c r="C2208" s="16" t="s">
        <v>23</v>
      </c>
      <c r="D2208" s="16" t="s">
        <v>4327</v>
      </c>
      <c r="E2208" s="17" t="s">
        <v>4328</v>
      </c>
      <c r="F2208" s="16" t="n">
        <v>35.433775</v>
      </c>
      <c r="G2208" s="16" t="n">
        <v>44.350486</v>
      </c>
      <c r="H2208" s="18" t="n">
        <v>307</v>
      </c>
      <c r="I2208" s="18" t="n">
        <v>1842</v>
      </c>
      <c r="J2208" s="19" t="n">
        <v>50</v>
      </c>
      <c r="K2208" s="19"/>
      <c r="L2208" s="19"/>
      <c r="M2208" s="19"/>
      <c r="N2208" s="19"/>
      <c r="O2208" s="19"/>
      <c r="P2208" s="19"/>
      <c r="Q2208" s="19"/>
      <c r="R2208" s="19" t="n">
        <v>172</v>
      </c>
      <c r="S2208" s="19"/>
      <c r="T2208" s="19"/>
      <c r="U2208" s="19"/>
      <c r="V2208" s="19" t="n">
        <v>55</v>
      </c>
      <c r="W2208" s="19"/>
      <c r="X2208" s="19" t="n">
        <v>30</v>
      </c>
      <c r="Y2208" s="19"/>
      <c r="Z2208" s="19"/>
      <c r="AA2208" s="19"/>
      <c r="AB2208" s="19"/>
      <c r="AC2208" s="19"/>
      <c r="AD2208" s="19"/>
      <c r="AE2208" s="19"/>
      <c r="AF2208" s="19"/>
      <c r="AG2208" s="19"/>
      <c r="AH2208" s="19" t="n">
        <v>307</v>
      </c>
      <c r="AI2208" s="19"/>
      <c r="AJ2208" s="19"/>
      <c r="AK2208" s="19"/>
      <c r="AL2208" s="19" t="n">
        <v>45</v>
      </c>
      <c r="AM2208" s="19" t="n">
        <v>75</v>
      </c>
      <c r="AN2208" s="19" t="n">
        <v>60</v>
      </c>
      <c r="AO2208" s="19"/>
      <c r="AP2208" s="19" t="n">
        <v>57</v>
      </c>
      <c r="AQ2208" s="19" t="n">
        <v>37</v>
      </c>
      <c r="AR2208" s="19" t="n">
        <v>33</v>
      </c>
      <c r="AS2208" s="20" t="str">
        <f aca="false">HYPERLINK("http://www.openstreetmap.org/?mlat=35.4338&amp;mlon=44.3505&amp;zoom=12#map=12/35.4338/44.3505","Maplink1")</f>
        <v>Maplink1</v>
      </c>
      <c r="AT2208" s="20" t="str">
        <f aca="false">HYPERLINK("https://www.google.iq/maps/search/+35.4338,44.3505/@35.4338,44.3505,14z?hl=en","Maplink2")</f>
        <v>Maplink2</v>
      </c>
      <c r="AU2208" s="20" t="str">
        <f aca="false">HYPERLINK("http://www.bing.com/maps/?lvl=14&amp;sty=h&amp;cp=35.4338~44.3505&amp;sp=point.35.4338_44.3505","Maplink3")</f>
        <v>Maplink3</v>
      </c>
    </row>
    <row r="2209" customFormat="false" ht="15" hidden="false" customHeight="true" outlineLevel="0" collapsed="false">
      <c r="A2209" s="15" t="n">
        <v>15582</v>
      </c>
      <c r="B2209" s="16" t="s">
        <v>23</v>
      </c>
      <c r="C2209" s="16" t="s">
        <v>23</v>
      </c>
      <c r="D2209" s="16" t="s">
        <v>4329</v>
      </c>
      <c r="E2209" s="17" t="s">
        <v>4330</v>
      </c>
      <c r="F2209" s="16" t="n">
        <v>35.478255</v>
      </c>
      <c r="G2209" s="16" t="n">
        <v>44.383944</v>
      </c>
      <c r="H2209" s="18" t="n">
        <v>380</v>
      </c>
      <c r="I2209" s="18" t="n">
        <v>2280</v>
      </c>
      <c r="J2209" s="19" t="n">
        <v>40</v>
      </c>
      <c r="K2209" s="19"/>
      <c r="L2209" s="19"/>
      <c r="M2209" s="19"/>
      <c r="N2209" s="19"/>
      <c r="O2209" s="19"/>
      <c r="P2209" s="19"/>
      <c r="Q2209" s="19"/>
      <c r="R2209" s="19" t="n">
        <v>195</v>
      </c>
      <c r="S2209" s="19"/>
      <c r="T2209" s="19"/>
      <c r="U2209" s="19"/>
      <c r="V2209" s="19" t="n">
        <v>115</v>
      </c>
      <c r="W2209" s="19"/>
      <c r="X2209" s="19" t="n">
        <v>30</v>
      </c>
      <c r="Y2209" s="19"/>
      <c r="Z2209" s="19"/>
      <c r="AA2209" s="19"/>
      <c r="AB2209" s="19"/>
      <c r="AC2209" s="19"/>
      <c r="AD2209" s="19"/>
      <c r="AE2209" s="19"/>
      <c r="AF2209" s="19"/>
      <c r="AG2209" s="19"/>
      <c r="AH2209" s="19" t="n">
        <v>380</v>
      </c>
      <c r="AI2209" s="19"/>
      <c r="AJ2209" s="19"/>
      <c r="AK2209" s="19"/>
      <c r="AL2209" s="19"/>
      <c r="AM2209" s="19" t="n">
        <v>90</v>
      </c>
      <c r="AN2209" s="19" t="n">
        <v>120</v>
      </c>
      <c r="AO2209" s="19"/>
      <c r="AP2209" s="19" t="n">
        <v>95</v>
      </c>
      <c r="AQ2209" s="19" t="n">
        <v>70</v>
      </c>
      <c r="AR2209" s="19" t="n">
        <v>5</v>
      </c>
      <c r="AS2209" s="20" t="str">
        <f aca="false">HYPERLINK("http://www.openstreetmap.org/?mlat=35.4783&amp;mlon=44.3839&amp;zoom=12#map=12/35.4783/44.3839","Maplink1")</f>
        <v>Maplink1</v>
      </c>
      <c r="AT2209" s="20" t="str">
        <f aca="false">HYPERLINK("https://www.google.iq/maps/search/+35.4783,44.3839/@35.4783,44.3839,14z?hl=en","Maplink2")</f>
        <v>Maplink2</v>
      </c>
      <c r="AU2209" s="20" t="str">
        <f aca="false">HYPERLINK("http://www.bing.com/maps/?lvl=14&amp;sty=h&amp;cp=35.4783~44.3839&amp;sp=point.35.4783_44.3839","Maplink3")</f>
        <v>Maplink3</v>
      </c>
    </row>
    <row r="2210" customFormat="false" ht="15" hidden="false" customHeight="true" outlineLevel="0" collapsed="false">
      <c r="A2210" s="15" t="n">
        <v>21016</v>
      </c>
      <c r="B2210" s="16" t="s">
        <v>23</v>
      </c>
      <c r="C2210" s="16" t="s">
        <v>23</v>
      </c>
      <c r="D2210" s="16" t="s">
        <v>4331</v>
      </c>
      <c r="E2210" s="17" t="s">
        <v>133</v>
      </c>
      <c r="F2210" s="16" t="n">
        <v>35.424352</v>
      </c>
      <c r="G2210" s="16" t="n">
        <v>44.402637</v>
      </c>
      <c r="H2210" s="18" t="n">
        <v>1321</v>
      </c>
      <c r="I2210" s="18" t="n">
        <v>7926</v>
      </c>
      <c r="J2210" s="19" t="n">
        <v>755</v>
      </c>
      <c r="K2210" s="19"/>
      <c r="L2210" s="19"/>
      <c r="M2210" s="19"/>
      <c r="N2210" s="19"/>
      <c r="O2210" s="19" t="n">
        <v>10</v>
      </c>
      <c r="P2210" s="19"/>
      <c r="Q2210" s="19"/>
      <c r="R2210" s="19" t="n">
        <v>428</v>
      </c>
      <c r="S2210" s="19"/>
      <c r="T2210" s="19"/>
      <c r="U2210" s="19"/>
      <c r="V2210" s="19" t="n">
        <v>93</v>
      </c>
      <c r="W2210" s="19"/>
      <c r="X2210" s="19" t="n">
        <v>35</v>
      </c>
      <c r="Y2210" s="19"/>
      <c r="Z2210" s="19"/>
      <c r="AA2210" s="19"/>
      <c r="AB2210" s="19"/>
      <c r="AC2210" s="19" t="n">
        <v>36</v>
      </c>
      <c r="AD2210" s="19"/>
      <c r="AE2210" s="19"/>
      <c r="AF2210" s="19"/>
      <c r="AG2210" s="19"/>
      <c r="AH2210" s="19" t="n">
        <v>1250</v>
      </c>
      <c r="AI2210" s="19"/>
      <c r="AJ2210" s="19" t="n">
        <v>35</v>
      </c>
      <c r="AK2210" s="19"/>
      <c r="AL2210" s="19" t="n">
        <v>720</v>
      </c>
      <c r="AM2210" s="19"/>
      <c r="AN2210" s="19" t="n">
        <v>45</v>
      </c>
      <c r="AO2210" s="19" t="n">
        <v>270</v>
      </c>
      <c r="AP2210" s="19" t="n">
        <v>160</v>
      </c>
      <c r="AQ2210" s="19" t="n">
        <v>120</v>
      </c>
      <c r="AR2210" s="19" t="n">
        <v>6</v>
      </c>
      <c r="AS2210" s="20" t="str">
        <f aca="false">HYPERLINK("http://www.openstreetmap.org/?mlat=35.4244&amp;mlon=44.4026&amp;zoom=12#map=12/35.4244/44.4026","Maplink1")</f>
        <v>Maplink1</v>
      </c>
      <c r="AT2210" s="20" t="str">
        <f aca="false">HYPERLINK("https://www.google.iq/maps/search/+35.4244,44.4026/@35.4244,44.4026,14z?hl=en","Maplink2")</f>
        <v>Maplink2</v>
      </c>
      <c r="AU2210" s="20" t="str">
        <f aca="false">HYPERLINK("http://www.bing.com/maps/?lvl=14&amp;sty=h&amp;cp=35.4244~44.4026&amp;sp=point.35.4244_44.4026","Maplink3")</f>
        <v>Maplink3</v>
      </c>
    </row>
    <row r="2211" customFormat="false" ht="15" hidden="false" customHeight="true" outlineLevel="0" collapsed="false">
      <c r="A2211" s="15" t="n">
        <v>24780</v>
      </c>
      <c r="B2211" s="16" t="s">
        <v>23</v>
      </c>
      <c r="C2211" s="16" t="s">
        <v>23</v>
      </c>
      <c r="D2211" s="16" t="s">
        <v>4332</v>
      </c>
      <c r="E2211" s="17" t="s">
        <v>75</v>
      </c>
      <c r="F2211" s="16" t="n">
        <v>35.42461</v>
      </c>
      <c r="G2211" s="16" t="n">
        <v>44.350523</v>
      </c>
      <c r="H2211" s="18" t="n">
        <v>753</v>
      </c>
      <c r="I2211" s="18" t="n">
        <v>4518</v>
      </c>
      <c r="J2211" s="19" t="n">
        <v>113</v>
      </c>
      <c r="K2211" s="19"/>
      <c r="L2211" s="19" t="n">
        <v>9</v>
      </c>
      <c r="M2211" s="19"/>
      <c r="N2211" s="19"/>
      <c r="O2211" s="19" t="n">
        <v>10</v>
      </c>
      <c r="P2211" s="19"/>
      <c r="Q2211" s="19"/>
      <c r="R2211" s="19" t="n">
        <v>289</v>
      </c>
      <c r="S2211" s="19"/>
      <c r="T2211" s="19"/>
      <c r="U2211" s="19"/>
      <c r="V2211" s="19" t="n">
        <v>122</v>
      </c>
      <c r="W2211" s="19"/>
      <c r="X2211" s="19" t="n">
        <v>210</v>
      </c>
      <c r="Y2211" s="19"/>
      <c r="Z2211" s="19"/>
      <c r="AA2211" s="19"/>
      <c r="AB2211" s="19"/>
      <c r="AC2211" s="19" t="n">
        <v>20</v>
      </c>
      <c r="AD2211" s="19"/>
      <c r="AE2211" s="19"/>
      <c r="AF2211" s="19"/>
      <c r="AG2211" s="19"/>
      <c r="AH2211" s="19" t="n">
        <v>723</v>
      </c>
      <c r="AI2211" s="19"/>
      <c r="AJ2211" s="19" t="n">
        <v>10</v>
      </c>
      <c r="AK2211" s="19"/>
      <c r="AL2211" s="19" t="n">
        <v>30</v>
      </c>
      <c r="AM2211" s="19" t="n">
        <v>53</v>
      </c>
      <c r="AN2211" s="19" t="n">
        <v>139</v>
      </c>
      <c r="AO2211" s="19" t="n">
        <v>170</v>
      </c>
      <c r="AP2211" s="19" t="n">
        <v>190</v>
      </c>
      <c r="AQ2211" s="19" t="n">
        <v>116</v>
      </c>
      <c r="AR2211" s="19" t="n">
        <v>55</v>
      </c>
      <c r="AS2211" s="20" t="str">
        <f aca="false">HYPERLINK("http://www.openstreetmap.org/?mlat=35.4246&amp;mlon=44.3505&amp;zoom=12#map=12/35.4246/44.3505","Maplink1")</f>
        <v>Maplink1</v>
      </c>
      <c r="AT2211" s="20" t="str">
        <f aca="false">HYPERLINK("https://www.google.iq/maps/search/+35.4246,44.3505/@35.4246,44.3505,14z?hl=en","Maplink2")</f>
        <v>Maplink2</v>
      </c>
      <c r="AU2211" s="20" t="str">
        <f aca="false">HYPERLINK("http://www.bing.com/maps/?lvl=14&amp;sty=h&amp;cp=35.4246~44.3505&amp;sp=point.35.4246_44.3505","Maplink3")</f>
        <v>Maplink3</v>
      </c>
    </row>
    <row r="2212" customFormat="false" ht="15" hidden="false" customHeight="true" outlineLevel="0" collapsed="false">
      <c r="A2212" s="15" t="n">
        <v>23746</v>
      </c>
      <c r="B2212" s="16" t="s">
        <v>23</v>
      </c>
      <c r="C2212" s="16" t="s">
        <v>23</v>
      </c>
      <c r="D2212" s="16" t="s">
        <v>2103</v>
      </c>
      <c r="E2212" s="17" t="s">
        <v>79</v>
      </c>
      <c r="F2212" s="16" t="n">
        <v>35.411716</v>
      </c>
      <c r="G2212" s="16" t="n">
        <v>44.394421</v>
      </c>
      <c r="H2212" s="18" t="n">
        <v>2703</v>
      </c>
      <c r="I2212" s="18" t="n">
        <v>16218</v>
      </c>
      <c r="J2212" s="19" t="n">
        <v>1540</v>
      </c>
      <c r="K2212" s="19" t="n">
        <v>20</v>
      </c>
      <c r="L2212" s="19"/>
      <c r="M2212" s="19"/>
      <c r="N2212" s="19"/>
      <c r="O2212" s="19" t="n">
        <v>25</v>
      </c>
      <c r="P2212" s="19"/>
      <c r="Q2212" s="19"/>
      <c r="R2212" s="19" t="n">
        <v>480</v>
      </c>
      <c r="S2212" s="19"/>
      <c r="T2212" s="19"/>
      <c r="U2212" s="19"/>
      <c r="V2212" s="19" t="n">
        <v>192</v>
      </c>
      <c r="W2212" s="19"/>
      <c r="X2212" s="19" t="n">
        <v>446</v>
      </c>
      <c r="Y2212" s="19"/>
      <c r="Z2212" s="19"/>
      <c r="AA2212" s="19"/>
      <c r="AB2212" s="19"/>
      <c r="AC2212" s="19" t="n">
        <v>46</v>
      </c>
      <c r="AD2212" s="19"/>
      <c r="AE2212" s="19" t="n">
        <v>10</v>
      </c>
      <c r="AF2212" s="19"/>
      <c r="AG2212" s="19"/>
      <c r="AH2212" s="19" t="n">
        <v>1757</v>
      </c>
      <c r="AI2212" s="19"/>
      <c r="AJ2212" s="19" t="n">
        <v>890</v>
      </c>
      <c r="AK2212" s="19"/>
      <c r="AL2212" s="19" t="n">
        <v>1510</v>
      </c>
      <c r="AM2212" s="19" t="n">
        <v>345</v>
      </c>
      <c r="AN2212" s="19" t="n">
        <v>52</v>
      </c>
      <c r="AO2212" s="19" t="n">
        <v>416</v>
      </c>
      <c r="AP2212" s="19" t="n">
        <v>237</v>
      </c>
      <c r="AQ2212" s="19" t="n">
        <v>137</v>
      </c>
      <c r="AR2212" s="19" t="n">
        <v>6</v>
      </c>
      <c r="AS2212" s="20" t="str">
        <f aca="false">HYPERLINK("http://www.openstreetmap.org/?mlat=35.4117&amp;mlon=44.3944&amp;zoom=12#map=12/35.4117/44.3944","Maplink1")</f>
        <v>Maplink1</v>
      </c>
      <c r="AT2212" s="20" t="str">
        <f aca="false">HYPERLINK("https://www.google.iq/maps/search/+35.4117,44.3944/@35.4117,44.3944,14z?hl=en","Maplink2")</f>
        <v>Maplink2</v>
      </c>
      <c r="AU2212" s="20" t="str">
        <f aca="false">HYPERLINK("http://www.bing.com/maps/?lvl=14&amp;sty=h&amp;cp=35.4117~44.3944&amp;sp=point.35.4117_44.3944","Maplink3")</f>
        <v>Maplink3</v>
      </c>
    </row>
    <row r="2213" customFormat="false" ht="15" hidden="false" customHeight="true" outlineLevel="0" collapsed="false">
      <c r="A2213" s="15" t="n">
        <v>15578</v>
      </c>
      <c r="B2213" s="16" t="s">
        <v>23</v>
      </c>
      <c r="C2213" s="16" t="s">
        <v>23</v>
      </c>
      <c r="D2213" s="16" t="s">
        <v>4333</v>
      </c>
      <c r="E2213" s="17" t="s">
        <v>2581</v>
      </c>
      <c r="F2213" s="16" t="n">
        <v>35.435736</v>
      </c>
      <c r="G2213" s="16" t="n">
        <v>44.355305</v>
      </c>
      <c r="H2213" s="18" t="n">
        <v>1430</v>
      </c>
      <c r="I2213" s="18" t="n">
        <v>8580</v>
      </c>
      <c r="J2213" s="19" t="n">
        <v>200</v>
      </c>
      <c r="K2213" s="19"/>
      <c r="L2213" s="19"/>
      <c r="M2213" s="19"/>
      <c r="N2213" s="19"/>
      <c r="O2213" s="19"/>
      <c r="P2213" s="19"/>
      <c r="Q2213" s="19"/>
      <c r="R2213" s="19" t="n">
        <v>880</v>
      </c>
      <c r="S2213" s="19"/>
      <c r="T2213" s="19"/>
      <c r="U2213" s="19"/>
      <c r="V2213" s="19" t="n">
        <v>250</v>
      </c>
      <c r="W2213" s="19"/>
      <c r="X2213" s="19" t="n">
        <v>100</v>
      </c>
      <c r="Y2213" s="19"/>
      <c r="Z2213" s="19"/>
      <c r="AA2213" s="19"/>
      <c r="AB2213" s="19"/>
      <c r="AC2213" s="19" t="n">
        <v>20</v>
      </c>
      <c r="AD2213" s="19"/>
      <c r="AE2213" s="19"/>
      <c r="AF2213" s="19"/>
      <c r="AG2213" s="19"/>
      <c r="AH2213" s="19" t="n">
        <v>1345</v>
      </c>
      <c r="AI2213" s="19"/>
      <c r="AJ2213" s="19" t="n">
        <v>65</v>
      </c>
      <c r="AK2213" s="19"/>
      <c r="AL2213" s="19" t="n">
        <v>170</v>
      </c>
      <c r="AM2213" s="19" t="n">
        <v>150</v>
      </c>
      <c r="AN2213" s="19" t="n">
        <v>240</v>
      </c>
      <c r="AO2213" s="19" t="n">
        <v>250</v>
      </c>
      <c r="AP2213" s="19" t="n">
        <v>330</v>
      </c>
      <c r="AQ2213" s="19" t="n">
        <v>120</v>
      </c>
      <c r="AR2213" s="19" t="n">
        <v>170</v>
      </c>
      <c r="AS2213" s="20" t="str">
        <f aca="false">HYPERLINK("http://www.openstreetmap.org/?mlat=35.4357&amp;mlon=44.3553&amp;zoom=12#map=12/35.4357/44.3553","Maplink1")</f>
        <v>Maplink1</v>
      </c>
      <c r="AT2213" s="20" t="str">
        <f aca="false">HYPERLINK("https://www.google.iq/maps/search/+35.4357,44.3553/@35.4357,44.3553,14z?hl=en","Maplink2")</f>
        <v>Maplink2</v>
      </c>
      <c r="AU2213" s="20" t="str">
        <f aca="false">HYPERLINK("http://www.bing.com/maps/?lvl=14&amp;sty=h&amp;cp=35.4357~44.3553&amp;sp=point.35.4357_44.3553","Maplink3")</f>
        <v>Maplink3</v>
      </c>
    </row>
    <row r="2214" customFormat="false" ht="15" hidden="false" customHeight="true" outlineLevel="0" collapsed="false">
      <c r="A2214" s="15" t="n">
        <v>15650</v>
      </c>
      <c r="B2214" s="16" t="s">
        <v>23</v>
      </c>
      <c r="C2214" s="16" t="s">
        <v>23</v>
      </c>
      <c r="D2214" s="16" t="s">
        <v>4334</v>
      </c>
      <c r="E2214" s="17" t="s">
        <v>4335</v>
      </c>
      <c r="F2214" s="16" t="n">
        <v>35.426942</v>
      </c>
      <c r="G2214" s="16" t="n">
        <v>44.416389</v>
      </c>
      <c r="H2214" s="18" t="n">
        <v>1014</v>
      </c>
      <c r="I2214" s="18" t="n">
        <v>6084</v>
      </c>
      <c r="J2214" s="19" t="n">
        <v>514</v>
      </c>
      <c r="K2214" s="19"/>
      <c r="L2214" s="19" t="n">
        <v>35</v>
      </c>
      <c r="M2214" s="19"/>
      <c r="N2214" s="19"/>
      <c r="O2214" s="19"/>
      <c r="P2214" s="19"/>
      <c r="Q2214" s="19"/>
      <c r="R2214" s="19" t="n">
        <v>280</v>
      </c>
      <c r="S2214" s="19"/>
      <c r="T2214" s="19"/>
      <c r="U2214" s="19"/>
      <c r="V2214" s="19" t="n">
        <v>82</v>
      </c>
      <c r="W2214" s="19"/>
      <c r="X2214" s="19" t="n">
        <v>103</v>
      </c>
      <c r="Y2214" s="19"/>
      <c r="Z2214" s="19"/>
      <c r="AA2214" s="19"/>
      <c r="AB2214" s="19"/>
      <c r="AC2214" s="19" t="n">
        <v>10</v>
      </c>
      <c r="AD2214" s="19"/>
      <c r="AE2214" s="19"/>
      <c r="AF2214" s="19"/>
      <c r="AG2214" s="19"/>
      <c r="AH2214" s="19" t="n">
        <v>1004</v>
      </c>
      <c r="AI2214" s="19"/>
      <c r="AJ2214" s="19"/>
      <c r="AK2214" s="19"/>
      <c r="AL2214" s="19"/>
      <c r="AM2214" s="19" t="n">
        <v>420</v>
      </c>
      <c r="AN2214" s="19" t="n">
        <v>212</v>
      </c>
      <c r="AO2214" s="19" t="n">
        <v>110</v>
      </c>
      <c r="AP2214" s="19" t="n">
        <v>200</v>
      </c>
      <c r="AQ2214" s="19" t="n">
        <v>70</v>
      </c>
      <c r="AR2214" s="19" t="n">
        <v>2</v>
      </c>
      <c r="AS2214" s="20" t="str">
        <f aca="false">HYPERLINK("http://www.openstreetmap.org/?mlat=35.4269&amp;mlon=44.4164&amp;zoom=12#map=12/35.4269/44.4164","Maplink1")</f>
        <v>Maplink1</v>
      </c>
      <c r="AT2214" s="20" t="str">
        <f aca="false">HYPERLINK("https://www.google.iq/maps/search/+35.4269,44.4164/@35.4269,44.4164,14z?hl=en","Maplink2")</f>
        <v>Maplink2</v>
      </c>
      <c r="AU2214" s="20" t="str">
        <f aca="false">HYPERLINK("http://www.bing.com/maps/?lvl=14&amp;sty=h&amp;cp=35.4269~44.4164&amp;sp=point.35.4269_44.4164","Maplink3")</f>
        <v>Maplink3</v>
      </c>
    </row>
    <row r="2215" customFormat="false" ht="15" hidden="false" customHeight="true" outlineLevel="0" collapsed="false">
      <c r="A2215" s="15" t="n">
        <v>15639</v>
      </c>
      <c r="B2215" s="16" t="s">
        <v>23</v>
      </c>
      <c r="C2215" s="16" t="s">
        <v>23</v>
      </c>
      <c r="D2215" s="16" t="s">
        <v>4336</v>
      </c>
      <c r="E2215" s="17" t="s">
        <v>4337</v>
      </c>
      <c r="F2215" s="16" t="n">
        <v>35.39236</v>
      </c>
      <c r="G2215" s="16" t="n">
        <v>44.379084</v>
      </c>
      <c r="H2215" s="18" t="n">
        <v>1167</v>
      </c>
      <c r="I2215" s="18" t="n">
        <v>7002</v>
      </c>
      <c r="J2215" s="19" t="n">
        <v>446</v>
      </c>
      <c r="K2215" s="19"/>
      <c r="L2215" s="19"/>
      <c r="M2215" s="19"/>
      <c r="N2215" s="19"/>
      <c r="O2215" s="19" t="n">
        <v>5</v>
      </c>
      <c r="P2215" s="19"/>
      <c r="Q2215" s="19"/>
      <c r="R2215" s="19" t="n">
        <v>646</v>
      </c>
      <c r="S2215" s="19"/>
      <c r="T2215" s="19"/>
      <c r="U2215" s="19"/>
      <c r="V2215" s="19" t="n">
        <v>20</v>
      </c>
      <c r="W2215" s="19"/>
      <c r="X2215" s="19" t="n">
        <v>50</v>
      </c>
      <c r="Y2215" s="19"/>
      <c r="Z2215" s="19"/>
      <c r="AA2215" s="19"/>
      <c r="AB2215" s="19"/>
      <c r="AC2215" s="19" t="n">
        <v>30</v>
      </c>
      <c r="AD2215" s="19"/>
      <c r="AE2215" s="19" t="n">
        <v>105</v>
      </c>
      <c r="AF2215" s="19"/>
      <c r="AG2215" s="19" t="n">
        <v>5</v>
      </c>
      <c r="AH2215" s="19" t="n">
        <v>957</v>
      </c>
      <c r="AI2215" s="19"/>
      <c r="AJ2215" s="19" t="n">
        <v>70</v>
      </c>
      <c r="AK2215" s="19"/>
      <c r="AL2215" s="19" t="n">
        <v>386</v>
      </c>
      <c r="AM2215" s="19" t="n">
        <v>75</v>
      </c>
      <c r="AN2215" s="19" t="n">
        <v>117</v>
      </c>
      <c r="AO2215" s="19" t="n">
        <v>59</v>
      </c>
      <c r="AP2215" s="19" t="n">
        <v>379</v>
      </c>
      <c r="AQ2215" s="19" t="n">
        <v>141</v>
      </c>
      <c r="AR2215" s="19" t="n">
        <v>10</v>
      </c>
      <c r="AS2215" s="20" t="str">
        <f aca="false">HYPERLINK("http://www.openstreetmap.org/?mlat=35.3924&amp;mlon=44.3791&amp;zoom=12#map=12/35.3924/44.3791","Maplink1")</f>
        <v>Maplink1</v>
      </c>
      <c r="AT2215" s="20" t="str">
        <f aca="false">HYPERLINK("https://www.google.iq/maps/search/+35.3924,44.3791/@35.3924,44.3791,14z?hl=en","Maplink2")</f>
        <v>Maplink2</v>
      </c>
      <c r="AU2215" s="20" t="str">
        <f aca="false">HYPERLINK("http://www.bing.com/maps/?lvl=14&amp;sty=h&amp;cp=35.3924~44.3791&amp;sp=point.35.3924_44.3791","Maplink3")</f>
        <v>Maplink3</v>
      </c>
    </row>
    <row r="2216" customFormat="false" ht="15" hidden="false" customHeight="true" outlineLevel="0" collapsed="false">
      <c r="A2216" s="15" t="n">
        <v>15658</v>
      </c>
      <c r="B2216" s="16" t="s">
        <v>23</v>
      </c>
      <c r="C2216" s="16" t="s">
        <v>23</v>
      </c>
      <c r="D2216" s="16" t="s">
        <v>4338</v>
      </c>
      <c r="E2216" s="17" t="s">
        <v>87</v>
      </c>
      <c r="F2216" s="16" t="n">
        <v>35.77583333</v>
      </c>
      <c r="G2216" s="16" t="n">
        <v>44.57666667</v>
      </c>
      <c r="H2216" s="18" t="n">
        <v>140</v>
      </c>
      <c r="I2216" s="18" t="n">
        <v>840</v>
      </c>
      <c r="J2216" s="19"/>
      <c r="K2216" s="19"/>
      <c r="L2216" s="19"/>
      <c r="M2216" s="19"/>
      <c r="N2216" s="19"/>
      <c r="O2216" s="19"/>
      <c r="P2216" s="19"/>
      <c r="Q2216" s="19"/>
      <c r="R2216" s="19" t="n">
        <v>134</v>
      </c>
      <c r="S2216" s="19"/>
      <c r="T2216" s="19"/>
      <c r="U2216" s="19"/>
      <c r="V2216" s="19"/>
      <c r="W2216" s="19"/>
      <c r="X2216" s="19" t="n">
        <v>6</v>
      </c>
      <c r="Y2216" s="19"/>
      <c r="Z2216" s="19"/>
      <c r="AA2216" s="19"/>
      <c r="AB2216" s="19"/>
      <c r="AC2216" s="19"/>
      <c r="AD2216" s="19"/>
      <c r="AE2216" s="19" t="n">
        <v>30</v>
      </c>
      <c r="AF2216" s="19"/>
      <c r="AG2216" s="19"/>
      <c r="AH2216" s="19" t="n">
        <v>70</v>
      </c>
      <c r="AI2216" s="19"/>
      <c r="AJ2216" s="19" t="n">
        <v>40</v>
      </c>
      <c r="AK2216" s="19"/>
      <c r="AL2216" s="19" t="n">
        <v>10</v>
      </c>
      <c r="AM2216" s="19" t="n">
        <v>6</v>
      </c>
      <c r="AN2216" s="19" t="n">
        <v>30</v>
      </c>
      <c r="AO2216" s="19" t="n">
        <v>10</v>
      </c>
      <c r="AP2216" s="19" t="n">
        <v>37</v>
      </c>
      <c r="AQ2216" s="19" t="n">
        <v>43</v>
      </c>
      <c r="AR2216" s="19" t="n">
        <v>4</v>
      </c>
      <c r="AS2216" s="20" t="str">
        <f aca="false">HYPERLINK("http://www.openstreetmap.org/?mlat=35.7758&amp;mlon=44.5767&amp;zoom=12#map=12/35.7758/44.5767","Maplink1")</f>
        <v>Maplink1</v>
      </c>
      <c r="AT2216" s="20" t="str">
        <f aca="false">HYPERLINK("https://www.google.iq/maps/search/+35.7758,44.5767/@35.7758,44.5767,14z?hl=en","Maplink2")</f>
        <v>Maplink2</v>
      </c>
      <c r="AU2216" s="20" t="str">
        <f aca="false">HYPERLINK("http://www.bing.com/maps/?lvl=14&amp;sty=h&amp;cp=35.7758~44.5767&amp;sp=point.35.7758_44.5767","Maplink3")</f>
        <v>Maplink3</v>
      </c>
    </row>
    <row r="2217" customFormat="false" ht="15" hidden="false" customHeight="true" outlineLevel="0" collapsed="false">
      <c r="A2217" s="15" t="n">
        <v>15550</v>
      </c>
      <c r="B2217" s="16" t="s">
        <v>23</v>
      </c>
      <c r="C2217" s="16" t="s">
        <v>23</v>
      </c>
      <c r="D2217" s="16" t="s">
        <v>4339</v>
      </c>
      <c r="E2217" s="17" t="s">
        <v>2010</v>
      </c>
      <c r="F2217" s="16" t="n">
        <v>35.4594</v>
      </c>
      <c r="G2217" s="16" t="n">
        <v>44.3991</v>
      </c>
      <c r="H2217" s="18" t="n">
        <v>1752</v>
      </c>
      <c r="I2217" s="18" t="n">
        <v>10512</v>
      </c>
      <c r="J2217" s="19" t="n">
        <v>405</v>
      </c>
      <c r="K2217" s="19"/>
      <c r="L2217" s="19"/>
      <c r="M2217" s="19"/>
      <c r="N2217" s="19"/>
      <c r="O2217" s="19"/>
      <c r="P2217" s="19"/>
      <c r="Q2217" s="19"/>
      <c r="R2217" s="19" t="n">
        <v>1217</v>
      </c>
      <c r="S2217" s="19"/>
      <c r="T2217" s="19"/>
      <c r="U2217" s="19"/>
      <c r="V2217" s="19" t="n">
        <v>75</v>
      </c>
      <c r="W2217" s="19"/>
      <c r="X2217" s="19" t="n">
        <v>55</v>
      </c>
      <c r="Y2217" s="19"/>
      <c r="Z2217" s="19"/>
      <c r="AA2217" s="19"/>
      <c r="AB2217" s="19"/>
      <c r="AC2217" s="19" t="n">
        <v>35</v>
      </c>
      <c r="AD2217" s="19"/>
      <c r="AE2217" s="19"/>
      <c r="AF2217" s="19"/>
      <c r="AG2217" s="19"/>
      <c r="AH2217" s="19" t="n">
        <v>1717</v>
      </c>
      <c r="AI2217" s="19"/>
      <c r="AJ2217" s="19"/>
      <c r="AK2217" s="19"/>
      <c r="AL2217" s="19" t="n">
        <v>290</v>
      </c>
      <c r="AM2217" s="19" t="n">
        <v>90</v>
      </c>
      <c r="AN2217" s="19"/>
      <c r="AO2217" s="19" t="n">
        <v>325</v>
      </c>
      <c r="AP2217" s="19" t="n">
        <v>825</v>
      </c>
      <c r="AQ2217" s="19" t="n">
        <v>215</v>
      </c>
      <c r="AR2217" s="19" t="n">
        <v>7</v>
      </c>
      <c r="AS2217" s="20" t="str">
        <f aca="false">HYPERLINK("http://www.openstreetmap.org/?mlat=35.4594&amp;mlon=44.3991&amp;zoom=12#map=12/35.4594/44.3991","Maplink1")</f>
        <v>Maplink1</v>
      </c>
      <c r="AT2217" s="20" t="str">
        <f aca="false">HYPERLINK("https://www.google.iq/maps/search/+35.4594,44.3991/@35.4594,44.3991,14z?hl=en","Maplink2")</f>
        <v>Maplink2</v>
      </c>
      <c r="AU2217" s="20" t="str">
        <f aca="false">HYPERLINK("http://www.bing.com/maps/?lvl=14&amp;sty=h&amp;cp=35.4594~44.3991&amp;sp=point.35.4594_44.3991","Maplink3")</f>
        <v>Maplink3</v>
      </c>
    </row>
    <row r="2218" customFormat="false" ht="15" hidden="false" customHeight="true" outlineLevel="0" collapsed="false">
      <c r="A2218" s="15" t="n">
        <v>23899</v>
      </c>
      <c r="B2218" s="16" t="s">
        <v>23</v>
      </c>
      <c r="C2218" s="16" t="s">
        <v>23</v>
      </c>
      <c r="D2218" s="16" t="s">
        <v>4340</v>
      </c>
      <c r="E2218" s="17" t="s">
        <v>4341</v>
      </c>
      <c r="F2218" s="16" t="n">
        <v>35.381506</v>
      </c>
      <c r="G2218" s="16" t="n">
        <v>44.395005</v>
      </c>
      <c r="H2218" s="18" t="n">
        <v>1273</v>
      </c>
      <c r="I2218" s="18" t="n">
        <v>7638</v>
      </c>
      <c r="J2218" s="19" t="n">
        <v>420</v>
      </c>
      <c r="K2218" s="19"/>
      <c r="L2218" s="19"/>
      <c r="M2218" s="19"/>
      <c r="N2218" s="19"/>
      <c r="O2218" s="19" t="n">
        <v>20</v>
      </c>
      <c r="P2218" s="19"/>
      <c r="Q2218" s="19"/>
      <c r="R2218" s="19" t="n">
        <v>630</v>
      </c>
      <c r="S2218" s="19"/>
      <c r="T2218" s="19"/>
      <c r="U2218" s="19"/>
      <c r="V2218" s="19" t="n">
        <v>110</v>
      </c>
      <c r="W2218" s="19"/>
      <c r="X2218" s="19" t="n">
        <v>93</v>
      </c>
      <c r="Y2218" s="19"/>
      <c r="Z2218" s="19"/>
      <c r="AA2218" s="19"/>
      <c r="AB2218" s="19"/>
      <c r="AC2218" s="19" t="n">
        <v>68</v>
      </c>
      <c r="AD2218" s="19"/>
      <c r="AE2218" s="19" t="n">
        <v>20</v>
      </c>
      <c r="AF2218" s="19"/>
      <c r="AG2218" s="19"/>
      <c r="AH2218" s="19" t="n">
        <v>1005</v>
      </c>
      <c r="AI2218" s="19"/>
      <c r="AJ2218" s="19" t="n">
        <v>180</v>
      </c>
      <c r="AK2218" s="19"/>
      <c r="AL2218" s="19"/>
      <c r="AM2218" s="19" t="n">
        <v>70</v>
      </c>
      <c r="AN2218" s="19" t="n">
        <v>97</v>
      </c>
      <c r="AO2218" s="19" t="n">
        <v>616</v>
      </c>
      <c r="AP2218" s="19" t="n">
        <v>315</v>
      </c>
      <c r="AQ2218" s="19" t="n">
        <v>166</v>
      </c>
      <c r="AR2218" s="19" t="n">
        <v>9</v>
      </c>
      <c r="AS2218" s="20" t="str">
        <f aca="false">HYPERLINK("http://www.openstreetmap.org/?mlat=35.3815&amp;mlon=44.395&amp;zoom=12#map=12/35.3815/44.395","Maplink1")</f>
        <v>Maplink1</v>
      </c>
      <c r="AT2218" s="20" t="str">
        <f aca="false">HYPERLINK("https://www.google.iq/maps/search/+35.3815,44.395/@35.3815,44.395,14z?hl=en","Maplink2")</f>
        <v>Maplink2</v>
      </c>
      <c r="AU2218" s="20" t="str">
        <f aca="false">HYPERLINK("http://www.bing.com/maps/?lvl=14&amp;sty=h&amp;cp=35.3815~44.395&amp;sp=point.35.3815_44.395","Maplink3")</f>
        <v>Maplink3</v>
      </c>
    </row>
    <row r="2219" customFormat="false" ht="15" hidden="false" customHeight="true" outlineLevel="0" collapsed="false">
      <c r="A2219" s="15" t="n">
        <v>24142</v>
      </c>
      <c r="B2219" s="16" t="s">
        <v>23</v>
      </c>
      <c r="C2219" s="16" t="s">
        <v>23</v>
      </c>
      <c r="D2219" s="16" t="s">
        <v>4342</v>
      </c>
      <c r="E2219" s="17" t="s">
        <v>4343</v>
      </c>
      <c r="F2219" s="16" t="n">
        <v>35.489187</v>
      </c>
      <c r="G2219" s="16" t="n">
        <v>44.383186</v>
      </c>
      <c r="H2219" s="18" t="n">
        <v>103</v>
      </c>
      <c r="I2219" s="18" t="n">
        <v>618</v>
      </c>
      <c r="J2219" s="19" t="n">
        <v>28</v>
      </c>
      <c r="K2219" s="19"/>
      <c r="L2219" s="19"/>
      <c r="M2219" s="19"/>
      <c r="N2219" s="19"/>
      <c r="O2219" s="19"/>
      <c r="P2219" s="19"/>
      <c r="Q2219" s="19"/>
      <c r="R2219" s="19" t="n">
        <v>8</v>
      </c>
      <c r="S2219" s="19"/>
      <c r="T2219" s="19"/>
      <c r="U2219" s="19"/>
      <c r="V2219" s="19" t="n">
        <v>42</v>
      </c>
      <c r="W2219" s="19"/>
      <c r="X2219" s="19" t="n">
        <v>25</v>
      </c>
      <c r="Y2219" s="19"/>
      <c r="Z2219" s="19"/>
      <c r="AA2219" s="19"/>
      <c r="AB2219" s="19"/>
      <c r="AC2219" s="19"/>
      <c r="AD2219" s="19"/>
      <c r="AE2219" s="19"/>
      <c r="AF2219" s="19"/>
      <c r="AG2219" s="19"/>
      <c r="AH2219" s="19" t="n">
        <v>103</v>
      </c>
      <c r="AI2219" s="19"/>
      <c r="AJ2219" s="19"/>
      <c r="AK2219" s="19"/>
      <c r="AL2219" s="19"/>
      <c r="AM2219" s="19" t="n">
        <v>67</v>
      </c>
      <c r="AN2219" s="19" t="n">
        <v>25</v>
      </c>
      <c r="AO2219" s="19"/>
      <c r="AP2219" s="19" t="n">
        <v>3</v>
      </c>
      <c r="AQ2219" s="19"/>
      <c r="AR2219" s="19" t="n">
        <v>8</v>
      </c>
      <c r="AS2219" s="20" t="str">
        <f aca="false">HYPERLINK("http://www.openstreetmap.org/?mlat=35.4892&amp;mlon=44.3832&amp;zoom=12#map=12/35.4892/44.3832","Maplink1")</f>
        <v>Maplink1</v>
      </c>
      <c r="AT2219" s="20" t="str">
        <f aca="false">HYPERLINK("https://www.google.iq/maps/search/+35.4892,44.3832/@35.4892,44.3832,14z?hl=en","Maplink2")</f>
        <v>Maplink2</v>
      </c>
      <c r="AU2219" s="20" t="str">
        <f aca="false">HYPERLINK("http://www.bing.com/maps/?lvl=14&amp;sty=h&amp;cp=35.4892~44.3832&amp;sp=point.35.4892_44.3832","Maplink3")</f>
        <v>Maplink3</v>
      </c>
    </row>
    <row r="2220" customFormat="false" ht="15" hidden="false" customHeight="true" outlineLevel="0" collapsed="false">
      <c r="A2220" s="15" t="n">
        <v>21702</v>
      </c>
      <c r="B2220" s="16" t="s">
        <v>23</v>
      </c>
      <c r="C2220" s="16" t="s">
        <v>23</v>
      </c>
      <c r="D2220" s="16" t="s">
        <v>4344</v>
      </c>
      <c r="E2220" s="17" t="s">
        <v>4345</v>
      </c>
      <c r="F2220" s="16" t="n">
        <v>35.451209</v>
      </c>
      <c r="G2220" s="16" t="n">
        <v>44.058551</v>
      </c>
      <c r="H2220" s="18" t="n">
        <v>540</v>
      </c>
      <c r="I2220" s="18" t="n">
        <v>3240</v>
      </c>
      <c r="J2220" s="19" t="n">
        <v>140</v>
      </c>
      <c r="K2220" s="19"/>
      <c r="L2220" s="19"/>
      <c r="M2220" s="19"/>
      <c r="N2220" s="19"/>
      <c r="O2220" s="19"/>
      <c r="P2220" s="19"/>
      <c r="Q2220" s="19"/>
      <c r="R2220" s="19" t="n">
        <v>250</v>
      </c>
      <c r="S2220" s="19"/>
      <c r="T2220" s="19"/>
      <c r="U2220" s="19"/>
      <c r="V2220" s="19" t="n">
        <v>115</v>
      </c>
      <c r="W2220" s="19"/>
      <c r="X2220" s="19" t="n">
        <v>35</v>
      </c>
      <c r="Y2220" s="19"/>
      <c r="Z2220" s="19"/>
      <c r="AA2220" s="19"/>
      <c r="AB2220" s="19"/>
      <c r="AC2220" s="19"/>
      <c r="AD2220" s="19"/>
      <c r="AE2220" s="19"/>
      <c r="AF2220" s="19"/>
      <c r="AG2220" s="19"/>
      <c r="AH2220" s="19" t="n">
        <v>540</v>
      </c>
      <c r="AI2220" s="19"/>
      <c r="AJ2220" s="19"/>
      <c r="AK2220" s="19"/>
      <c r="AL2220" s="19"/>
      <c r="AM2220" s="19" t="n">
        <v>195</v>
      </c>
      <c r="AN2220" s="19"/>
      <c r="AO2220" s="19" t="n">
        <v>75</v>
      </c>
      <c r="AP2220" s="19" t="n">
        <v>65</v>
      </c>
      <c r="AQ2220" s="19" t="n">
        <v>125</v>
      </c>
      <c r="AR2220" s="19" t="n">
        <v>80</v>
      </c>
      <c r="AS2220" s="20" t="str">
        <f aca="false">HYPERLINK("http://www.openstreetmap.org/?mlat=35.4512&amp;mlon=44.0586&amp;zoom=12#map=12/35.4512/44.0586","Maplink1")</f>
        <v>Maplink1</v>
      </c>
      <c r="AT2220" s="20" t="str">
        <f aca="false">HYPERLINK("https://www.google.iq/maps/search/+35.4512,44.0586/@35.4512,44.0586,14z?hl=en","Maplink2")</f>
        <v>Maplink2</v>
      </c>
      <c r="AU2220" s="20" t="str">
        <f aca="false">HYPERLINK("http://www.bing.com/maps/?lvl=14&amp;sty=h&amp;cp=35.4512~44.0586&amp;sp=point.35.4512_44.0586","Maplink3")</f>
        <v>Maplink3</v>
      </c>
    </row>
    <row r="2221" customFormat="false" ht="15" hidden="false" customHeight="true" outlineLevel="0" collapsed="false">
      <c r="A2221" s="15" t="n">
        <v>15584</v>
      </c>
      <c r="B2221" s="16" t="s">
        <v>23</v>
      </c>
      <c r="C2221" s="16" t="s">
        <v>23</v>
      </c>
      <c r="D2221" s="16" t="s">
        <v>4346</v>
      </c>
      <c r="E2221" s="17" t="s">
        <v>4347</v>
      </c>
      <c r="F2221" s="16" t="n">
        <v>35.42694444</v>
      </c>
      <c r="G2221" s="16" t="n">
        <v>44.43861111</v>
      </c>
      <c r="H2221" s="18" t="n">
        <v>995</v>
      </c>
      <c r="I2221" s="18" t="n">
        <v>5970</v>
      </c>
      <c r="J2221" s="19" t="n">
        <v>367</v>
      </c>
      <c r="K2221" s="19"/>
      <c r="L2221" s="19"/>
      <c r="M2221" s="19"/>
      <c r="N2221" s="19"/>
      <c r="O2221" s="19"/>
      <c r="P2221" s="19"/>
      <c r="Q2221" s="19"/>
      <c r="R2221" s="19" t="n">
        <v>461</v>
      </c>
      <c r="S2221" s="19"/>
      <c r="T2221" s="19"/>
      <c r="U2221" s="19"/>
      <c r="V2221" s="19" t="n">
        <v>92</v>
      </c>
      <c r="W2221" s="19"/>
      <c r="X2221" s="19" t="n">
        <v>75</v>
      </c>
      <c r="Y2221" s="19"/>
      <c r="Z2221" s="19"/>
      <c r="AA2221" s="19"/>
      <c r="AB2221" s="19"/>
      <c r="AC2221" s="19" t="n">
        <v>42</v>
      </c>
      <c r="AD2221" s="19"/>
      <c r="AE2221" s="19"/>
      <c r="AF2221" s="19"/>
      <c r="AG2221" s="19"/>
      <c r="AH2221" s="19" t="n">
        <v>953</v>
      </c>
      <c r="AI2221" s="19"/>
      <c r="AJ2221" s="19"/>
      <c r="AK2221" s="19"/>
      <c r="AL2221" s="19" t="n">
        <v>280</v>
      </c>
      <c r="AM2221" s="19" t="n">
        <v>30</v>
      </c>
      <c r="AN2221" s="19" t="n">
        <v>210</v>
      </c>
      <c r="AO2221" s="19" t="n">
        <v>85</v>
      </c>
      <c r="AP2221" s="19" t="n">
        <v>325</v>
      </c>
      <c r="AQ2221" s="19" t="n">
        <v>55</v>
      </c>
      <c r="AR2221" s="19" t="n">
        <v>10</v>
      </c>
      <c r="AS2221" s="20" t="str">
        <f aca="false">HYPERLINK("http://www.openstreetmap.org/?mlat=35.4269&amp;mlon=44.4386&amp;zoom=12#map=12/35.4269/44.4386","Maplink1")</f>
        <v>Maplink1</v>
      </c>
      <c r="AT2221" s="20" t="str">
        <f aca="false">HYPERLINK("https://www.google.iq/maps/search/+35.4269,44.4386/@35.4269,44.4386,14z?hl=en","Maplink2")</f>
        <v>Maplink2</v>
      </c>
      <c r="AU2221" s="20" t="str">
        <f aca="false">HYPERLINK("http://www.bing.com/maps/?lvl=14&amp;sty=h&amp;cp=35.4269~44.4386&amp;sp=point.35.4269_44.4386","Maplink3")</f>
        <v>Maplink3</v>
      </c>
    </row>
    <row r="2222" customFormat="false" ht="15" hidden="false" customHeight="true" outlineLevel="0" collapsed="false">
      <c r="A2222" s="15" t="n">
        <v>15694</v>
      </c>
      <c r="B2222" s="16" t="s">
        <v>23</v>
      </c>
      <c r="C2222" s="16" t="s">
        <v>23</v>
      </c>
      <c r="D2222" s="16" t="s">
        <v>4348</v>
      </c>
      <c r="E2222" s="17" t="s">
        <v>4349</v>
      </c>
      <c r="F2222" s="16" t="n">
        <v>35.462983</v>
      </c>
      <c r="G2222" s="16" t="n">
        <v>44.39857</v>
      </c>
      <c r="H2222" s="18" t="n">
        <v>935</v>
      </c>
      <c r="I2222" s="18" t="n">
        <v>5610</v>
      </c>
      <c r="J2222" s="19" t="n">
        <v>230</v>
      </c>
      <c r="K2222" s="19"/>
      <c r="L2222" s="19" t="n">
        <v>20</v>
      </c>
      <c r="M2222" s="19"/>
      <c r="N2222" s="19"/>
      <c r="O2222" s="19"/>
      <c r="P2222" s="19"/>
      <c r="Q2222" s="19"/>
      <c r="R2222" s="19" t="n">
        <v>390</v>
      </c>
      <c r="S2222" s="19"/>
      <c r="T2222" s="19"/>
      <c r="U2222" s="19"/>
      <c r="V2222" s="19" t="n">
        <v>280</v>
      </c>
      <c r="W2222" s="19"/>
      <c r="X2222" s="19" t="n">
        <v>15</v>
      </c>
      <c r="Y2222" s="19"/>
      <c r="Z2222" s="19"/>
      <c r="AA2222" s="19"/>
      <c r="AB2222" s="19"/>
      <c r="AC2222" s="19"/>
      <c r="AD2222" s="19"/>
      <c r="AE2222" s="19"/>
      <c r="AF2222" s="19"/>
      <c r="AG2222" s="19"/>
      <c r="AH2222" s="19" t="n">
        <v>935</v>
      </c>
      <c r="AI2222" s="19"/>
      <c r="AJ2222" s="19"/>
      <c r="AK2222" s="19"/>
      <c r="AL2222" s="19"/>
      <c r="AM2222" s="19" t="n">
        <v>240</v>
      </c>
      <c r="AN2222" s="19" t="n">
        <v>245</v>
      </c>
      <c r="AO2222" s="19" t="n">
        <v>85</v>
      </c>
      <c r="AP2222" s="19" t="n">
        <v>140</v>
      </c>
      <c r="AQ2222" s="19" t="n">
        <v>130</v>
      </c>
      <c r="AR2222" s="19" t="n">
        <v>95</v>
      </c>
      <c r="AS2222" s="20" t="str">
        <f aca="false">HYPERLINK("http://www.openstreetmap.org/?mlat=35.463&amp;mlon=44.3986&amp;zoom=12#map=12/35.463/44.3986","Maplink1")</f>
        <v>Maplink1</v>
      </c>
      <c r="AT2222" s="20" t="str">
        <f aca="false">HYPERLINK("https://www.google.iq/maps/search/+35.463,44.3986/@35.463,44.3986,14z?hl=en","Maplink2")</f>
        <v>Maplink2</v>
      </c>
      <c r="AU2222" s="20" t="str">
        <f aca="false">HYPERLINK("http://www.bing.com/maps/?lvl=14&amp;sty=h&amp;cp=35.463~44.3986&amp;sp=point.35.463_44.3986","Maplink3")</f>
        <v>Maplink3</v>
      </c>
    </row>
    <row r="2223" customFormat="false" ht="15" hidden="false" customHeight="true" outlineLevel="0" collapsed="false">
      <c r="A2223" s="15" t="n">
        <v>15679</v>
      </c>
      <c r="B2223" s="16" t="s">
        <v>23</v>
      </c>
      <c r="C2223" s="16" t="s">
        <v>23</v>
      </c>
      <c r="D2223" s="16" t="s">
        <v>4350</v>
      </c>
      <c r="E2223" s="17" t="s">
        <v>4351</v>
      </c>
      <c r="F2223" s="16" t="n">
        <v>35.371777</v>
      </c>
      <c r="G2223" s="16" t="n">
        <v>44.33256</v>
      </c>
      <c r="H2223" s="18" t="n">
        <v>1582</v>
      </c>
      <c r="I2223" s="18" t="n">
        <v>9492</v>
      </c>
      <c r="J2223" s="19" t="n">
        <v>442</v>
      </c>
      <c r="K2223" s="19"/>
      <c r="L2223" s="19"/>
      <c r="M2223" s="19"/>
      <c r="N2223" s="19"/>
      <c r="O2223" s="19" t="n">
        <v>10</v>
      </c>
      <c r="P2223" s="19"/>
      <c r="Q2223" s="19"/>
      <c r="R2223" s="19" t="n">
        <v>545</v>
      </c>
      <c r="S2223" s="19"/>
      <c r="T2223" s="19"/>
      <c r="U2223" s="19"/>
      <c r="V2223" s="19" t="n">
        <v>165</v>
      </c>
      <c r="W2223" s="19"/>
      <c r="X2223" s="19" t="n">
        <v>420</v>
      </c>
      <c r="Y2223" s="19"/>
      <c r="Z2223" s="19"/>
      <c r="AA2223" s="19"/>
      <c r="AB2223" s="19"/>
      <c r="AC2223" s="19" t="n">
        <v>175</v>
      </c>
      <c r="AD2223" s="19"/>
      <c r="AE2223" s="19" t="n">
        <v>25</v>
      </c>
      <c r="AF2223" s="19"/>
      <c r="AG2223" s="19"/>
      <c r="AH2223" s="19" t="n">
        <v>1382</v>
      </c>
      <c r="AI2223" s="19"/>
      <c r="AJ2223" s="19"/>
      <c r="AK2223" s="19"/>
      <c r="AL2223" s="19" t="n">
        <v>328</v>
      </c>
      <c r="AM2223" s="19" t="n">
        <v>559</v>
      </c>
      <c r="AN2223" s="19"/>
      <c r="AO2223" s="19" t="n">
        <v>168</v>
      </c>
      <c r="AP2223" s="19" t="n">
        <v>390</v>
      </c>
      <c r="AQ2223" s="19" t="n">
        <v>130</v>
      </c>
      <c r="AR2223" s="19" t="n">
        <v>7</v>
      </c>
      <c r="AS2223" s="20" t="str">
        <f aca="false">HYPERLINK("http://www.openstreetmap.org/?mlat=35.3718&amp;mlon=44.3326&amp;zoom=12#map=12/35.3718/44.3326","Maplink1")</f>
        <v>Maplink1</v>
      </c>
      <c r="AT2223" s="20" t="str">
        <f aca="false">HYPERLINK("https://www.google.iq/maps/search/+35.3718,44.3326/@35.3718,44.3326,14z?hl=en","Maplink2")</f>
        <v>Maplink2</v>
      </c>
      <c r="AU2223" s="20" t="str">
        <f aca="false">HYPERLINK("http://www.bing.com/maps/?lvl=14&amp;sty=h&amp;cp=35.3718~44.3326&amp;sp=point.35.3718_44.3326","Maplink3")</f>
        <v>Maplink3</v>
      </c>
    </row>
    <row r="2224" customFormat="false" ht="15" hidden="false" customHeight="true" outlineLevel="0" collapsed="false">
      <c r="A2224" s="15" t="n">
        <v>14611</v>
      </c>
      <c r="B2224" s="16" t="s">
        <v>23</v>
      </c>
      <c r="C2224" s="16" t="s">
        <v>23</v>
      </c>
      <c r="D2224" s="16" t="s">
        <v>4352</v>
      </c>
      <c r="E2224" s="17" t="s">
        <v>4353</v>
      </c>
      <c r="F2224" s="16" t="n">
        <v>35.42777778</v>
      </c>
      <c r="G2224" s="16" t="n">
        <v>44.22583334</v>
      </c>
      <c r="H2224" s="18" t="n">
        <v>25</v>
      </c>
      <c r="I2224" s="18" t="n">
        <v>150</v>
      </c>
      <c r="J2224" s="19"/>
      <c r="K2224" s="19"/>
      <c r="L2224" s="19"/>
      <c r="M2224" s="19"/>
      <c r="N2224" s="19"/>
      <c r="O2224" s="19"/>
      <c r="P2224" s="19"/>
      <c r="Q2224" s="19"/>
      <c r="R2224" s="19" t="n">
        <v>25</v>
      </c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19"/>
      <c r="AH2224" s="19"/>
      <c r="AI2224" s="19"/>
      <c r="AJ2224" s="19" t="n">
        <v>25</v>
      </c>
      <c r="AK2224" s="19"/>
      <c r="AL2224" s="19"/>
      <c r="AM2224" s="19"/>
      <c r="AN2224" s="19"/>
      <c r="AO2224" s="19"/>
      <c r="AP2224" s="19" t="n">
        <v>20</v>
      </c>
      <c r="AQ2224" s="19" t="n">
        <v>5</v>
      </c>
      <c r="AR2224" s="19"/>
      <c r="AS2224" s="20" t="str">
        <f aca="false">HYPERLINK("http://www.openstreetmap.org/?mlat=35.4278&amp;mlon=44.2258&amp;zoom=12#map=12/35.4278/44.2258","Maplink1")</f>
        <v>Maplink1</v>
      </c>
      <c r="AT2224" s="20" t="str">
        <f aca="false">HYPERLINK("https://www.google.iq/maps/search/+35.4278,44.2258/@35.4278,44.2258,14z?hl=en","Maplink2")</f>
        <v>Maplink2</v>
      </c>
      <c r="AU2224" s="20" t="str">
        <f aca="false">HYPERLINK("http://www.bing.com/maps/?lvl=14&amp;sty=h&amp;cp=35.4278~44.2258&amp;sp=point.35.4278_44.2258","Maplink3")</f>
        <v>Maplink3</v>
      </c>
    </row>
    <row r="2225" customFormat="false" ht="15" hidden="false" customHeight="true" outlineLevel="0" collapsed="false">
      <c r="A2225" s="15" t="n">
        <v>14530</v>
      </c>
      <c r="B2225" s="16" t="s">
        <v>23</v>
      </c>
      <c r="C2225" s="16" t="s">
        <v>23</v>
      </c>
      <c r="D2225" s="16" t="s">
        <v>4354</v>
      </c>
      <c r="E2225" s="17" t="s">
        <v>4355</v>
      </c>
      <c r="F2225" s="16" t="n">
        <v>35.4</v>
      </c>
      <c r="G2225" s="16" t="n">
        <v>44.44</v>
      </c>
      <c r="H2225" s="18" t="n">
        <v>990</v>
      </c>
      <c r="I2225" s="18" t="n">
        <v>5940</v>
      </c>
      <c r="J2225" s="19" t="n">
        <v>190</v>
      </c>
      <c r="K2225" s="19"/>
      <c r="L2225" s="19"/>
      <c r="M2225" s="19"/>
      <c r="N2225" s="19"/>
      <c r="O2225" s="19"/>
      <c r="P2225" s="19"/>
      <c r="Q2225" s="19"/>
      <c r="R2225" s="19" t="n">
        <v>620</v>
      </c>
      <c r="S2225" s="19"/>
      <c r="T2225" s="19"/>
      <c r="U2225" s="19"/>
      <c r="V2225" s="19" t="n">
        <v>15</v>
      </c>
      <c r="W2225" s="19"/>
      <c r="X2225" s="19" t="n">
        <v>165</v>
      </c>
      <c r="Y2225" s="19"/>
      <c r="Z2225" s="19"/>
      <c r="AA2225" s="19"/>
      <c r="AB2225" s="19"/>
      <c r="AC2225" s="19" t="n">
        <v>20</v>
      </c>
      <c r="AD2225" s="19"/>
      <c r="AE2225" s="19"/>
      <c r="AF2225" s="19"/>
      <c r="AG2225" s="19"/>
      <c r="AH2225" s="19" t="n">
        <v>880</v>
      </c>
      <c r="AI2225" s="19"/>
      <c r="AJ2225" s="19" t="n">
        <v>90</v>
      </c>
      <c r="AK2225" s="19"/>
      <c r="AL2225" s="19" t="n">
        <v>40</v>
      </c>
      <c r="AM2225" s="19"/>
      <c r="AN2225" s="19"/>
      <c r="AO2225" s="19" t="n">
        <v>450</v>
      </c>
      <c r="AP2225" s="19" t="n">
        <v>295</v>
      </c>
      <c r="AQ2225" s="19" t="n">
        <v>80</v>
      </c>
      <c r="AR2225" s="19" t="n">
        <v>125</v>
      </c>
      <c r="AS2225" s="20" t="str">
        <f aca="false">HYPERLINK("http://www.openstreetmap.org/?mlat=35.4&amp;mlon=44.44&amp;zoom=12#map=12/35.4/44.44","Maplink1")</f>
        <v>Maplink1</v>
      </c>
      <c r="AT2225" s="20" t="str">
        <f aca="false">HYPERLINK("https://www.google.iq/maps/search/+35.4,44.44/@35.4,44.44,14z?hl=en","Maplink2")</f>
        <v>Maplink2</v>
      </c>
      <c r="AU2225" s="20" t="str">
        <f aca="false">HYPERLINK("http://www.bing.com/maps/?lvl=14&amp;sty=h&amp;cp=35.4~44.44&amp;sp=point.35.4_44.44","Maplink3")</f>
        <v>Maplink3</v>
      </c>
    </row>
    <row r="2226" customFormat="false" ht="15" hidden="false" customHeight="true" outlineLevel="0" collapsed="false">
      <c r="A2226" s="15" t="n">
        <v>22199</v>
      </c>
      <c r="B2226" s="16" t="s">
        <v>23</v>
      </c>
      <c r="C2226" s="16" t="s">
        <v>23</v>
      </c>
      <c r="D2226" s="16" t="s">
        <v>4356</v>
      </c>
      <c r="E2226" s="17" t="s">
        <v>4357</v>
      </c>
      <c r="F2226" s="16" t="n">
        <v>35.50913</v>
      </c>
      <c r="G2226" s="16" t="n">
        <v>44.270522</v>
      </c>
      <c r="H2226" s="18" t="n">
        <v>115</v>
      </c>
      <c r="I2226" s="18" t="n">
        <v>690</v>
      </c>
      <c r="J2226" s="19" t="n">
        <v>20</v>
      </c>
      <c r="K2226" s="19"/>
      <c r="L2226" s="19"/>
      <c r="M2226" s="19"/>
      <c r="N2226" s="19"/>
      <c r="O2226" s="19"/>
      <c r="P2226" s="19"/>
      <c r="Q2226" s="19"/>
      <c r="R2226" s="19" t="n">
        <v>35</v>
      </c>
      <c r="S2226" s="19"/>
      <c r="T2226" s="19"/>
      <c r="U2226" s="19"/>
      <c r="V2226" s="19" t="n">
        <v>45</v>
      </c>
      <c r="W2226" s="19"/>
      <c r="X2226" s="19" t="n">
        <v>15</v>
      </c>
      <c r="Y2226" s="19"/>
      <c r="Z2226" s="19"/>
      <c r="AA2226" s="19"/>
      <c r="AB2226" s="19"/>
      <c r="AC2226" s="19" t="n">
        <v>20</v>
      </c>
      <c r="AD2226" s="19"/>
      <c r="AE2226" s="19"/>
      <c r="AF2226" s="19"/>
      <c r="AG2226" s="19"/>
      <c r="AH2226" s="19" t="n">
        <v>50</v>
      </c>
      <c r="AI2226" s="19"/>
      <c r="AJ2226" s="19" t="n">
        <v>45</v>
      </c>
      <c r="AK2226" s="19"/>
      <c r="AL2226" s="19" t="n">
        <v>10</v>
      </c>
      <c r="AM2226" s="19" t="n">
        <v>20</v>
      </c>
      <c r="AN2226" s="19" t="n">
        <v>15</v>
      </c>
      <c r="AO2226" s="19" t="n">
        <v>45</v>
      </c>
      <c r="AP2226" s="19" t="n">
        <v>20</v>
      </c>
      <c r="AQ2226" s="19"/>
      <c r="AR2226" s="19" t="n">
        <v>5</v>
      </c>
      <c r="AS2226" s="20" t="str">
        <f aca="false">HYPERLINK("http://www.openstreetmap.org/?mlat=35.5091&amp;mlon=44.2705&amp;zoom=12#map=12/35.5091/44.2705","Maplink1")</f>
        <v>Maplink1</v>
      </c>
      <c r="AT2226" s="20" t="str">
        <f aca="false">HYPERLINK("https://www.google.iq/maps/search/+35.5091,44.2705/@35.5091,44.2705,14z?hl=en","Maplink2")</f>
        <v>Maplink2</v>
      </c>
      <c r="AU2226" s="20" t="str">
        <f aca="false">HYPERLINK("http://www.bing.com/maps/?lvl=14&amp;sty=h&amp;cp=35.5091~44.2705&amp;sp=point.35.5091_44.2705","Maplink3")</f>
        <v>Maplink3</v>
      </c>
    </row>
    <row r="2227" customFormat="false" ht="15" hidden="false" customHeight="true" outlineLevel="0" collapsed="false">
      <c r="A2227" s="15" t="n">
        <v>22495</v>
      </c>
      <c r="B2227" s="16" t="s">
        <v>23</v>
      </c>
      <c r="C2227" s="16" t="s">
        <v>23</v>
      </c>
      <c r="D2227" s="16" t="s">
        <v>4358</v>
      </c>
      <c r="E2227" s="17" t="s">
        <v>4359</v>
      </c>
      <c r="F2227" s="16" t="n">
        <v>35.65083333</v>
      </c>
      <c r="G2227" s="16" t="n">
        <v>44.45972222</v>
      </c>
      <c r="H2227" s="18" t="n">
        <v>130</v>
      </c>
      <c r="I2227" s="18" t="n">
        <v>780</v>
      </c>
      <c r="J2227" s="19" t="n">
        <v>25</v>
      </c>
      <c r="K2227" s="19"/>
      <c r="L2227" s="19"/>
      <c r="M2227" s="19"/>
      <c r="N2227" s="19"/>
      <c r="O2227" s="19"/>
      <c r="P2227" s="19" t="n">
        <v>5</v>
      </c>
      <c r="Q2227" s="19"/>
      <c r="R2227" s="19" t="n">
        <v>60</v>
      </c>
      <c r="S2227" s="19"/>
      <c r="T2227" s="19"/>
      <c r="U2227" s="19"/>
      <c r="V2227" s="19" t="n">
        <v>10</v>
      </c>
      <c r="W2227" s="19"/>
      <c r="X2227" s="19" t="n">
        <v>30</v>
      </c>
      <c r="Y2227" s="19"/>
      <c r="Z2227" s="19"/>
      <c r="AA2227" s="19"/>
      <c r="AB2227" s="19"/>
      <c r="AC2227" s="19" t="n">
        <v>10</v>
      </c>
      <c r="AD2227" s="19"/>
      <c r="AE2227" s="19"/>
      <c r="AF2227" s="19"/>
      <c r="AG2227" s="19"/>
      <c r="AH2227" s="19" t="n">
        <v>85</v>
      </c>
      <c r="AI2227" s="19"/>
      <c r="AJ2227" s="19" t="n">
        <v>35</v>
      </c>
      <c r="AK2227" s="19"/>
      <c r="AL2227" s="19"/>
      <c r="AM2227" s="19" t="n">
        <v>10</v>
      </c>
      <c r="AN2227" s="19"/>
      <c r="AO2227" s="19" t="n">
        <v>85</v>
      </c>
      <c r="AP2227" s="19" t="n">
        <v>25</v>
      </c>
      <c r="AQ2227" s="19" t="n">
        <v>10</v>
      </c>
      <c r="AR2227" s="19"/>
      <c r="AS2227" s="20" t="str">
        <f aca="false">HYPERLINK("http://www.openstreetmap.org/?mlat=35.6508&amp;mlon=44.4597&amp;zoom=12#map=12/35.6508/44.4597","Maplink1")</f>
        <v>Maplink1</v>
      </c>
      <c r="AT2227" s="20" t="str">
        <f aca="false">HYPERLINK("https://www.google.iq/maps/search/+35.6508,44.4597/@35.6508,44.4597,14z?hl=en","Maplink2")</f>
        <v>Maplink2</v>
      </c>
      <c r="AU2227" s="20" t="str">
        <f aca="false">HYPERLINK("http://www.bing.com/maps/?lvl=14&amp;sty=h&amp;cp=35.6508~44.4597&amp;sp=point.35.6508_44.4597","Maplink3")</f>
        <v>Maplink3</v>
      </c>
    </row>
    <row r="2228" customFormat="false" ht="15" hidden="false" customHeight="true" outlineLevel="0" collapsed="false">
      <c r="A2228" s="15" t="n">
        <v>14474</v>
      </c>
      <c r="B2228" s="16" t="s">
        <v>23</v>
      </c>
      <c r="C2228" s="16" t="s">
        <v>23</v>
      </c>
      <c r="D2228" s="16" t="s">
        <v>4360</v>
      </c>
      <c r="E2228" s="17" t="s">
        <v>4361</v>
      </c>
      <c r="F2228" s="16" t="n">
        <v>35.46</v>
      </c>
      <c r="G2228" s="16" t="n">
        <v>44.25</v>
      </c>
      <c r="H2228" s="18" t="n">
        <v>30</v>
      </c>
      <c r="I2228" s="18" t="n">
        <v>180</v>
      </c>
      <c r="J2228" s="19" t="n">
        <v>9</v>
      </c>
      <c r="K2228" s="19"/>
      <c r="L2228" s="19"/>
      <c r="M2228" s="19"/>
      <c r="N2228" s="19"/>
      <c r="O2228" s="19"/>
      <c r="P2228" s="19"/>
      <c r="Q2228" s="19"/>
      <c r="R2228" s="19" t="n">
        <v>15</v>
      </c>
      <c r="S2228" s="19"/>
      <c r="T2228" s="19"/>
      <c r="U2228" s="19"/>
      <c r="V2228" s="19" t="n">
        <v>5</v>
      </c>
      <c r="W2228" s="19"/>
      <c r="X2228" s="19" t="n">
        <v>1</v>
      </c>
      <c r="Y2228" s="19"/>
      <c r="Z2228" s="19"/>
      <c r="AA2228" s="19"/>
      <c r="AB2228" s="19"/>
      <c r="AC2228" s="19" t="n">
        <v>5</v>
      </c>
      <c r="AD2228" s="19"/>
      <c r="AE2228" s="19"/>
      <c r="AF2228" s="19"/>
      <c r="AG2228" s="19"/>
      <c r="AH2228" s="19" t="n">
        <v>10</v>
      </c>
      <c r="AI2228" s="19"/>
      <c r="AJ2228" s="19" t="n">
        <v>15</v>
      </c>
      <c r="AK2228" s="19"/>
      <c r="AL2228" s="19"/>
      <c r="AM2228" s="19" t="n">
        <v>5</v>
      </c>
      <c r="AN2228" s="19"/>
      <c r="AO2228" s="19" t="n">
        <v>20</v>
      </c>
      <c r="AP2228" s="19"/>
      <c r="AQ2228" s="19" t="n">
        <v>5</v>
      </c>
      <c r="AR2228" s="19"/>
      <c r="AS2228" s="20" t="str">
        <f aca="false">HYPERLINK("http://www.openstreetmap.org/?mlat=35.46&amp;mlon=44.25&amp;zoom=12#map=12/35.46/44.25","Maplink1")</f>
        <v>Maplink1</v>
      </c>
      <c r="AT2228" s="20" t="str">
        <f aca="false">HYPERLINK("https://www.google.iq/maps/search/+35.46,44.25/@35.46,44.25,14z?hl=en","Maplink2")</f>
        <v>Maplink2</v>
      </c>
      <c r="AU2228" s="20" t="str">
        <f aca="false">HYPERLINK("http://www.bing.com/maps/?lvl=14&amp;sty=h&amp;cp=35.46~44.25&amp;sp=point.35.46_44.25","Maplink3")</f>
        <v>Maplink3</v>
      </c>
    </row>
    <row r="2229" customFormat="false" ht="15" hidden="false" customHeight="true" outlineLevel="0" collapsed="false">
      <c r="A2229" s="15" t="n">
        <v>23632</v>
      </c>
      <c r="B2229" s="16" t="s">
        <v>23</v>
      </c>
      <c r="C2229" s="16" t="s">
        <v>23</v>
      </c>
      <c r="D2229" s="16" t="s">
        <v>4362</v>
      </c>
      <c r="E2229" s="17" t="s">
        <v>4363</v>
      </c>
      <c r="F2229" s="16" t="n">
        <v>35.47138889</v>
      </c>
      <c r="G2229" s="16" t="n">
        <v>44.38444444</v>
      </c>
      <c r="H2229" s="18" t="n">
        <v>220</v>
      </c>
      <c r="I2229" s="18" t="n">
        <v>1320</v>
      </c>
      <c r="J2229" s="19" t="n">
        <v>5</v>
      </c>
      <c r="K2229" s="19"/>
      <c r="L2229" s="19"/>
      <c r="M2229" s="19"/>
      <c r="N2229" s="19"/>
      <c r="O2229" s="19"/>
      <c r="P2229" s="19"/>
      <c r="Q2229" s="19"/>
      <c r="R2229" s="19" t="n">
        <v>140</v>
      </c>
      <c r="S2229" s="19"/>
      <c r="T2229" s="19"/>
      <c r="U2229" s="19"/>
      <c r="V2229" s="19" t="n">
        <v>55</v>
      </c>
      <c r="W2229" s="19"/>
      <c r="X2229" s="19" t="n">
        <v>20</v>
      </c>
      <c r="Y2229" s="19"/>
      <c r="Z2229" s="19"/>
      <c r="AA2229" s="19"/>
      <c r="AB2229" s="19"/>
      <c r="AC2229" s="19"/>
      <c r="AD2229" s="19"/>
      <c r="AE2229" s="19"/>
      <c r="AF2229" s="19"/>
      <c r="AG2229" s="19"/>
      <c r="AH2229" s="19" t="n">
        <v>220</v>
      </c>
      <c r="AI2229" s="19"/>
      <c r="AJ2229" s="19"/>
      <c r="AK2229" s="19"/>
      <c r="AL2229" s="19"/>
      <c r="AM2229" s="19" t="n">
        <v>85</v>
      </c>
      <c r="AN2229" s="19"/>
      <c r="AO2229" s="19" t="n">
        <v>25</v>
      </c>
      <c r="AP2229" s="19" t="n">
        <v>20</v>
      </c>
      <c r="AQ2229" s="19" t="n">
        <v>80</v>
      </c>
      <c r="AR2229" s="19" t="n">
        <v>10</v>
      </c>
      <c r="AS2229" s="20" t="str">
        <f aca="false">HYPERLINK("http://www.openstreetmap.org/?mlat=35.4714&amp;mlon=44.3844&amp;zoom=12#map=12/35.4714/44.3844","Maplink1")</f>
        <v>Maplink1</v>
      </c>
      <c r="AT2229" s="20" t="str">
        <f aca="false">HYPERLINK("https://www.google.iq/maps/search/+35.4714,44.3844/@35.4714,44.3844,14z?hl=en","Maplink2")</f>
        <v>Maplink2</v>
      </c>
      <c r="AU2229" s="20" t="str">
        <f aca="false">HYPERLINK("http://www.bing.com/maps/?lvl=14&amp;sty=h&amp;cp=35.4714~44.3844&amp;sp=point.35.4714_44.3844","Maplink3")</f>
        <v>Maplink3</v>
      </c>
    </row>
    <row r="2230" customFormat="false" ht="15" hidden="false" customHeight="true" outlineLevel="0" collapsed="false">
      <c r="A2230" s="15" t="n">
        <v>14763</v>
      </c>
      <c r="B2230" s="16" t="s">
        <v>23</v>
      </c>
      <c r="C2230" s="16" t="s">
        <v>23</v>
      </c>
      <c r="D2230" s="16" t="s">
        <v>4364</v>
      </c>
      <c r="E2230" s="17" t="s">
        <v>4365</v>
      </c>
      <c r="F2230" s="16" t="n">
        <v>35.498827</v>
      </c>
      <c r="G2230" s="16" t="n">
        <v>44.394158</v>
      </c>
      <c r="H2230" s="18" t="n">
        <v>1013</v>
      </c>
      <c r="I2230" s="18" t="n">
        <v>6078</v>
      </c>
      <c r="J2230" s="19" t="n">
        <v>203</v>
      </c>
      <c r="K2230" s="19"/>
      <c r="L2230" s="19"/>
      <c r="M2230" s="19"/>
      <c r="N2230" s="19"/>
      <c r="O2230" s="19"/>
      <c r="P2230" s="19"/>
      <c r="Q2230" s="19"/>
      <c r="R2230" s="19" t="n">
        <v>285</v>
      </c>
      <c r="S2230" s="19"/>
      <c r="T2230" s="19"/>
      <c r="U2230" s="19"/>
      <c r="V2230" s="19" t="n">
        <v>325</v>
      </c>
      <c r="W2230" s="19"/>
      <c r="X2230" s="19" t="n">
        <v>200</v>
      </c>
      <c r="Y2230" s="19"/>
      <c r="Z2230" s="19"/>
      <c r="AA2230" s="19"/>
      <c r="AB2230" s="19"/>
      <c r="AC2230" s="19"/>
      <c r="AD2230" s="19"/>
      <c r="AE2230" s="19"/>
      <c r="AF2230" s="19"/>
      <c r="AG2230" s="19"/>
      <c r="AH2230" s="19" t="n">
        <v>1013</v>
      </c>
      <c r="AI2230" s="19"/>
      <c r="AJ2230" s="19"/>
      <c r="AK2230" s="19"/>
      <c r="AL2230" s="19"/>
      <c r="AM2230" s="19" t="n">
        <v>293</v>
      </c>
      <c r="AN2230" s="19" t="n">
        <v>60</v>
      </c>
      <c r="AO2230" s="19" t="n">
        <v>75</v>
      </c>
      <c r="AP2230" s="19" t="n">
        <v>470</v>
      </c>
      <c r="AQ2230" s="19" t="n">
        <v>115</v>
      </c>
      <c r="AR2230" s="19"/>
      <c r="AS2230" s="20" t="str">
        <f aca="false">HYPERLINK("http://www.openstreetmap.org/?mlat=35.4988&amp;mlon=44.3942&amp;zoom=12#map=12/35.4988/44.3942","Maplink1")</f>
        <v>Maplink1</v>
      </c>
      <c r="AT2230" s="20" t="str">
        <f aca="false">HYPERLINK("https://www.google.iq/maps/search/+35.4988,44.3942/@35.4988,44.3942,14z?hl=en","Maplink2")</f>
        <v>Maplink2</v>
      </c>
      <c r="AU2230" s="20" t="str">
        <f aca="false">HYPERLINK("http://www.bing.com/maps/?lvl=14&amp;sty=h&amp;cp=35.4988~44.3942&amp;sp=point.35.4988_44.3942","Maplink3")</f>
        <v>Maplink3</v>
      </c>
    </row>
    <row r="2231" customFormat="false" ht="15" hidden="false" customHeight="true" outlineLevel="0" collapsed="false">
      <c r="A2231" s="15" t="n">
        <v>23634</v>
      </c>
      <c r="B2231" s="16" t="s">
        <v>23</v>
      </c>
      <c r="C2231" s="16" t="s">
        <v>23</v>
      </c>
      <c r="D2231" s="16" t="s">
        <v>3539</v>
      </c>
      <c r="E2231" s="17" t="s">
        <v>4366</v>
      </c>
      <c r="F2231" s="16" t="n">
        <v>35.4475</v>
      </c>
      <c r="G2231" s="16" t="n">
        <v>44.40916667</v>
      </c>
      <c r="H2231" s="18" t="n">
        <v>390</v>
      </c>
      <c r="I2231" s="18" t="n">
        <v>2340</v>
      </c>
      <c r="J2231" s="19" t="n">
        <v>100</v>
      </c>
      <c r="K2231" s="19"/>
      <c r="L2231" s="19"/>
      <c r="M2231" s="19"/>
      <c r="N2231" s="19"/>
      <c r="O2231" s="19"/>
      <c r="P2231" s="19"/>
      <c r="Q2231" s="19"/>
      <c r="R2231" s="19" t="n">
        <v>115</v>
      </c>
      <c r="S2231" s="19"/>
      <c r="T2231" s="19"/>
      <c r="U2231" s="19"/>
      <c r="V2231" s="19" t="n">
        <v>35</v>
      </c>
      <c r="W2231" s="19"/>
      <c r="X2231" s="19" t="n">
        <v>140</v>
      </c>
      <c r="Y2231" s="19"/>
      <c r="Z2231" s="19"/>
      <c r="AA2231" s="19"/>
      <c r="AB2231" s="19"/>
      <c r="AC2231" s="19"/>
      <c r="AD2231" s="19"/>
      <c r="AE2231" s="19"/>
      <c r="AF2231" s="19"/>
      <c r="AG2231" s="19"/>
      <c r="AH2231" s="19" t="n">
        <v>390</v>
      </c>
      <c r="AI2231" s="19"/>
      <c r="AJ2231" s="19"/>
      <c r="AK2231" s="19"/>
      <c r="AL2231" s="19"/>
      <c r="AM2231" s="19" t="n">
        <v>145</v>
      </c>
      <c r="AN2231" s="19" t="n">
        <v>65</v>
      </c>
      <c r="AO2231" s="19" t="n">
        <v>20</v>
      </c>
      <c r="AP2231" s="19" t="n">
        <v>55</v>
      </c>
      <c r="AQ2231" s="19" t="n">
        <v>75</v>
      </c>
      <c r="AR2231" s="19" t="n">
        <v>30</v>
      </c>
      <c r="AS2231" s="20" t="str">
        <f aca="false">HYPERLINK("http://www.openstreetmap.org/?mlat=35.4475&amp;mlon=44.4092&amp;zoom=12#map=12/35.4475/44.4092","Maplink1")</f>
        <v>Maplink1</v>
      </c>
      <c r="AT2231" s="20" t="str">
        <f aca="false">HYPERLINK("https://www.google.iq/maps/search/+35.4475,44.4092/@35.4475,44.4092,14z?hl=en","Maplink2")</f>
        <v>Maplink2</v>
      </c>
      <c r="AU2231" s="20" t="str">
        <f aca="false">HYPERLINK("http://www.bing.com/maps/?lvl=14&amp;sty=h&amp;cp=35.4475~44.4092&amp;sp=point.35.4475_44.4092","Maplink3")</f>
        <v>Maplink3</v>
      </c>
    </row>
    <row r="2232" customFormat="false" ht="15" hidden="false" customHeight="true" outlineLevel="0" collapsed="false">
      <c r="A2232" s="15" t="n">
        <v>24806</v>
      </c>
      <c r="B2232" s="16" t="s">
        <v>23</v>
      </c>
      <c r="C2232" s="16" t="s">
        <v>23</v>
      </c>
      <c r="D2232" s="16" t="s">
        <v>4367</v>
      </c>
      <c r="E2232" s="17" t="s">
        <v>4368</v>
      </c>
      <c r="F2232" s="16" t="n">
        <v>35.460494</v>
      </c>
      <c r="G2232" s="16" t="n">
        <v>44.37772</v>
      </c>
      <c r="H2232" s="18" t="n">
        <v>295</v>
      </c>
      <c r="I2232" s="18" t="n">
        <v>1770</v>
      </c>
      <c r="J2232" s="19" t="n">
        <v>80</v>
      </c>
      <c r="K2232" s="19"/>
      <c r="L2232" s="19"/>
      <c r="M2232" s="19"/>
      <c r="N2232" s="19"/>
      <c r="O2232" s="19"/>
      <c r="P2232" s="19"/>
      <c r="Q2232" s="19"/>
      <c r="R2232" s="19" t="n">
        <v>73</v>
      </c>
      <c r="S2232" s="19"/>
      <c r="T2232" s="19"/>
      <c r="U2232" s="19"/>
      <c r="V2232" s="19" t="n">
        <v>82</v>
      </c>
      <c r="W2232" s="19"/>
      <c r="X2232" s="19" t="n">
        <v>60</v>
      </c>
      <c r="Y2232" s="19"/>
      <c r="Z2232" s="19"/>
      <c r="AA2232" s="19"/>
      <c r="AB2232" s="19"/>
      <c r="AC2232" s="19"/>
      <c r="AD2232" s="19"/>
      <c r="AE2232" s="19"/>
      <c r="AF2232" s="19"/>
      <c r="AG2232" s="19"/>
      <c r="AH2232" s="19" t="n">
        <v>245</v>
      </c>
      <c r="AI2232" s="19"/>
      <c r="AJ2232" s="19" t="n">
        <v>50</v>
      </c>
      <c r="AK2232" s="19"/>
      <c r="AL2232" s="19" t="n">
        <v>40</v>
      </c>
      <c r="AM2232" s="19" t="n">
        <v>65</v>
      </c>
      <c r="AN2232" s="19" t="n">
        <v>45</v>
      </c>
      <c r="AO2232" s="19" t="n">
        <v>50</v>
      </c>
      <c r="AP2232" s="19" t="n">
        <v>50</v>
      </c>
      <c r="AQ2232" s="19" t="n">
        <v>40</v>
      </c>
      <c r="AR2232" s="19" t="n">
        <v>5</v>
      </c>
      <c r="AS2232" s="20" t="str">
        <f aca="false">HYPERLINK("http://www.openstreetmap.org/?mlat=35.4605&amp;mlon=44.3777&amp;zoom=12#map=12/35.4605/44.3777","Maplink1")</f>
        <v>Maplink1</v>
      </c>
      <c r="AT2232" s="20" t="str">
        <f aca="false">HYPERLINK("https://www.google.iq/maps/search/+35.4605,44.3777/@35.4605,44.3777,14z?hl=en","Maplink2")</f>
        <v>Maplink2</v>
      </c>
      <c r="AU2232" s="20" t="str">
        <f aca="false">HYPERLINK("http://www.bing.com/maps/?lvl=14&amp;sty=h&amp;cp=35.4605~44.3777&amp;sp=point.35.4605_44.3777","Maplink3")</f>
        <v>Maplink3</v>
      </c>
    </row>
    <row r="2233" customFormat="false" ht="15" hidden="false" customHeight="true" outlineLevel="0" collapsed="false">
      <c r="A2233" s="15" t="n">
        <v>24422</v>
      </c>
      <c r="B2233" s="16" t="s">
        <v>23</v>
      </c>
      <c r="C2233" s="16" t="s">
        <v>23</v>
      </c>
      <c r="D2233" s="16" t="s">
        <v>4369</v>
      </c>
      <c r="E2233" s="17" t="s">
        <v>4370</v>
      </c>
      <c r="F2233" s="16" t="n">
        <v>35.378021</v>
      </c>
      <c r="G2233" s="16" t="n">
        <v>44.3563</v>
      </c>
      <c r="H2233" s="18" t="n">
        <v>130</v>
      </c>
      <c r="I2233" s="18" t="n">
        <v>780</v>
      </c>
      <c r="J2233" s="19" t="n">
        <v>20</v>
      </c>
      <c r="K2233" s="19"/>
      <c r="L2233" s="19"/>
      <c r="M2233" s="19"/>
      <c r="N2233" s="19"/>
      <c r="O2233" s="19" t="n">
        <v>15</v>
      </c>
      <c r="P2233" s="19"/>
      <c r="Q2233" s="19"/>
      <c r="R2233" s="19" t="n">
        <v>35</v>
      </c>
      <c r="S2233" s="19"/>
      <c r="T2233" s="19"/>
      <c r="U2233" s="19"/>
      <c r="V2233" s="19"/>
      <c r="W2233" s="19"/>
      <c r="X2233" s="19" t="n">
        <v>60</v>
      </c>
      <c r="Y2233" s="19"/>
      <c r="Z2233" s="19"/>
      <c r="AA2233" s="19"/>
      <c r="AB2233" s="19"/>
      <c r="AC2233" s="19"/>
      <c r="AD2233" s="19"/>
      <c r="AE2233" s="19"/>
      <c r="AF2233" s="19"/>
      <c r="AG2233" s="19"/>
      <c r="AH2233" s="19"/>
      <c r="AI2233" s="19"/>
      <c r="AJ2233" s="19" t="n">
        <v>130</v>
      </c>
      <c r="AK2233" s="19"/>
      <c r="AL2233" s="19"/>
      <c r="AM2233" s="19" t="n">
        <v>70</v>
      </c>
      <c r="AN2233" s="19"/>
      <c r="AO2233" s="19" t="n">
        <v>15</v>
      </c>
      <c r="AP2233" s="19" t="n">
        <v>20</v>
      </c>
      <c r="AQ2233" s="19"/>
      <c r="AR2233" s="19" t="n">
        <v>25</v>
      </c>
      <c r="AS2233" s="20" t="str">
        <f aca="false">HYPERLINK("http://www.openstreetmap.org/?mlat=35.378&amp;mlon=44.3563&amp;zoom=12#map=12/35.378/44.3563","Maplink1")</f>
        <v>Maplink1</v>
      </c>
      <c r="AT2233" s="20" t="str">
        <f aca="false">HYPERLINK("https://www.google.iq/maps/search/+35.378,44.3563/@35.378,44.3563,14z?hl=en","Maplink2")</f>
        <v>Maplink2</v>
      </c>
      <c r="AU2233" s="20" t="str">
        <f aca="false">HYPERLINK("http://www.bing.com/maps/?lvl=14&amp;sty=h&amp;cp=35.378~44.3563&amp;sp=point.35.378_44.3563","Maplink3")</f>
        <v>Maplink3</v>
      </c>
    </row>
    <row r="2234" customFormat="false" ht="15" hidden="false" customHeight="true" outlineLevel="0" collapsed="false">
      <c r="A2234" s="15" t="n">
        <v>28410</v>
      </c>
      <c r="B2234" s="16" t="s">
        <v>23</v>
      </c>
      <c r="C2234" s="16" t="s">
        <v>23</v>
      </c>
      <c r="D2234" s="16" t="s">
        <v>4371</v>
      </c>
      <c r="E2234" s="17" t="s">
        <v>4372</v>
      </c>
      <c r="F2234" s="16" t="n">
        <v>35.556455</v>
      </c>
      <c r="G2234" s="16" t="n">
        <v>44.359601</v>
      </c>
      <c r="H2234" s="18" t="n">
        <v>62</v>
      </c>
      <c r="I2234" s="18" t="n">
        <v>372</v>
      </c>
      <c r="J2234" s="19"/>
      <c r="K2234" s="19"/>
      <c r="L2234" s="19"/>
      <c r="M2234" s="19"/>
      <c r="N2234" s="19"/>
      <c r="O2234" s="19"/>
      <c r="P2234" s="19"/>
      <c r="Q2234" s="19"/>
      <c r="R2234" s="19" t="n">
        <v>2</v>
      </c>
      <c r="S2234" s="19"/>
      <c r="T2234" s="19"/>
      <c r="U2234" s="19"/>
      <c r="V2234" s="19" t="n">
        <v>60</v>
      </c>
      <c r="W2234" s="19"/>
      <c r="X2234" s="19"/>
      <c r="Y2234" s="19"/>
      <c r="Z2234" s="19"/>
      <c r="AA2234" s="19"/>
      <c r="AB2234" s="19"/>
      <c r="AC2234" s="19"/>
      <c r="AD2234" s="19"/>
      <c r="AE2234" s="19"/>
      <c r="AF2234" s="19"/>
      <c r="AG2234" s="19"/>
      <c r="AH2234" s="19" t="n">
        <v>62</v>
      </c>
      <c r="AI2234" s="19"/>
      <c r="AJ2234" s="19"/>
      <c r="AK2234" s="19"/>
      <c r="AL2234" s="19"/>
      <c r="AM2234" s="19"/>
      <c r="AN2234" s="19" t="n">
        <v>43</v>
      </c>
      <c r="AO2234" s="19"/>
      <c r="AP2234" s="19"/>
      <c r="AQ2234" s="19" t="n">
        <v>2</v>
      </c>
      <c r="AR2234" s="19" t="n">
        <v>17</v>
      </c>
      <c r="AS2234" s="20" t="str">
        <f aca="false">HYPERLINK("http://www.openstreetmap.org/?mlat=35.5565&amp;mlon=44.3596&amp;zoom=12#map=12/35.5565/44.3596","Maplink1")</f>
        <v>Maplink1</v>
      </c>
      <c r="AT2234" s="20" t="str">
        <f aca="false">HYPERLINK("https://www.google.iq/maps/search/+35.5565,44.3596/@35.5565,44.3596,14z?hl=en","Maplink2")</f>
        <v>Maplink2</v>
      </c>
      <c r="AU2234" s="20" t="str">
        <f aca="false">HYPERLINK("http://www.bing.com/maps/?lvl=14&amp;sty=h&amp;cp=35.5565~44.3596&amp;sp=point.35.5565_44.3596","Maplink3")</f>
        <v>Maplink3</v>
      </c>
    </row>
    <row r="2235" customFormat="false" ht="15" hidden="false" customHeight="true" outlineLevel="0" collapsed="false">
      <c r="A2235" s="15" t="n">
        <v>15442</v>
      </c>
      <c r="B2235" s="16" t="s">
        <v>23</v>
      </c>
      <c r="C2235" s="16" t="s">
        <v>23</v>
      </c>
      <c r="D2235" s="16" t="s">
        <v>4373</v>
      </c>
      <c r="E2235" s="17" t="s">
        <v>4374</v>
      </c>
      <c r="F2235" s="16" t="n">
        <v>35.524789</v>
      </c>
      <c r="G2235" s="16" t="n">
        <v>44.384492</v>
      </c>
      <c r="H2235" s="18" t="n">
        <v>78</v>
      </c>
      <c r="I2235" s="18" t="n">
        <v>468</v>
      </c>
      <c r="J2235" s="19"/>
      <c r="K2235" s="19"/>
      <c r="L2235" s="19"/>
      <c r="M2235" s="19"/>
      <c r="N2235" s="19"/>
      <c r="O2235" s="19"/>
      <c r="P2235" s="19"/>
      <c r="Q2235" s="19"/>
      <c r="R2235" s="19" t="n">
        <v>70</v>
      </c>
      <c r="S2235" s="19"/>
      <c r="T2235" s="19"/>
      <c r="U2235" s="19"/>
      <c r="V2235" s="19" t="n">
        <v>8</v>
      </c>
      <c r="W2235" s="19"/>
      <c r="X2235" s="19"/>
      <c r="Y2235" s="19"/>
      <c r="Z2235" s="19"/>
      <c r="AA2235" s="19"/>
      <c r="AB2235" s="19"/>
      <c r="AC2235" s="19"/>
      <c r="AD2235" s="19"/>
      <c r="AE2235" s="19"/>
      <c r="AF2235" s="19"/>
      <c r="AG2235" s="19"/>
      <c r="AH2235" s="19" t="n">
        <v>78</v>
      </c>
      <c r="AI2235" s="19"/>
      <c r="AJ2235" s="19"/>
      <c r="AK2235" s="19"/>
      <c r="AL2235" s="19"/>
      <c r="AM2235" s="19"/>
      <c r="AN2235" s="19"/>
      <c r="AO2235" s="19"/>
      <c r="AP2235" s="19" t="n">
        <v>60</v>
      </c>
      <c r="AQ2235" s="19"/>
      <c r="AR2235" s="19" t="n">
        <v>18</v>
      </c>
      <c r="AS2235" s="20" t="str">
        <f aca="false">HYPERLINK("http://www.openstreetmap.org/?mlat=35.5248&amp;mlon=44.3845&amp;zoom=12#map=12/35.5248/44.3845","Maplink1")</f>
        <v>Maplink1</v>
      </c>
      <c r="AT2235" s="20" t="str">
        <f aca="false">HYPERLINK("https://www.google.iq/maps/search/+35.5248,44.3845/@35.5248,44.3845,14z?hl=en","Maplink2")</f>
        <v>Maplink2</v>
      </c>
      <c r="AU2235" s="20" t="str">
        <f aca="false">HYPERLINK("http://www.bing.com/maps/?lvl=14&amp;sty=h&amp;cp=35.5248~44.3845&amp;sp=point.35.5248_44.3845","Maplink3")</f>
        <v>Maplink3</v>
      </c>
    </row>
    <row r="2236" customFormat="false" ht="15" hidden="false" customHeight="true" outlineLevel="0" collapsed="false">
      <c r="A2236" s="15" t="n">
        <v>15522</v>
      </c>
      <c r="B2236" s="16" t="s">
        <v>23</v>
      </c>
      <c r="C2236" s="16" t="s">
        <v>23</v>
      </c>
      <c r="D2236" s="16" t="s">
        <v>4375</v>
      </c>
      <c r="E2236" s="17" t="s">
        <v>4376</v>
      </c>
      <c r="F2236" s="16" t="n">
        <v>35.752675</v>
      </c>
      <c r="G2236" s="16" t="n">
        <v>44.530261</v>
      </c>
      <c r="H2236" s="18" t="n">
        <v>131</v>
      </c>
      <c r="I2236" s="18" t="n">
        <v>786</v>
      </c>
      <c r="J2236" s="19" t="n">
        <v>9</v>
      </c>
      <c r="K2236" s="19"/>
      <c r="L2236" s="19"/>
      <c r="M2236" s="19"/>
      <c r="N2236" s="19"/>
      <c r="O2236" s="19"/>
      <c r="P2236" s="19"/>
      <c r="Q2236" s="19"/>
      <c r="R2236" s="19" t="n">
        <v>18</v>
      </c>
      <c r="S2236" s="19"/>
      <c r="T2236" s="19"/>
      <c r="U2236" s="19"/>
      <c r="V2236" s="19" t="n">
        <v>67</v>
      </c>
      <c r="W2236" s="19"/>
      <c r="X2236" s="19" t="n">
        <v>37</v>
      </c>
      <c r="Y2236" s="19"/>
      <c r="Z2236" s="19"/>
      <c r="AA2236" s="19"/>
      <c r="AB2236" s="19"/>
      <c r="AC2236" s="19"/>
      <c r="AD2236" s="19"/>
      <c r="AE2236" s="19"/>
      <c r="AF2236" s="19"/>
      <c r="AG2236" s="19"/>
      <c r="AH2236" s="19" t="n">
        <v>131</v>
      </c>
      <c r="AI2236" s="19"/>
      <c r="AJ2236" s="19"/>
      <c r="AK2236" s="19"/>
      <c r="AL2236" s="19"/>
      <c r="AM2236" s="19" t="n">
        <v>34</v>
      </c>
      <c r="AN2236" s="19" t="n">
        <v>45</v>
      </c>
      <c r="AO2236" s="19" t="n">
        <v>7</v>
      </c>
      <c r="AP2236" s="19"/>
      <c r="AQ2236" s="19" t="n">
        <v>20</v>
      </c>
      <c r="AR2236" s="19" t="n">
        <v>25</v>
      </c>
      <c r="AS2236" s="20" t="str">
        <f aca="false">HYPERLINK("http://www.openstreetmap.org/?mlat=35.7527&amp;mlon=44.5303&amp;zoom=12#map=12/35.7527/44.5303","Maplink1")</f>
        <v>Maplink1</v>
      </c>
      <c r="AT2236" s="20" t="str">
        <f aca="false">HYPERLINK("https://www.google.iq/maps/search/+35.7527,44.5303/@35.7527,44.5303,14z?hl=en","Maplink2")</f>
        <v>Maplink2</v>
      </c>
      <c r="AU2236" s="20" t="str">
        <f aca="false">HYPERLINK("http://www.bing.com/maps/?lvl=14&amp;sty=h&amp;cp=35.7527~44.5303&amp;sp=point.35.7527_44.5303","Maplink3")</f>
        <v>Maplink3</v>
      </c>
    </row>
    <row r="2237" customFormat="false" ht="15" hidden="false" customHeight="true" outlineLevel="0" collapsed="false">
      <c r="A2237" s="15" t="n">
        <v>14703</v>
      </c>
      <c r="B2237" s="16" t="s">
        <v>23</v>
      </c>
      <c r="C2237" s="16" t="s">
        <v>23</v>
      </c>
      <c r="D2237" s="16" t="s">
        <v>4377</v>
      </c>
      <c r="E2237" s="17" t="s">
        <v>4378</v>
      </c>
      <c r="F2237" s="16" t="n">
        <v>35.44</v>
      </c>
      <c r="G2237" s="16" t="n">
        <v>44.36</v>
      </c>
      <c r="H2237" s="18" t="n">
        <v>360</v>
      </c>
      <c r="I2237" s="18" t="n">
        <v>2160</v>
      </c>
      <c r="J2237" s="19" t="n">
        <v>50</v>
      </c>
      <c r="K2237" s="19"/>
      <c r="L2237" s="19"/>
      <c r="M2237" s="19"/>
      <c r="N2237" s="19"/>
      <c r="O2237" s="19"/>
      <c r="P2237" s="19"/>
      <c r="Q2237" s="19"/>
      <c r="R2237" s="19" t="n">
        <v>207</v>
      </c>
      <c r="S2237" s="19"/>
      <c r="T2237" s="19"/>
      <c r="U2237" s="19"/>
      <c r="V2237" s="19" t="n">
        <v>48</v>
      </c>
      <c r="W2237" s="19"/>
      <c r="X2237" s="19" t="n">
        <v>55</v>
      </c>
      <c r="Y2237" s="19"/>
      <c r="Z2237" s="19"/>
      <c r="AA2237" s="19"/>
      <c r="AB2237" s="19"/>
      <c r="AC2237" s="19" t="n">
        <v>45</v>
      </c>
      <c r="AD2237" s="19"/>
      <c r="AE2237" s="19"/>
      <c r="AF2237" s="19"/>
      <c r="AG2237" s="19"/>
      <c r="AH2237" s="19" t="n">
        <v>240</v>
      </c>
      <c r="AI2237" s="19"/>
      <c r="AJ2237" s="19" t="n">
        <v>75</v>
      </c>
      <c r="AK2237" s="19"/>
      <c r="AL2237" s="19"/>
      <c r="AM2237" s="19" t="n">
        <v>40</v>
      </c>
      <c r="AN2237" s="19" t="n">
        <v>30</v>
      </c>
      <c r="AO2237" s="19" t="n">
        <v>125</v>
      </c>
      <c r="AP2237" s="19" t="n">
        <v>130</v>
      </c>
      <c r="AQ2237" s="19"/>
      <c r="AR2237" s="19" t="n">
        <v>35</v>
      </c>
      <c r="AS2237" s="20" t="str">
        <f aca="false">HYPERLINK("http://www.openstreetmap.org/?mlat=35.44&amp;mlon=44.36&amp;zoom=12#map=12/35.44/44.36","Maplink1")</f>
        <v>Maplink1</v>
      </c>
      <c r="AT2237" s="20" t="str">
        <f aca="false">HYPERLINK("https://www.google.iq/maps/search/+35.44,44.36/@35.44,44.36,14z?hl=en","Maplink2")</f>
        <v>Maplink2</v>
      </c>
      <c r="AU2237" s="20" t="str">
        <f aca="false">HYPERLINK("http://www.bing.com/maps/?lvl=14&amp;sty=h&amp;cp=35.44~44.36&amp;sp=point.35.44_44.36","Maplink3")</f>
        <v>Maplink3</v>
      </c>
    </row>
    <row r="2238" customFormat="false" ht="15" hidden="false" customHeight="true" outlineLevel="0" collapsed="false">
      <c r="A2238" s="15" t="n">
        <v>14464</v>
      </c>
      <c r="B2238" s="16" t="s">
        <v>23</v>
      </c>
      <c r="C2238" s="16" t="s">
        <v>23</v>
      </c>
      <c r="D2238" s="16" t="s">
        <v>4379</v>
      </c>
      <c r="E2238" s="17" t="s">
        <v>4380</v>
      </c>
      <c r="F2238" s="16" t="n">
        <v>35.441255</v>
      </c>
      <c r="G2238" s="16" t="n">
        <v>44.236114</v>
      </c>
      <c r="H2238" s="18" t="n">
        <v>360</v>
      </c>
      <c r="I2238" s="18" t="n">
        <v>2160</v>
      </c>
      <c r="J2238" s="19" t="n">
        <v>95</v>
      </c>
      <c r="K2238" s="19"/>
      <c r="L2238" s="19"/>
      <c r="M2238" s="19"/>
      <c r="N2238" s="19"/>
      <c r="O2238" s="19"/>
      <c r="P2238" s="19"/>
      <c r="Q2238" s="19"/>
      <c r="R2238" s="19" t="n">
        <v>220</v>
      </c>
      <c r="S2238" s="19"/>
      <c r="T2238" s="19"/>
      <c r="U2238" s="19"/>
      <c r="V2238" s="19"/>
      <c r="W2238" s="19"/>
      <c r="X2238" s="19" t="n">
        <v>45</v>
      </c>
      <c r="Y2238" s="19"/>
      <c r="Z2238" s="19"/>
      <c r="AA2238" s="19"/>
      <c r="AB2238" s="19"/>
      <c r="AC2238" s="19" t="n">
        <v>20</v>
      </c>
      <c r="AD2238" s="19"/>
      <c r="AE2238" s="19"/>
      <c r="AF2238" s="19"/>
      <c r="AG2238" s="19"/>
      <c r="AH2238" s="19" t="n">
        <v>290</v>
      </c>
      <c r="AI2238" s="19"/>
      <c r="AJ2238" s="19" t="n">
        <v>50</v>
      </c>
      <c r="AK2238" s="19"/>
      <c r="AL2238" s="19" t="n">
        <v>10</v>
      </c>
      <c r="AM2238" s="19"/>
      <c r="AN2238" s="19" t="n">
        <v>15</v>
      </c>
      <c r="AO2238" s="19" t="n">
        <v>180</v>
      </c>
      <c r="AP2238" s="19" t="n">
        <v>60</v>
      </c>
      <c r="AQ2238" s="19" t="n">
        <v>30</v>
      </c>
      <c r="AR2238" s="19" t="n">
        <v>65</v>
      </c>
      <c r="AS2238" s="20" t="str">
        <f aca="false">HYPERLINK("http://www.openstreetmap.org/?mlat=35.4413&amp;mlon=44.2361&amp;zoom=12#map=12/35.4413/44.2361","Maplink1")</f>
        <v>Maplink1</v>
      </c>
      <c r="AT2238" s="20" t="str">
        <f aca="false">HYPERLINK("https://www.google.iq/maps/search/+35.4413,44.2361/@35.4413,44.2361,14z?hl=en","Maplink2")</f>
        <v>Maplink2</v>
      </c>
      <c r="AU2238" s="20" t="str">
        <f aca="false">HYPERLINK("http://www.bing.com/maps/?lvl=14&amp;sty=h&amp;cp=35.4413~44.2361&amp;sp=point.35.4413_44.2361","Maplink3")</f>
        <v>Maplink3</v>
      </c>
    </row>
    <row r="2239" customFormat="false" ht="15" hidden="false" customHeight="true" outlineLevel="0" collapsed="false">
      <c r="A2239" s="15" t="n">
        <v>23901</v>
      </c>
      <c r="B2239" s="16" t="s">
        <v>23</v>
      </c>
      <c r="C2239" s="16" t="s">
        <v>23</v>
      </c>
      <c r="D2239" s="16" t="s">
        <v>4381</v>
      </c>
      <c r="E2239" s="17" t="s">
        <v>4382</v>
      </c>
      <c r="F2239" s="16" t="n">
        <v>35.396743</v>
      </c>
      <c r="G2239" s="16" t="n">
        <v>44.226979</v>
      </c>
      <c r="H2239" s="18" t="n">
        <v>59</v>
      </c>
      <c r="I2239" s="18" t="n">
        <v>354</v>
      </c>
      <c r="J2239" s="19" t="n">
        <v>6</v>
      </c>
      <c r="K2239" s="19"/>
      <c r="L2239" s="19"/>
      <c r="M2239" s="19"/>
      <c r="N2239" s="19"/>
      <c r="O2239" s="19"/>
      <c r="P2239" s="19"/>
      <c r="Q2239" s="19"/>
      <c r="R2239" s="19" t="n">
        <v>26</v>
      </c>
      <c r="S2239" s="19"/>
      <c r="T2239" s="19"/>
      <c r="U2239" s="19"/>
      <c r="V2239" s="19"/>
      <c r="W2239" s="19"/>
      <c r="X2239" s="19" t="n">
        <v>27</v>
      </c>
      <c r="Y2239" s="19"/>
      <c r="Z2239" s="19"/>
      <c r="AA2239" s="19"/>
      <c r="AB2239" s="19"/>
      <c r="AC2239" s="19" t="n">
        <v>19</v>
      </c>
      <c r="AD2239" s="19"/>
      <c r="AE2239" s="19"/>
      <c r="AF2239" s="19"/>
      <c r="AG2239" s="19"/>
      <c r="AH2239" s="19" t="n">
        <v>20</v>
      </c>
      <c r="AI2239" s="19"/>
      <c r="AJ2239" s="19" t="n">
        <v>20</v>
      </c>
      <c r="AK2239" s="19"/>
      <c r="AL2239" s="19"/>
      <c r="AM2239" s="19" t="n">
        <v>10</v>
      </c>
      <c r="AN2239" s="19"/>
      <c r="AO2239" s="19" t="n">
        <v>30</v>
      </c>
      <c r="AP2239" s="19" t="n">
        <v>14</v>
      </c>
      <c r="AQ2239" s="19" t="n">
        <v>5</v>
      </c>
      <c r="AR2239" s="19"/>
      <c r="AS2239" s="20" t="str">
        <f aca="false">HYPERLINK("http://www.openstreetmap.org/?mlat=35.3967&amp;mlon=44.227&amp;zoom=12#map=12/35.3967/44.227","Maplink1")</f>
        <v>Maplink1</v>
      </c>
      <c r="AT2239" s="20" t="str">
        <f aca="false">HYPERLINK("https://www.google.iq/maps/search/+35.3967,44.227/@35.3967,44.227,14z?hl=en","Maplink2")</f>
        <v>Maplink2</v>
      </c>
      <c r="AU2239" s="20" t="str">
        <f aca="false">HYPERLINK("http://www.bing.com/maps/?lvl=14&amp;sty=h&amp;cp=35.3967~44.227&amp;sp=point.35.3967_44.227","Maplink3")</f>
        <v>Maplink3</v>
      </c>
    </row>
    <row r="2240" customFormat="false" ht="15" hidden="false" customHeight="true" outlineLevel="0" collapsed="false">
      <c r="A2240" s="15" t="n">
        <v>23900</v>
      </c>
      <c r="B2240" s="16" t="s">
        <v>23</v>
      </c>
      <c r="C2240" s="16" t="s">
        <v>23</v>
      </c>
      <c r="D2240" s="16" t="s">
        <v>4383</v>
      </c>
      <c r="E2240" s="17" t="s">
        <v>4384</v>
      </c>
      <c r="F2240" s="16" t="n">
        <v>35.38639</v>
      </c>
      <c r="G2240" s="16" t="n">
        <v>44.268521</v>
      </c>
      <c r="H2240" s="18" t="n">
        <v>197</v>
      </c>
      <c r="I2240" s="18" t="n">
        <v>1182</v>
      </c>
      <c r="J2240" s="19" t="n">
        <v>42</v>
      </c>
      <c r="K2240" s="19"/>
      <c r="L2240" s="19"/>
      <c r="M2240" s="19"/>
      <c r="N2240" s="19"/>
      <c r="O2240" s="19" t="n">
        <v>5</v>
      </c>
      <c r="P2240" s="19"/>
      <c r="Q2240" s="19"/>
      <c r="R2240" s="19" t="n">
        <v>105</v>
      </c>
      <c r="S2240" s="19"/>
      <c r="T2240" s="19"/>
      <c r="U2240" s="19"/>
      <c r="V2240" s="19" t="n">
        <v>5</v>
      </c>
      <c r="W2240" s="19"/>
      <c r="X2240" s="19" t="n">
        <v>40</v>
      </c>
      <c r="Y2240" s="19"/>
      <c r="Z2240" s="19"/>
      <c r="AA2240" s="19"/>
      <c r="AB2240" s="19"/>
      <c r="AC2240" s="19" t="n">
        <v>25</v>
      </c>
      <c r="AD2240" s="19"/>
      <c r="AE2240" s="19"/>
      <c r="AF2240" s="19"/>
      <c r="AG2240" s="19"/>
      <c r="AH2240" s="19" t="n">
        <v>142</v>
      </c>
      <c r="AI2240" s="19"/>
      <c r="AJ2240" s="19" t="n">
        <v>30</v>
      </c>
      <c r="AK2240" s="19"/>
      <c r="AL2240" s="19"/>
      <c r="AM2240" s="19" t="n">
        <v>7</v>
      </c>
      <c r="AN2240" s="19"/>
      <c r="AO2240" s="19" t="n">
        <v>145</v>
      </c>
      <c r="AP2240" s="19" t="n">
        <v>20</v>
      </c>
      <c r="AQ2240" s="19" t="n">
        <v>20</v>
      </c>
      <c r="AR2240" s="19" t="n">
        <v>5</v>
      </c>
      <c r="AS2240" s="20" t="str">
        <f aca="false">HYPERLINK("http://www.openstreetmap.org/?mlat=35.3864&amp;mlon=44.2685&amp;zoom=12#map=12/35.3864/44.2685","Maplink1")</f>
        <v>Maplink1</v>
      </c>
      <c r="AT2240" s="20" t="str">
        <f aca="false">HYPERLINK("https://www.google.iq/maps/search/+35.3864,44.2685/@35.3864,44.2685,14z?hl=en","Maplink2")</f>
        <v>Maplink2</v>
      </c>
      <c r="AU2240" s="20" t="str">
        <f aca="false">HYPERLINK("http://www.bing.com/maps/?lvl=14&amp;sty=h&amp;cp=35.3864~44.2685&amp;sp=point.35.3864_44.2685","Maplink3")</f>
        <v>Maplink3</v>
      </c>
    </row>
    <row r="2241" customFormat="false" ht="15" hidden="false" customHeight="true" outlineLevel="0" collapsed="false">
      <c r="A2241" s="15" t="n">
        <v>27379</v>
      </c>
      <c r="B2241" s="16" t="s">
        <v>24</v>
      </c>
      <c r="C2241" s="16" t="s">
        <v>4385</v>
      </c>
      <c r="D2241" s="16" t="s">
        <v>4386</v>
      </c>
      <c r="E2241" s="17" t="s">
        <v>4387</v>
      </c>
      <c r="F2241" s="16" t="n">
        <v>31.8451773</v>
      </c>
      <c r="G2241" s="16" t="n">
        <v>47.35811342</v>
      </c>
      <c r="H2241" s="18" t="n">
        <v>1</v>
      </c>
      <c r="I2241" s="18" t="n">
        <v>6</v>
      </c>
      <c r="J2241" s="19"/>
      <c r="K2241" s="19"/>
      <c r="L2241" s="19" t="n">
        <v>1</v>
      </c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  <c r="AA2241" s="19"/>
      <c r="AB2241" s="19"/>
      <c r="AC2241" s="19"/>
      <c r="AD2241" s="19"/>
      <c r="AE2241" s="19"/>
      <c r="AF2241" s="19"/>
      <c r="AG2241" s="19"/>
      <c r="AH2241" s="19" t="n">
        <v>1</v>
      </c>
      <c r="AI2241" s="19"/>
      <c r="AJ2241" s="19"/>
      <c r="AK2241" s="19"/>
      <c r="AL2241" s="19"/>
      <c r="AM2241" s="19"/>
      <c r="AN2241" s="19"/>
      <c r="AO2241" s="19" t="n">
        <v>1</v>
      </c>
      <c r="AP2241" s="19"/>
      <c r="AQ2241" s="19"/>
      <c r="AR2241" s="19"/>
      <c r="AS2241" s="20" t="str">
        <f aca="false">HYPERLINK("http://www.openstreetmap.org/?mlat=31.8452&amp;mlon=47.3581&amp;zoom=12#map=12/31.8452/47.3581","Maplink1")</f>
        <v>Maplink1</v>
      </c>
      <c r="AT2241" s="20" t="str">
        <f aca="false">HYPERLINK("https://www.google.iq/maps/search/+31.8452,47.3581/@31.8452,47.3581,14z?hl=en","Maplink2")</f>
        <v>Maplink2</v>
      </c>
      <c r="AU2241" s="20" t="str">
        <f aca="false">HYPERLINK("http://www.bing.com/maps/?lvl=14&amp;sty=h&amp;cp=31.8452~47.3581&amp;sp=point.31.8452_47.3581","Maplink3")</f>
        <v>Maplink3</v>
      </c>
    </row>
    <row r="2242" customFormat="false" ht="15" hidden="false" customHeight="true" outlineLevel="0" collapsed="false">
      <c r="A2242" s="15" t="n">
        <v>25274</v>
      </c>
      <c r="B2242" s="16" t="s">
        <v>24</v>
      </c>
      <c r="C2242" s="16" t="s">
        <v>4385</v>
      </c>
      <c r="D2242" s="16" t="s">
        <v>4388</v>
      </c>
      <c r="E2242" s="17" t="s">
        <v>4389</v>
      </c>
      <c r="F2242" s="16" t="n">
        <v>31.80574057</v>
      </c>
      <c r="G2242" s="16" t="n">
        <v>47.42068483</v>
      </c>
      <c r="H2242" s="18" t="n">
        <v>1</v>
      </c>
      <c r="I2242" s="18" t="n">
        <v>6</v>
      </c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 t="n">
        <v>1</v>
      </c>
      <c r="Y2242" s="19"/>
      <c r="Z2242" s="19"/>
      <c r="AA2242" s="19"/>
      <c r="AB2242" s="19"/>
      <c r="AC2242" s="19"/>
      <c r="AD2242" s="19"/>
      <c r="AE2242" s="19" t="n">
        <v>1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n">
        <v>1</v>
      </c>
      <c r="AP2242" s="19"/>
      <c r="AQ2242" s="19"/>
      <c r="AR2242" s="19"/>
      <c r="AS2242" s="20" t="str">
        <f aca="false">HYPERLINK("http://www.openstreetmap.org/?mlat=31.8057&amp;mlon=47.4207&amp;zoom=12#map=12/31.8057/47.4207","Maplink1")</f>
        <v>Maplink1</v>
      </c>
      <c r="AT2242" s="20" t="str">
        <f aca="false">HYPERLINK("https://www.google.iq/maps/search/+31.8057,47.4207/@31.8057,47.4207,14z?hl=en","Maplink2")</f>
        <v>Maplink2</v>
      </c>
      <c r="AU2242" s="20" t="str">
        <f aca="false">HYPERLINK("http://www.bing.com/maps/?lvl=14&amp;sty=h&amp;cp=31.8057~47.4207&amp;sp=point.31.8057_47.4207","Maplink3")</f>
        <v>Maplink3</v>
      </c>
    </row>
    <row r="2243" customFormat="false" ht="15" hidden="false" customHeight="true" outlineLevel="0" collapsed="false">
      <c r="A2243" s="15" t="n">
        <v>23871</v>
      </c>
      <c r="B2243" s="16" t="s">
        <v>24</v>
      </c>
      <c r="C2243" s="16" t="s">
        <v>4385</v>
      </c>
      <c r="D2243" s="16" t="s">
        <v>4390</v>
      </c>
      <c r="E2243" s="17" t="s">
        <v>4391</v>
      </c>
      <c r="F2243" s="16" t="n">
        <v>31.84736921</v>
      </c>
      <c r="G2243" s="16" t="n">
        <v>47.38586557</v>
      </c>
      <c r="H2243" s="18" t="n">
        <v>3</v>
      </c>
      <c r="I2243" s="18" t="n">
        <v>18</v>
      </c>
      <c r="J2243" s="19"/>
      <c r="K2243" s="19"/>
      <c r="L2243" s="19" t="n">
        <v>3</v>
      </c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  <c r="AA2243" s="19"/>
      <c r="AB2243" s="19"/>
      <c r="AC2243" s="19"/>
      <c r="AD2243" s="19"/>
      <c r="AE2243" s="19" t="n">
        <v>3</v>
      </c>
      <c r="AF2243" s="19"/>
      <c r="AG2243" s="19"/>
      <c r="AH2243" s="19"/>
      <c r="AI2243" s="19"/>
      <c r="AJ2243" s="19"/>
      <c r="AK2243" s="19"/>
      <c r="AL2243" s="19"/>
      <c r="AM2243" s="19"/>
      <c r="AN2243" s="19" t="n">
        <v>3</v>
      </c>
      <c r="AO2243" s="19"/>
      <c r="AP2243" s="19"/>
      <c r="AQ2243" s="19"/>
      <c r="AR2243" s="19"/>
      <c r="AS2243" s="20" t="str">
        <f aca="false">HYPERLINK("http://www.openstreetmap.org/?mlat=31.8474&amp;mlon=47.3859&amp;zoom=12#map=12/31.8474/47.3859","Maplink1")</f>
        <v>Maplink1</v>
      </c>
      <c r="AT2243" s="20" t="str">
        <f aca="false">HYPERLINK("https://www.google.iq/maps/search/+31.8474,47.3859/@31.8474,47.3859,14z?hl=en","Maplink2")</f>
        <v>Maplink2</v>
      </c>
      <c r="AU2243" s="20" t="str">
        <f aca="false">HYPERLINK("http://www.bing.com/maps/?lvl=14&amp;sty=h&amp;cp=31.8474~47.3859&amp;sp=point.31.8474_47.3859","Maplink3")</f>
        <v>Maplink3</v>
      </c>
    </row>
    <row r="2244" customFormat="false" ht="15" hidden="false" customHeight="true" outlineLevel="0" collapsed="false">
      <c r="A2244" s="15" t="n">
        <v>29505</v>
      </c>
      <c r="B2244" s="16" t="s">
        <v>24</v>
      </c>
      <c r="C2244" s="16" t="s">
        <v>4385</v>
      </c>
      <c r="D2244" s="16" t="s">
        <v>4392</v>
      </c>
      <c r="E2244" s="17" t="s">
        <v>4393</v>
      </c>
      <c r="F2244" s="16" t="n">
        <v>31.67661953</v>
      </c>
      <c r="G2244" s="16" t="n">
        <v>47.28375429</v>
      </c>
      <c r="H2244" s="18" t="n">
        <v>1</v>
      </c>
      <c r="I2244" s="18" t="n">
        <v>6</v>
      </c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 t="n">
        <v>1</v>
      </c>
      <c r="Y2244" s="19"/>
      <c r="Z2244" s="19"/>
      <c r="AA2244" s="19"/>
      <c r="AB2244" s="19"/>
      <c r="AC2244" s="19"/>
      <c r="AD2244" s="19"/>
      <c r="AE2244" s="19"/>
      <c r="AF2244" s="19"/>
      <c r="AG2244" s="19"/>
      <c r="AH2244" s="19" t="n">
        <v>1</v>
      </c>
      <c r="AI2244" s="19"/>
      <c r="AJ2244" s="19"/>
      <c r="AK2244" s="19"/>
      <c r="AL2244" s="19"/>
      <c r="AM2244" s="19"/>
      <c r="AN2244" s="19" t="n">
        <v>1</v>
      </c>
      <c r="AO2244" s="19"/>
      <c r="AP2244" s="19"/>
      <c r="AQ2244" s="19"/>
      <c r="AR2244" s="19"/>
      <c r="AS2244" s="20" t="str">
        <f aca="false">HYPERLINK("http://www.openstreetmap.org/?mlat=31.6766&amp;mlon=47.2838&amp;zoom=12#map=12/31.6766/47.2838","Maplink1")</f>
        <v>Maplink1</v>
      </c>
      <c r="AT2244" s="20" t="str">
        <f aca="false">HYPERLINK("https://www.google.iq/maps/search/+31.6766,47.2838/@31.6766,47.2838,14z?hl=en","Maplink2")</f>
        <v>Maplink2</v>
      </c>
      <c r="AU2244" s="20" t="str">
        <f aca="false">HYPERLINK("http://www.bing.com/maps/?lvl=14&amp;sty=h&amp;cp=31.6766~47.2838&amp;sp=point.31.6766_47.2838","Maplink3")</f>
        <v>Maplink3</v>
      </c>
    </row>
    <row r="2245" customFormat="false" ht="15" hidden="false" customHeight="true" outlineLevel="0" collapsed="false">
      <c r="A2245" s="15" t="n">
        <v>16292</v>
      </c>
      <c r="B2245" s="16" t="s">
        <v>24</v>
      </c>
      <c r="C2245" s="16" t="s">
        <v>4385</v>
      </c>
      <c r="D2245" s="16" t="s">
        <v>4394</v>
      </c>
      <c r="E2245" s="17" t="s">
        <v>4395</v>
      </c>
      <c r="F2245" s="16" t="n">
        <v>31.6759038</v>
      </c>
      <c r="G2245" s="16" t="n">
        <v>47.29328007</v>
      </c>
      <c r="H2245" s="18" t="n">
        <v>3</v>
      </c>
      <c r="I2245" s="18" t="n">
        <v>18</v>
      </c>
      <c r="J2245" s="19"/>
      <c r="K2245" s="19"/>
      <c r="L2245" s="19"/>
      <c r="M2245" s="19"/>
      <c r="N2245" s="19"/>
      <c r="O2245" s="19"/>
      <c r="P2245" s="19"/>
      <c r="Q2245" s="19"/>
      <c r="R2245" s="19" t="n">
        <v>3</v>
      </c>
      <c r="S2245" s="19"/>
      <c r="T2245" s="19"/>
      <c r="U2245" s="19"/>
      <c r="V2245" s="19"/>
      <c r="W2245" s="19"/>
      <c r="X2245" s="19"/>
      <c r="Y2245" s="19"/>
      <c r="Z2245" s="19"/>
      <c r="AA2245" s="19"/>
      <c r="AB2245" s="19"/>
      <c r="AC2245" s="19" t="n">
        <v>2</v>
      </c>
      <c r="AD2245" s="19"/>
      <c r="AE2245" s="19"/>
      <c r="AF2245" s="19"/>
      <c r="AG2245" s="19"/>
      <c r="AH2245" s="19" t="n">
        <v>1</v>
      </c>
      <c r="AI2245" s="19"/>
      <c r="AJ2245" s="19"/>
      <c r="AK2245" s="19"/>
      <c r="AL2245" s="19"/>
      <c r="AM2245" s="19"/>
      <c r="AN2245" s="19" t="n">
        <v>3</v>
      </c>
      <c r="AO2245" s="19"/>
      <c r="AP2245" s="19"/>
      <c r="AQ2245" s="19"/>
      <c r="AR2245" s="19"/>
      <c r="AS2245" s="20" t="str">
        <f aca="false">HYPERLINK("http://www.openstreetmap.org/?mlat=31.6759&amp;mlon=47.2933&amp;zoom=12#map=12/31.6759/47.2933","Maplink1")</f>
        <v>Maplink1</v>
      </c>
      <c r="AT2245" s="20" t="str">
        <f aca="false">HYPERLINK("https://www.google.iq/maps/search/+31.6759,47.2933/@31.6759,47.2933,14z?hl=en","Maplink2")</f>
        <v>Maplink2</v>
      </c>
      <c r="AU2245" s="20" t="str">
        <f aca="false">HYPERLINK("http://www.bing.com/maps/?lvl=14&amp;sty=h&amp;cp=31.6759~47.2933&amp;sp=point.31.6759_47.2933","Maplink3")</f>
        <v>Maplink3</v>
      </c>
    </row>
    <row r="2246" customFormat="false" ht="15" hidden="false" customHeight="true" outlineLevel="0" collapsed="false">
      <c r="A2246" s="15" t="n">
        <v>22093</v>
      </c>
      <c r="B2246" s="16" t="s">
        <v>24</v>
      </c>
      <c r="C2246" s="16" t="s">
        <v>4385</v>
      </c>
      <c r="D2246" s="16" t="s">
        <v>2026</v>
      </c>
      <c r="E2246" s="17" t="s">
        <v>2027</v>
      </c>
      <c r="F2246" s="16" t="n">
        <v>31.666176</v>
      </c>
      <c r="G2246" s="16" t="n">
        <v>47.297424</v>
      </c>
      <c r="H2246" s="18" t="n">
        <v>1</v>
      </c>
      <c r="I2246" s="18" t="n">
        <v>6</v>
      </c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 t="n">
        <v>1</v>
      </c>
      <c r="W2246" s="19"/>
      <c r="X2246" s="19"/>
      <c r="Y2246" s="19"/>
      <c r="Z2246" s="19"/>
      <c r="AA2246" s="19"/>
      <c r="AB2246" s="19"/>
      <c r="AC2246" s="19"/>
      <c r="AD2246" s="19"/>
      <c r="AE2246" s="19"/>
      <c r="AF2246" s="19"/>
      <c r="AG2246" s="19"/>
      <c r="AH2246" s="19" t="n">
        <v>1</v>
      </c>
      <c r="AI2246" s="19"/>
      <c r="AJ2246" s="19"/>
      <c r="AK2246" s="19"/>
      <c r="AL2246" s="19"/>
      <c r="AM2246" s="19" t="n">
        <v>1</v>
      </c>
      <c r="AN2246" s="19"/>
      <c r="AO2246" s="19"/>
      <c r="AP2246" s="19"/>
      <c r="AQ2246" s="19"/>
      <c r="AR2246" s="19"/>
      <c r="AS2246" s="20" t="str">
        <f aca="false">HYPERLINK("http://www.openstreetmap.org/?mlat=31.6662&amp;mlon=47.2974&amp;zoom=12#map=12/31.6662/47.2974","Maplink1")</f>
        <v>Maplink1</v>
      </c>
      <c r="AT2246" s="20" t="str">
        <f aca="false">HYPERLINK("https://www.google.iq/maps/search/+31.6662,47.2974/@31.6662,47.2974,14z?hl=en","Maplink2")</f>
        <v>Maplink2</v>
      </c>
      <c r="AU2246" s="20" t="str">
        <f aca="false">HYPERLINK("http://www.bing.com/maps/?lvl=14&amp;sty=h&amp;cp=31.6662~47.2974&amp;sp=point.31.6662_47.2974","Maplink3")</f>
        <v>Maplink3</v>
      </c>
    </row>
    <row r="2247" customFormat="false" ht="15" hidden="false" customHeight="true" outlineLevel="0" collapsed="false">
      <c r="A2247" s="15" t="n">
        <v>16170</v>
      </c>
      <c r="B2247" s="16" t="s">
        <v>24</v>
      </c>
      <c r="C2247" s="16" t="s">
        <v>4396</v>
      </c>
      <c r="D2247" s="16" t="s">
        <v>4397</v>
      </c>
      <c r="E2247" s="17" t="s">
        <v>4398</v>
      </c>
      <c r="F2247" s="16" t="n">
        <v>31.54315671</v>
      </c>
      <c r="G2247" s="16" t="n">
        <v>46.97010641</v>
      </c>
      <c r="H2247" s="18" t="n">
        <v>1</v>
      </c>
      <c r="I2247" s="18" t="n">
        <v>6</v>
      </c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 t="n">
        <v>1</v>
      </c>
      <c r="Y2247" s="19"/>
      <c r="Z2247" s="19"/>
      <c r="AA2247" s="19"/>
      <c r="AB2247" s="19"/>
      <c r="AC2247" s="19" t="n">
        <v>1</v>
      </c>
      <c r="AD2247" s="19"/>
      <c r="AE2247" s="19"/>
      <c r="AF2247" s="19"/>
      <c r="AG2247" s="19"/>
      <c r="AH2247" s="19"/>
      <c r="AI2247" s="19"/>
      <c r="AJ2247" s="19"/>
      <c r="AK2247" s="19"/>
      <c r="AL2247" s="19"/>
      <c r="AM2247" s="19" t="n">
        <v>1</v>
      </c>
      <c r="AN2247" s="19"/>
      <c r="AO2247" s="19"/>
      <c r="AP2247" s="19"/>
      <c r="AQ2247" s="19"/>
      <c r="AR2247" s="19"/>
      <c r="AS2247" s="20" t="str">
        <f aca="false">HYPERLINK("http://www.openstreetmap.org/?mlat=31.5432&amp;mlon=46.9701&amp;zoom=12#map=12/31.5432/46.9701","Maplink1")</f>
        <v>Maplink1</v>
      </c>
      <c r="AT2247" s="20" t="str">
        <f aca="false">HYPERLINK("https://www.google.iq/maps/search/+31.5432,46.9701/@31.5432,46.9701,14z?hl=en","Maplink2")</f>
        <v>Maplink2</v>
      </c>
      <c r="AU2247" s="20" t="str">
        <f aca="false">HYPERLINK("http://www.bing.com/maps/?lvl=14&amp;sty=h&amp;cp=31.5432~46.9701&amp;sp=point.31.5432_46.9701","Maplink3")</f>
        <v>Maplink3</v>
      </c>
    </row>
    <row r="2248" customFormat="false" ht="15" hidden="false" customHeight="true" outlineLevel="0" collapsed="false">
      <c r="A2248" s="15" t="n">
        <v>27267</v>
      </c>
      <c r="B2248" s="16" t="s">
        <v>24</v>
      </c>
      <c r="C2248" s="16" t="s">
        <v>4396</v>
      </c>
      <c r="D2248" s="16" t="s">
        <v>4399</v>
      </c>
      <c r="E2248" s="17" t="s">
        <v>4400</v>
      </c>
      <c r="F2248" s="16" t="n">
        <v>31.67957516</v>
      </c>
      <c r="G2248" s="16" t="n">
        <v>46.96175829</v>
      </c>
      <c r="H2248" s="18" t="n">
        <v>2</v>
      </c>
      <c r="I2248" s="18" t="n">
        <v>12</v>
      </c>
      <c r="J2248" s="19"/>
      <c r="K2248" s="19"/>
      <c r="L2248" s="19" t="n">
        <v>1</v>
      </c>
      <c r="M2248" s="19"/>
      <c r="N2248" s="19"/>
      <c r="O2248" s="19" t="n">
        <v>1</v>
      </c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  <c r="AA2248" s="19"/>
      <c r="AB2248" s="19"/>
      <c r="AC2248" s="19" t="n">
        <v>1</v>
      </c>
      <c r="AD2248" s="19"/>
      <c r="AE2248" s="19"/>
      <c r="AF2248" s="19"/>
      <c r="AG2248" s="19"/>
      <c r="AH2248" s="19" t="n">
        <v>1</v>
      </c>
      <c r="AI2248" s="19"/>
      <c r="AJ2248" s="19"/>
      <c r="AK2248" s="19"/>
      <c r="AL2248" s="19"/>
      <c r="AM2248" s="19"/>
      <c r="AN2248" s="19" t="n">
        <v>1</v>
      </c>
      <c r="AO2248" s="19" t="n">
        <v>1</v>
      </c>
      <c r="AP2248" s="19"/>
      <c r="AQ2248" s="19"/>
      <c r="AR2248" s="19"/>
      <c r="AS2248" s="20" t="str">
        <f aca="false">HYPERLINK("http://www.openstreetmap.org/?mlat=31.6796&amp;mlon=46.9618&amp;zoom=12#map=12/31.6796/46.9618","Maplink1")</f>
        <v>Maplink1</v>
      </c>
      <c r="AT2248" s="20" t="str">
        <f aca="false">HYPERLINK("https://www.google.iq/maps/search/+31.6796,46.9618/@31.6796,46.9618,14z?hl=en","Maplink2")</f>
        <v>Maplink2</v>
      </c>
      <c r="AU2248" s="20" t="str">
        <f aca="false">HYPERLINK("http://www.bing.com/maps/?lvl=14&amp;sty=h&amp;cp=31.6796~46.9618&amp;sp=point.31.6796_46.9618","Maplink3")</f>
        <v>Maplink3</v>
      </c>
    </row>
    <row r="2249" customFormat="false" ht="15" hidden="false" customHeight="true" outlineLevel="0" collapsed="false">
      <c r="A2249" s="15" t="n">
        <v>24579</v>
      </c>
      <c r="B2249" s="16" t="s">
        <v>24</v>
      </c>
      <c r="C2249" s="16" t="s">
        <v>4396</v>
      </c>
      <c r="D2249" s="16" t="s">
        <v>4401</v>
      </c>
      <c r="E2249" s="17" t="s">
        <v>4402</v>
      </c>
      <c r="F2249" s="16" t="n">
        <v>31.72137236</v>
      </c>
      <c r="G2249" s="16" t="n">
        <v>46.72768492</v>
      </c>
      <c r="H2249" s="18" t="n">
        <v>1</v>
      </c>
      <c r="I2249" s="18" t="n">
        <v>6</v>
      </c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 t="n">
        <v>1</v>
      </c>
      <c r="W2249" s="19"/>
      <c r="X2249" s="19"/>
      <c r="Y2249" s="19"/>
      <c r="Z2249" s="19"/>
      <c r="AA2249" s="19"/>
      <c r="AB2249" s="19"/>
      <c r="AC2249" s="19" t="n">
        <v>1</v>
      </c>
      <c r="AD2249" s="19"/>
      <c r="AE2249" s="19"/>
      <c r="AF2249" s="19"/>
      <c r="AG2249" s="19"/>
      <c r="AH2249" s="19"/>
      <c r="AI2249" s="19"/>
      <c r="AJ2249" s="19"/>
      <c r="AK2249" s="19"/>
      <c r="AL2249" s="19"/>
      <c r="AM2249" s="19" t="n">
        <v>1</v>
      </c>
      <c r="AN2249" s="19"/>
      <c r="AO2249" s="19"/>
      <c r="AP2249" s="19"/>
      <c r="AQ2249" s="19"/>
      <c r="AR2249" s="19"/>
      <c r="AS2249" s="20" t="str">
        <f aca="false">HYPERLINK("http://www.openstreetmap.org/?mlat=31.7214&amp;mlon=46.7277&amp;zoom=12#map=12/31.7214/46.7277","Maplink1")</f>
        <v>Maplink1</v>
      </c>
      <c r="AT2249" s="20" t="str">
        <f aca="false">HYPERLINK("https://www.google.iq/maps/search/+31.7214,46.7277/@31.7214,46.7277,14z?hl=en","Maplink2")</f>
        <v>Maplink2</v>
      </c>
      <c r="AU2249" s="20" t="str">
        <f aca="false">HYPERLINK("http://www.bing.com/maps/?lvl=14&amp;sty=h&amp;cp=31.7214~46.7277&amp;sp=point.31.7214_46.7277","Maplink3")</f>
        <v>Maplink3</v>
      </c>
    </row>
    <row r="2250" customFormat="false" ht="15" hidden="false" customHeight="true" outlineLevel="0" collapsed="false">
      <c r="A2250" s="15" t="n">
        <v>24537</v>
      </c>
      <c r="B2250" s="16" t="s">
        <v>24</v>
      </c>
      <c r="C2250" s="16" t="s">
        <v>4403</v>
      </c>
      <c r="D2250" s="16" t="s">
        <v>4404</v>
      </c>
      <c r="E2250" s="17" t="s">
        <v>4405</v>
      </c>
      <c r="F2250" s="16" t="n">
        <v>31.55204526</v>
      </c>
      <c r="G2250" s="16" t="n">
        <v>47.15303801</v>
      </c>
      <c r="H2250" s="18" t="n">
        <v>2</v>
      </c>
      <c r="I2250" s="18" t="n">
        <v>12</v>
      </c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 t="n">
        <v>2</v>
      </c>
      <c r="W2250" s="19"/>
      <c r="X2250" s="19"/>
      <c r="Y2250" s="19"/>
      <c r="Z2250" s="19"/>
      <c r="AA2250" s="19"/>
      <c r="AB2250" s="19"/>
      <c r="AC2250" s="19" t="n">
        <v>2</v>
      </c>
      <c r="AD2250" s="19"/>
      <c r="AE2250" s="19"/>
      <c r="AF2250" s="19"/>
      <c r="AG2250" s="19"/>
      <c r="AH2250" s="19"/>
      <c r="AI2250" s="19"/>
      <c r="AJ2250" s="19"/>
      <c r="AK2250" s="19"/>
      <c r="AL2250" s="19"/>
      <c r="AM2250" s="19"/>
      <c r="AN2250" s="19" t="n">
        <v>2</v>
      </c>
      <c r="AO2250" s="19"/>
      <c r="AP2250" s="19"/>
      <c r="AQ2250" s="19"/>
      <c r="AR2250" s="19"/>
      <c r="AS2250" s="20" t="str">
        <f aca="false">HYPERLINK("http://www.openstreetmap.org/?mlat=31.552&amp;mlon=47.153&amp;zoom=12#map=12/31.552/47.153","Maplink1")</f>
        <v>Maplink1</v>
      </c>
      <c r="AT2250" s="20" t="str">
        <f aca="false">HYPERLINK("https://www.google.iq/maps/search/+31.552,47.153/@31.552,47.153,14z?hl=en","Maplink2")</f>
        <v>Maplink2</v>
      </c>
      <c r="AU2250" s="20" t="str">
        <f aca="false">HYPERLINK("http://www.bing.com/maps/?lvl=14&amp;sty=h&amp;cp=31.552~47.153&amp;sp=point.31.552_47.153","Maplink3")</f>
        <v>Maplink3</v>
      </c>
    </row>
    <row r="2251" customFormat="false" ht="15" hidden="false" customHeight="true" outlineLevel="0" collapsed="false">
      <c r="A2251" s="15" t="n">
        <v>24551</v>
      </c>
      <c r="B2251" s="16" t="s">
        <v>24</v>
      </c>
      <c r="C2251" s="16" t="s">
        <v>4403</v>
      </c>
      <c r="D2251" s="16" t="s">
        <v>4406</v>
      </c>
      <c r="E2251" s="17" t="s">
        <v>4407</v>
      </c>
      <c r="F2251" s="16" t="n">
        <v>31.6284704</v>
      </c>
      <c r="G2251" s="16" t="n">
        <v>47.19432894</v>
      </c>
      <c r="H2251" s="18" t="n">
        <v>1</v>
      </c>
      <c r="I2251" s="18" t="n">
        <v>6</v>
      </c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 t="n">
        <v>1</v>
      </c>
      <c r="W2251" s="19"/>
      <c r="X2251" s="19"/>
      <c r="Y2251" s="19"/>
      <c r="Z2251" s="19"/>
      <c r="AA2251" s="19"/>
      <c r="AB2251" s="19"/>
      <c r="AC2251" s="19"/>
      <c r="AD2251" s="19"/>
      <c r="AE2251" s="19"/>
      <c r="AF2251" s="19"/>
      <c r="AG2251" s="19"/>
      <c r="AH2251" s="19" t="n">
        <v>1</v>
      </c>
      <c r="AI2251" s="19"/>
      <c r="AJ2251" s="19"/>
      <c r="AK2251" s="19"/>
      <c r="AL2251" s="19"/>
      <c r="AM2251" s="19"/>
      <c r="AN2251" s="19" t="n">
        <v>1</v>
      </c>
      <c r="AO2251" s="19"/>
      <c r="AP2251" s="19"/>
      <c r="AQ2251" s="19"/>
      <c r="AR2251" s="19"/>
      <c r="AS2251" s="20" t="str">
        <f aca="false">HYPERLINK("http://www.openstreetmap.org/?mlat=31.6285&amp;mlon=47.1943&amp;zoom=12#map=12/31.6285/47.1943","Maplink1")</f>
        <v>Maplink1</v>
      </c>
      <c r="AT2251" s="20" t="str">
        <f aca="false">HYPERLINK("https://www.google.iq/maps/search/+31.6285,47.1943/@31.6285,47.1943,14z?hl=en","Maplink2")</f>
        <v>Maplink2</v>
      </c>
      <c r="AU2251" s="20" t="str">
        <f aca="false">HYPERLINK("http://www.bing.com/maps/?lvl=14&amp;sty=h&amp;cp=31.6285~47.1943&amp;sp=point.31.6285_47.1943","Maplink3")</f>
        <v>Maplink3</v>
      </c>
    </row>
    <row r="2252" customFormat="false" ht="15" hidden="false" customHeight="true" outlineLevel="0" collapsed="false">
      <c r="A2252" s="15" t="n">
        <v>25276</v>
      </c>
      <c r="B2252" s="16" t="s">
        <v>24</v>
      </c>
      <c r="C2252" s="16" t="s">
        <v>4403</v>
      </c>
      <c r="D2252" s="16" t="s">
        <v>4408</v>
      </c>
      <c r="E2252" s="17" t="s">
        <v>2027</v>
      </c>
      <c r="F2252" s="16" t="n">
        <v>31.57639293</v>
      </c>
      <c r="G2252" s="16" t="n">
        <v>47.16520761</v>
      </c>
      <c r="H2252" s="18" t="n">
        <v>7</v>
      </c>
      <c r="I2252" s="18" t="n">
        <v>42</v>
      </c>
      <c r="J2252" s="19"/>
      <c r="K2252" s="19"/>
      <c r="L2252" s="19" t="n">
        <v>3</v>
      </c>
      <c r="M2252" s="19"/>
      <c r="N2252" s="19"/>
      <c r="O2252" s="19"/>
      <c r="P2252" s="19"/>
      <c r="Q2252" s="19"/>
      <c r="R2252" s="19" t="n">
        <v>4</v>
      </c>
      <c r="S2252" s="19"/>
      <c r="T2252" s="19"/>
      <c r="U2252" s="19"/>
      <c r="V2252" s="19"/>
      <c r="W2252" s="19"/>
      <c r="X2252" s="19"/>
      <c r="Y2252" s="19"/>
      <c r="Z2252" s="19"/>
      <c r="AA2252" s="19"/>
      <c r="AB2252" s="19"/>
      <c r="AC2252" s="19" t="n">
        <v>3</v>
      </c>
      <c r="AD2252" s="19"/>
      <c r="AE2252" s="19"/>
      <c r="AF2252" s="19"/>
      <c r="AG2252" s="19"/>
      <c r="AH2252" s="19" t="n">
        <v>4</v>
      </c>
      <c r="AI2252" s="19"/>
      <c r="AJ2252" s="19"/>
      <c r="AK2252" s="19"/>
      <c r="AL2252" s="19"/>
      <c r="AM2252" s="19" t="n">
        <v>6</v>
      </c>
      <c r="AN2252" s="19" t="n">
        <v>1</v>
      </c>
      <c r="AO2252" s="19"/>
      <c r="AP2252" s="19"/>
      <c r="AQ2252" s="19"/>
      <c r="AR2252" s="19"/>
      <c r="AS2252" s="20" t="str">
        <f aca="false">HYPERLINK("http://www.openstreetmap.org/?mlat=31.5764&amp;mlon=47.1652&amp;zoom=12#map=12/31.5764/47.1652","Maplink1")</f>
        <v>Maplink1</v>
      </c>
      <c r="AT2252" s="20" t="str">
        <f aca="false">HYPERLINK("https://www.google.iq/maps/search/+31.5764,47.1652/@31.5764,47.1652,14z?hl=en","Maplink2")</f>
        <v>Maplink2</v>
      </c>
      <c r="AU2252" s="20" t="str">
        <f aca="false">HYPERLINK("http://www.bing.com/maps/?lvl=14&amp;sty=h&amp;cp=31.5764~47.1652&amp;sp=point.31.5764_47.1652","Maplink3")</f>
        <v>Maplink3</v>
      </c>
    </row>
    <row r="2253" customFormat="false" ht="15" hidden="false" customHeight="true" outlineLevel="0" collapsed="false">
      <c r="A2253" s="15" t="n">
        <v>16214</v>
      </c>
      <c r="B2253" s="16" t="s">
        <v>24</v>
      </c>
      <c r="C2253" s="16" t="s">
        <v>4403</v>
      </c>
      <c r="D2253" s="16" t="s">
        <v>4409</v>
      </c>
      <c r="E2253" s="17" t="s">
        <v>4410</v>
      </c>
      <c r="F2253" s="16" t="n">
        <v>31.57190857</v>
      </c>
      <c r="G2253" s="16" t="n">
        <v>47.1677532</v>
      </c>
      <c r="H2253" s="18" t="n">
        <v>5</v>
      </c>
      <c r="I2253" s="18" t="n">
        <v>30</v>
      </c>
      <c r="J2253" s="19"/>
      <c r="K2253" s="19"/>
      <c r="L2253" s="19"/>
      <c r="M2253" s="19"/>
      <c r="N2253" s="19"/>
      <c r="O2253" s="19"/>
      <c r="P2253" s="19"/>
      <c r="Q2253" s="19"/>
      <c r="R2253" s="19" t="n">
        <v>4</v>
      </c>
      <c r="S2253" s="19"/>
      <c r="T2253" s="19"/>
      <c r="U2253" s="19"/>
      <c r="V2253" s="19"/>
      <c r="W2253" s="19"/>
      <c r="X2253" s="19" t="n">
        <v>1</v>
      </c>
      <c r="Y2253" s="19"/>
      <c r="Z2253" s="19"/>
      <c r="AA2253" s="19"/>
      <c r="AB2253" s="19"/>
      <c r="AC2253" s="19" t="n">
        <v>3</v>
      </c>
      <c r="AD2253" s="19"/>
      <c r="AE2253" s="19"/>
      <c r="AF2253" s="19"/>
      <c r="AG2253" s="19"/>
      <c r="AH2253" s="19" t="n">
        <v>2</v>
      </c>
      <c r="AI2253" s="19"/>
      <c r="AJ2253" s="19"/>
      <c r="AK2253" s="19"/>
      <c r="AL2253" s="19"/>
      <c r="AM2253" s="19" t="n">
        <v>1</v>
      </c>
      <c r="AN2253" s="19" t="n">
        <v>2</v>
      </c>
      <c r="AO2253" s="19" t="n">
        <v>2</v>
      </c>
      <c r="AP2253" s="19"/>
      <c r="AQ2253" s="19"/>
      <c r="AR2253" s="19"/>
      <c r="AS2253" s="20" t="str">
        <f aca="false">HYPERLINK("http://www.openstreetmap.org/?mlat=31.5719&amp;mlon=47.1678&amp;zoom=12#map=12/31.5719/47.1678","Maplink1")</f>
        <v>Maplink1</v>
      </c>
      <c r="AT2253" s="20" t="str">
        <f aca="false">HYPERLINK("https://www.google.iq/maps/search/+31.5719,47.1678/@31.5719,47.1678,14z?hl=en","Maplink2")</f>
        <v>Maplink2</v>
      </c>
      <c r="AU2253" s="20" t="str">
        <f aca="false">HYPERLINK("http://www.bing.com/maps/?lvl=14&amp;sty=h&amp;cp=31.5719~47.1678&amp;sp=point.31.5719_47.1678","Maplink3")</f>
        <v>Maplink3</v>
      </c>
    </row>
    <row r="2254" customFormat="false" ht="15" hidden="false" customHeight="true" outlineLevel="0" collapsed="false">
      <c r="A2254" s="15" t="n">
        <v>24533</v>
      </c>
      <c r="B2254" s="16" t="s">
        <v>24</v>
      </c>
      <c r="C2254" s="16" t="s">
        <v>4403</v>
      </c>
      <c r="D2254" s="16" t="s">
        <v>4411</v>
      </c>
      <c r="E2254" s="17" t="s">
        <v>4412</v>
      </c>
      <c r="F2254" s="16" t="n">
        <v>31.5808</v>
      </c>
      <c r="G2254" s="16" t="n">
        <v>47.1802</v>
      </c>
      <c r="H2254" s="18" t="n">
        <v>5</v>
      </c>
      <c r="I2254" s="18" t="n">
        <v>30</v>
      </c>
      <c r="J2254" s="19"/>
      <c r="K2254" s="19"/>
      <c r="L2254" s="19" t="n">
        <v>1</v>
      </c>
      <c r="M2254" s="19"/>
      <c r="N2254" s="19"/>
      <c r="O2254" s="19"/>
      <c r="P2254" s="19"/>
      <c r="Q2254" s="19"/>
      <c r="R2254" s="19" t="n">
        <v>1</v>
      </c>
      <c r="S2254" s="19"/>
      <c r="T2254" s="19"/>
      <c r="U2254" s="19"/>
      <c r="V2254" s="19" t="n">
        <v>3</v>
      </c>
      <c r="W2254" s="19"/>
      <c r="X2254" s="19"/>
      <c r="Y2254" s="19"/>
      <c r="Z2254" s="19"/>
      <c r="AA2254" s="19"/>
      <c r="AB2254" s="19"/>
      <c r="AC2254" s="19" t="n">
        <v>1</v>
      </c>
      <c r="AD2254" s="19"/>
      <c r="AE2254" s="19"/>
      <c r="AF2254" s="19"/>
      <c r="AG2254" s="19"/>
      <c r="AH2254" s="19" t="n">
        <v>4</v>
      </c>
      <c r="AI2254" s="19"/>
      <c r="AJ2254" s="19"/>
      <c r="AK2254" s="19"/>
      <c r="AL2254" s="19"/>
      <c r="AM2254" s="19"/>
      <c r="AN2254" s="19" t="n">
        <v>4</v>
      </c>
      <c r="AO2254" s="19" t="n">
        <v>1</v>
      </c>
      <c r="AP2254" s="19"/>
      <c r="AQ2254" s="19"/>
      <c r="AR2254" s="19"/>
      <c r="AS2254" s="20" t="str">
        <f aca="false">HYPERLINK("http://www.openstreetmap.org/?mlat=31.5808&amp;mlon=47.1802&amp;zoom=12#map=12/31.5808/47.1802","Maplink1")</f>
        <v>Maplink1</v>
      </c>
      <c r="AT2254" s="20" t="str">
        <f aca="false">HYPERLINK("https://www.google.iq/maps/search/+31.5808,47.1802/@31.5808,47.1802,14z?hl=en","Maplink2")</f>
        <v>Maplink2</v>
      </c>
      <c r="AU2254" s="20" t="str">
        <f aca="false">HYPERLINK("http://www.bing.com/maps/?lvl=14&amp;sty=h&amp;cp=31.5808~47.1802&amp;sp=point.31.5808_47.1802","Maplink3")</f>
        <v>Maplink3</v>
      </c>
    </row>
    <row r="2255" customFormat="false" ht="15" hidden="false" customHeight="true" outlineLevel="0" collapsed="false">
      <c r="A2255" s="15" t="n">
        <v>24372</v>
      </c>
      <c r="B2255" s="16" t="s">
        <v>24</v>
      </c>
      <c r="C2255" s="16" t="s">
        <v>4403</v>
      </c>
      <c r="D2255" s="16" t="s">
        <v>4413</v>
      </c>
      <c r="E2255" s="17" t="s">
        <v>4414</v>
      </c>
      <c r="F2255" s="16" t="n">
        <v>31.57938874</v>
      </c>
      <c r="G2255" s="16" t="n">
        <v>47.16487116</v>
      </c>
      <c r="H2255" s="18" t="n">
        <v>4</v>
      </c>
      <c r="I2255" s="18" t="n">
        <v>24</v>
      </c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 t="n">
        <v>4</v>
      </c>
      <c r="W2255" s="19"/>
      <c r="X2255" s="19"/>
      <c r="Y2255" s="19"/>
      <c r="Z2255" s="19"/>
      <c r="AA2255" s="19"/>
      <c r="AB2255" s="19"/>
      <c r="AC2255" s="19" t="n">
        <v>1</v>
      </c>
      <c r="AD2255" s="19"/>
      <c r="AE2255" s="19"/>
      <c r="AF2255" s="19"/>
      <c r="AG2255" s="19"/>
      <c r="AH2255" s="19"/>
      <c r="AI2255" s="19" t="n">
        <v>3</v>
      </c>
      <c r="AJ2255" s="19"/>
      <c r="AK2255" s="19"/>
      <c r="AL2255" s="19"/>
      <c r="AM2255" s="19" t="n">
        <v>2</v>
      </c>
      <c r="AN2255" s="19" t="n">
        <v>1</v>
      </c>
      <c r="AO2255" s="19" t="n">
        <v>1</v>
      </c>
      <c r="AP2255" s="19"/>
      <c r="AQ2255" s="19"/>
      <c r="AR2255" s="19"/>
      <c r="AS2255" s="20" t="str">
        <f aca="false">HYPERLINK("http://www.openstreetmap.org/?mlat=31.5794&amp;mlon=47.1649&amp;zoom=12#map=12/31.5794/47.1649","Maplink1")</f>
        <v>Maplink1</v>
      </c>
      <c r="AT2255" s="20" t="str">
        <f aca="false">HYPERLINK("https://www.google.iq/maps/search/+31.5794,47.1649/@31.5794,47.1649,14z?hl=en","Maplink2")</f>
        <v>Maplink2</v>
      </c>
      <c r="AU2255" s="20" t="str">
        <f aca="false">HYPERLINK("http://www.bing.com/maps/?lvl=14&amp;sty=h&amp;cp=31.5794~47.1649&amp;sp=point.31.5794_47.1649","Maplink3")</f>
        <v>Maplink3</v>
      </c>
    </row>
    <row r="2256" customFormat="false" ht="15" hidden="false" customHeight="true" outlineLevel="0" collapsed="false">
      <c r="A2256" s="15" t="n">
        <v>16870</v>
      </c>
      <c r="B2256" s="16" t="s">
        <v>24</v>
      </c>
      <c r="C2256" s="16" t="s">
        <v>4403</v>
      </c>
      <c r="D2256" s="16" t="s">
        <v>4415</v>
      </c>
      <c r="E2256" s="17" t="s">
        <v>4416</v>
      </c>
      <c r="F2256" s="16" t="n">
        <v>31.57626435</v>
      </c>
      <c r="G2256" s="16" t="n">
        <v>47.18061816</v>
      </c>
      <c r="H2256" s="18" t="n">
        <v>6</v>
      </c>
      <c r="I2256" s="18" t="n">
        <v>36</v>
      </c>
      <c r="J2256" s="19"/>
      <c r="K2256" s="19"/>
      <c r="L2256" s="19"/>
      <c r="M2256" s="19"/>
      <c r="N2256" s="19"/>
      <c r="O2256" s="19"/>
      <c r="P2256" s="19"/>
      <c r="Q2256" s="19"/>
      <c r="R2256" s="19" t="n">
        <v>1</v>
      </c>
      <c r="S2256" s="19"/>
      <c r="T2256" s="19"/>
      <c r="U2256" s="19"/>
      <c r="V2256" s="19" t="n">
        <v>5</v>
      </c>
      <c r="W2256" s="19"/>
      <c r="X2256" s="19"/>
      <c r="Y2256" s="19"/>
      <c r="Z2256" s="19"/>
      <c r="AA2256" s="19"/>
      <c r="AB2256" s="19"/>
      <c r="AC2256" s="19" t="n">
        <v>3</v>
      </c>
      <c r="AD2256" s="19"/>
      <c r="AE2256" s="19"/>
      <c r="AF2256" s="19"/>
      <c r="AG2256" s="19"/>
      <c r="AH2256" s="19" t="n">
        <v>3</v>
      </c>
      <c r="AI2256" s="19"/>
      <c r="AJ2256" s="19"/>
      <c r="AK2256" s="19"/>
      <c r="AL2256" s="19"/>
      <c r="AM2256" s="19"/>
      <c r="AN2256" s="19" t="n">
        <v>6</v>
      </c>
      <c r="AO2256" s="19"/>
      <c r="AP2256" s="19"/>
      <c r="AQ2256" s="19"/>
      <c r="AR2256" s="19"/>
      <c r="AS2256" s="20" t="str">
        <f aca="false">HYPERLINK("http://www.openstreetmap.org/?mlat=31.5763&amp;mlon=47.1806&amp;zoom=12#map=12/31.5763/47.1806","Maplink1")</f>
        <v>Maplink1</v>
      </c>
      <c r="AT2256" s="20" t="str">
        <f aca="false">HYPERLINK("https://www.google.iq/maps/search/+31.5763,47.1806/@31.5763,47.1806,14z?hl=en","Maplink2")</f>
        <v>Maplink2</v>
      </c>
      <c r="AU2256" s="20" t="str">
        <f aca="false">HYPERLINK("http://www.bing.com/maps/?lvl=14&amp;sty=h&amp;cp=31.5763~47.1806&amp;sp=point.31.5763_47.1806","Maplink3")</f>
        <v>Maplink3</v>
      </c>
    </row>
    <row r="2257" customFormat="false" ht="15" hidden="false" customHeight="true" outlineLevel="0" collapsed="false">
      <c r="A2257" s="15" t="n">
        <v>16186</v>
      </c>
      <c r="B2257" s="16" t="s">
        <v>24</v>
      </c>
      <c r="C2257" s="16" t="s">
        <v>4403</v>
      </c>
      <c r="D2257" s="16" t="s">
        <v>4417</v>
      </c>
      <c r="E2257" s="17" t="s">
        <v>226</v>
      </c>
      <c r="F2257" s="16" t="n">
        <v>31.57543953</v>
      </c>
      <c r="G2257" s="16" t="n">
        <v>47.16832878</v>
      </c>
      <c r="H2257" s="18" t="n">
        <v>19</v>
      </c>
      <c r="I2257" s="18" t="n">
        <v>114</v>
      </c>
      <c r="J2257" s="19"/>
      <c r="K2257" s="19"/>
      <c r="L2257" s="19"/>
      <c r="M2257" s="19"/>
      <c r="N2257" s="19"/>
      <c r="O2257" s="19"/>
      <c r="P2257" s="19"/>
      <c r="Q2257" s="19"/>
      <c r="R2257" s="19" t="n">
        <v>2</v>
      </c>
      <c r="S2257" s="19"/>
      <c r="T2257" s="19"/>
      <c r="U2257" s="19"/>
      <c r="V2257" s="19" t="n">
        <v>17</v>
      </c>
      <c r="W2257" s="19"/>
      <c r="X2257" s="19"/>
      <c r="Y2257" s="19"/>
      <c r="Z2257" s="19"/>
      <c r="AA2257" s="19"/>
      <c r="AB2257" s="19"/>
      <c r="AC2257" s="19" t="n">
        <v>16</v>
      </c>
      <c r="AD2257" s="19"/>
      <c r="AE2257" s="19"/>
      <c r="AF2257" s="19"/>
      <c r="AG2257" s="19"/>
      <c r="AH2257" s="19" t="n">
        <v>3</v>
      </c>
      <c r="AI2257" s="19"/>
      <c r="AJ2257" s="19"/>
      <c r="AK2257" s="19"/>
      <c r="AL2257" s="19"/>
      <c r="AM2257" s="19"/>
      <c r="AN2257" s="19" t="n">
        <v>17</v>
      </c>
      <c r="AO2257" s="19" t="n">
        <v>2</v>
      </c>
      <c r="AP2257" s="19"/>
      <c r="AQ2257" s="19"/>
      <c r="AR2257" s="19"/>
      <c r="AS2257" s="20" t="str">
        <f aca="false">HYPERLINK("http://www.openstreetmap.org/?mlat=31.5754&amp;mlon=47.1683&amp;zoom=12#map=12/31.5754/47.1683","Maplink1")</f>
        <v>Maplink1</v>
      </c>
      <c r="AT2257" s="20" t="str">
        <f aca="false">HYPERLINK("https://www.google.iq/maps/search/+31.5754,47.1683/@31.5754,47.1683,14z?hl=en","Maplink2")</f>
        <v>Maplink2</v>
      </c>
      <c r="AU2257" s="20" t="str">
        <f aca="false">HYPERLINK("http://www.bing.com/maps/?lvl=14&amp;sty=h&amp;cp=31.5754~47.1683&amp;sp=point.31.5754_47.1683","Maplink3")</f>
        <v>Maplink3</v>
      </c>
    </row>
    <row r="2258" customFormat="false" ht="15" hidden="false" customHeight="true" outlineLevel="0" collapsed="false">
      <c r="A2258" s="15" t="n">
        <v>16864</v>
      </c>
      <c r="B2258" s="16" t="s">
        <v>24</v>
      </c>
      <c r="C2258" s="16" t="s">
        <v>4403</v>
      </c>
      <c r="D2258" s="16" t="s">
        <v>4418</v>
      </c>
      <c r="E2258" s="17" t="s">
        <v>1610</v>
      </c>
      <c r="F2258" s="16" t="n">
        <v>31.58835973</v>
      </c>
      <c r="G2258" s="16" t="n">
        <v>47.15917574</v>
      </c>
      <c r="H2258" s="18" t="n">
        <v>1</v>
      </c>
      <c r="I2258" s="18" t="n">
        <v>6</v>
      </c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 t="n">
        <v>1</v>
      </c>
      <c r="W2258" s="19"/>
      <c r="X2258" s="19"/>
      <c r="Y2258" s="19"/>
      <c r="Z2258" s="19"/>
      <c r="AA2258" s="19"/>
      <c r="AB2258" s="19"/>
      <c r="AC2258" s="19" t="n">
        <v>1</v>
      </c>
      <c r="AD2258" s="19"/>
      <c r="AE2258" s="19"/>
      <c r="AF2258" s="19"/>
      <c r="AG2258" s="19"/>
      <c r="AH2258" s="19"/>
      <c r="AI2258" s="19"/>
      <c r="AJ2258" s="19"/>
      <c r="AK2258" s="19"/>
      <c r="AL2258" s="19"/>
      <c r="AM2258" s="19" t="n">
        <v>1</v>
      </c>
      <c r="AN2258" s="19"/>
      <c r="AO2258" s="19"/>
      <c r="AP2258" s="19"/>
      <c r="AQ2258" s="19"/>
      <c r="AR2258" s="19"/>
      <c r="AS2258" s="20" t="str">
        <f aca="false">HYPERLINK("http://www.openstreetmap.org/?mlat=31.5884&amp;mlon=47.1592&amp;zoom=12#map=12/31.5884/47.1592","Maplink1")</f>
        <v>Maplink1</v>
      </c>
      <c r="AT2258" s="20" t="str">
        <f aca="false">HYPERLINK("https://www.google.iq/maps/search/+31.5884,47.1592/@31.5884,47.1592,14z?hl=en","Maplink2")</f>
        <v>Maplink2</v>
      </c>
      <c r="AU2258" s="20" t="str">
        <f aca="false">HYPERLINK("http://www.bing.com/maps/?lvl=14&amp;sty=h&amp;cp=31.5884~47.1592&amp;sp=point.31.5884_47.1592","Maplink3")</f>
        <v>Maplink3</v>
      </c>
    </row>
    <row r="2259" customFormat="false" ht="15" hidden="false" customHeight="true" outlineLevel="0" collapsed="false">
      <c r="A2259" s="15" t="n">
        <v>15997</v>
      </c>
      <c r="B2259" s="16" t="s">
        <v>24</v>
      </c>
      <c r="C2259" s="16" t="s">
        <v>4403</v>
      </c>
      <c r="D2259" s="16" t="s">
        <v>4419</v>
      </c>
      <c r="E2259" s="17" t="s">
        <v>572</v>
      </c>
      <c r="F2259" s="16" t="n">
        <v>31.58349189</v>
      </c>
      <c r="G2259" s="16" t="n">
        <v>47.1742335</v>
      </c>
      <c r="H2259" s="18" t="n">
        <v>1</v>
      </c>
      <c r="I2259" s="18" t="n">
        <v>6</v>
      </c>
      <c r="J2259" s="19"/>
      <c r="K2259" s="19"/>
      <c r="L2259" s="19"/>
      <c r="M2259" s="19"/>
      <c r="N2259" s="19"/>
      <c r="O2259" s="19"/>
      <c r="P2259" s="19"/>
      <c r="Q2259" s="19"/>
      <c r="R2259" s="19" t="n">
        <v>1</v>
      </c>
      <c r="S2259" s="19"/>
      <c r="T2259" s="19"/>
      <c r="U2259" s="19"/>
      <c r="V2259" s="19"/>
      <c r="W2259" s="19"/>
      <c r="X2259" s="19"/>
      <c r="Y2259" s="19"/>
      <c r="Z2259" s="19"/>
      <c r="AA2259" s="19"/>
      <c r="AB2259" s="19"/>
      <c r="AC2259" s="19" t="n">
        <v>1</v>
      </c>
      <c r="AD2259" s="19"/>
      <c r="AE2259" s="19"/>
      <c r="AF2259" s="19"/>
      <c r="AG2259" s="19"/>
      <c r="AH2259" s="19"/>
      <c r="AI2259" s="19"/>
      <c r="AJ2259" s="19"/>
      <c r="AK2259" s="19"/>
      <c r="AL2259" s="19"/>
      <c r="AM2259" s="19"/>
      <c r="AN2259" s="19" t="n">
        <v>1</v>
      </c>
      <c r="AO2259" s="19"/>
      <c r="AP2259" s="19"/>
      <c r="AQ2259" s="19"/>
      <c r="AR2259" s="19"/>
      <c r="AS2259" s="20" t="str">
        <f aca="false">HYPERLINK("http://www.openstreetmap.org/?mlat=31.5835&amp;mlon=47.1742&amp;zoom=12#map=12/31.5835/47.1742","Maplink1")</f>
        <v>Maplink1</v>
      </c>
      <c r="AT2259" s="20" t="str">
        <f aca="false">HYPERLINK("https://www.google.iq/maps/search/+31.5835,47.1742/@31.5835,47.1742,14z?hl=en","Maplink2")</f>
        <v>Maplink2</v>
      </c>
      <c r="AU2259" s="20" t="str">
        <f aca="false">HYPERLINK("http://www.bing.com/maps/?lvl=14&amp;sty=h&amp;cp=31.5835~47.1742&amp;sp=point.31.5835_47.1742","Maplink3")</f>
        <v>Maplink3</v>
      </c>
    </row>
    <row r="2260" customFormat="false" ht="15" hidden="false" customHeight="true" outlineLevel="0" collapsed="false">
      <c r="A2260" s="15" t="n">
        <v>24536</v>
      </c>
      <c r="B2260" s="16" t="s">
        <v>24</v>
      </c>
      <c r="C2260" s="16" t="s">
        <v>4403</v>
      </c>
      <c r="D2260" s="16" t="s">
        <v>4420</v>
      </c>
      <c r="E2260" s="17" t="s">
        <v>4421</v>
      </c>
      <c r="F2260" s="16" t="n">
        <v>31.48882312</v>
      </c>
      <c r="G2260" s="16" t="n">
        <v>47.11658126</v>
      </c>
      <c r="H2260" s="18" t="n">
        <v>6</v>
      </c>
      <c r="I2260" s="18" t="n">
        <v>36</v>
      </c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 t="n">
        <v>6</v>
      </c>
      <c r="W2260" s="19"/>
      <c r="X2260" s="19"/>
      <c r="Y2260" s="19"/>
      <c r="Z2260" s="19"/>
      <c r="AA2260" s="19"/>
      <c r="AB2260" s="19"/>
      <c r="AC2260" s="19" t="n">
        <v>2</v>
      </c>
      <c r="AD2260" s="19"/>
      <c r="AE2260" s="19"/>
      <c r="AF2260" s="19" t="n">
        <v>3</v>
      </c>
      <c r="AG2260" s="19"/>
      <c r="AH2260" s="19" t="n">
        <v>1</v>
      </c>
      <c r="AI2260" s="19"/>
      <c r="AJ2260" s="19"/>
      <c r="AK2260" s="19"/>
      <c r="AL2260" s="19"/>
      <c r="AM2260" s="19"/>
      <c r="AN2260" s="19" t="n">
        <v>6</v>
      </c>
      <c r="AO2260" s="19"/>
      <c r="AP2260" s="19"/>
      <c r="AQ2260" s="19"/>
      <c r="AR2260" s="19"/>
      <c r="AS2260" s="20" t="str">
        <f aca="false">HYPERLINK("http://www.openstreetmap.org/?mlat=31.4888&amp;mlon=47.1166&amp;zoom=12#map=12/31.4888/47.1166","Maplink1")</f>
        <v>Maplink1</v>
      </c>
      <c r="AT2260" s="20" t="str">
        <f aca="false">HYPERLINK("https://www.google.iq/maps/search/+31.4888,47.1166/@31.4888,47.1166,14z?hl=en","Maplink2")</f>
        <v>Maplink2</v>
      </c>
      <c r="AU2260" s="20" t="str">
        <f aca="false">HYPERLINK("http://www.bing.com/maps/?lvl=14&amp;sty=h&amp;cp=31.4888~47.1166&amp;sp=point.31.4888_47.1166","Maplink3")</f>
        <v>Maplink3</v>
      </c>
    </row>
    <row r="2261" customFormat="false" ht="15" hidden="false" customHeight="true" outlineLevel="0" collapsed="false">
      <c r="A2261" s="15" t="n">
        <v>16221</v>
      </c>
      <c r="B2261" s="16" t="s">
        <v>24</v>
      </c>
      <c r="C2261" s="16" t="s">
        <v>4403</v>
      </c>
      <c r="D2261" s="16" t="s">
        <v>4422</v>
      </c>
      <c r="E2261" s="17" t="s">
        <v>4096</v>
      </c>
      <c r="F2261" s="16" t="n">
        <v>31.490126</v>
      </c>
      <c r="G2261" s="16" t="n">
        <v>47.11694</v>
      </c>
      <c r="H2261" s="18" t="n">
        <v>1</v>
      </c>
      <c r="I2261" s="18" t="n">
        <v>6</v>
      </c>
      <c r="J2261" s="19"/>
      <c r="K2261" s="19"/>
      <c r="L2261" s="19"/>
      <c r="M2261" s="19"/>
      <c r="N2261" s="19"/>
      <c r="O2261" s="19"/>
      <c r="P2261" s="19"/>
      <c r="Q2261" s="19"/>
      <c r="R2261" s="19" t="n">
        <v>1</v>
      </c>
      <c r="S2261" s="19"/>
      <c r="T2261" s="19"/>
      <c r="U2261" s="19"/>
      <c r="V2261" s="19"/>
      <c r="W2261" s="19"/>
      <c r="X2261" s="19"/>
      <c r="Y2261" s="19"/>
      <c r="Z2261" s="19"/>
      <c r="AA2261" s="19"/>
      <c r="AB2261" s="19"/>
      <c r="AC2261" s="19"/>
      <c r="AD2261" s="19"/>
      <c r="AE2261" s="19"/>
      <c r="AF2261" s="19"/>
      <c r="AG2261" s="19"/>
      <c r="AH2261" s="19" t="n">
        <v>1</v>
      </c>
      <c r="AI2261" s="19"/>
      <c r="AJ2261" s="19"/>
      <c r="AK2261" s="19"/>
      <c r="AL2261" s="19"/>
      <c r="AM2261" s="19" t="n">
        <v>1</v>
      </c>
      <c r="AN2261" s="19"/>
      <c r="AO2261" s="19"/>
      <c r="AP2261" s="19"/>
      <c r="AQ2261" s="19"/>
      <c r="AR2261" s="19"/>
      <c r="AS2261" s="20" t="str">
        <f aca="false">HYPERLINK("http://www.openstreetmap.org/?mlat=31.4901&amp;mlon=47.1169&amp;zoom=12#map=12/31.4901/47.1169","Maplink1")</f>
        <v>Maplink1</v>
      </c>
      <c r="AT2261" s="20" t="str">
        <f aca="false">HYPERLINK("https://www.google.iq/maps/search/+31.4901,47.1169/@31.4901,47.1169,14z?hl=en","Maplink2")</f>
        <v>Maplink2</v>
      </c>
      <c r="AU2261" s="20" t="str">
        <f aca="false">HYPERLINK("http://www.bing.com/maps/?lvl=14&amp;sty=h&amp;cp=31.4901~47.1169&amp;sp=point.31.4901_47.1169","Maplink3")</f>
        <v>Maplink3</v>
      </c>
    </row>
    <row r="2262" customFormat="false" ht="15" hidden="false" customHeight="true" outlineLevel="0" collapsed="false">
      <c r="A2262" s="15" t="n">
        <v>16210</v>
      </c>
      <c r="B2262" s="16" t="s">
        <v>24</v>
      </c>
      <c r="C2262" s="16" t="s">
        <v>4403</v>
      </c>
      <c r="D2262" s="16" t="s">
        <v>4423</v>
      </c>
      <c r="E2262" s="17" t="s">
        <v>4424</v>
      </c>
      <c r="F2262" s="16" t="n">
        <v>31.57501792</v>
      </c>
      <c r="G2262" s="16" t="n">
        <v>47.1585409</v>
      </c>
      <c r="H2262" s="18" t="n">
        <v>7</v>
      </c>
      <c r="I2262" s="18" t="n">
        <v>42</v>
      </c>
      <c r="J2262" s="19"/>
      <c r="K2262" s="19"/>
      <c r="L2262" s="19"/>
      <c r="M2262" s="19"/>
      <c r="N2262" s="19"/>
      <c r="O2262" s="19"/>
      <c r="P2262" s="19"/>
      <c r="Q2262" s="19"/>
      <c r="R2262" s="19" t="n">
        <v>3</v>
      </c>
      <c r="S2262" s="19"/>
      <c r="T2262" s="19"/>
      <c r="U2262" s="19"/>
      <c r="V2262" s="19" t="n">
        <v>4</v>
      </c>
      <c r="W2262" s="19"/>
      <c r="X2262" s="19"/>
      <c r="Y2262" s="19"/>
      <c r="Z2262" s="19"/>
      <c r="AA2262" s="19"/>
      <c r="AB2262" s="19"/>
      <c r="AC2262" s="19" t="n">
        <v>3</v>
      </c>
      <c r="AD2262" s="19"/>
      <c r="AE2262" s="19" t="n">
        <v>3</v>
      </c>
      <c r="AF2262" s="19"/>
      <c r="AG2262" s="19"/>
      <c r="AH2262" s="19" t="n">
        <v>1</v>
      </c>
      <c r="AI2262" s="19"/>
      <c r="AJ2262" s="19"/>
      <c r="AK2262" s="19"/>
      <c r="AL2262" s="19"/>
      <c r="AM2262" s="19"/>
      <c r="AN2262" s="19" t="n">
        <v>3</v>
      </c>
      <c r="AO2262" s="19" t="n">
        <v>4</v>
      </c>
      <c r="AP2262" s="19"/>
      <c r="AQ2262" s="19"/>
      <c r="AR2262" s="19"/>
      <c r="AS2262" s="20" t="str">
        <f aca="false">HYPERLINK("http://www.openstreetmap.org/?mlat=31.575&amp;mlon=47.1585&amp;zoom=12#map=12/31.575/47.1585","Maplink1")</f>
        <v>Maplink1</v>
      </c>
      <c r="AT2262" s="20" t="str">
        <f aca="false">HYPERLINK("https://www.google.iq/maps/search/+31.575,47.1585/@31.575,47.1585,14z?hl=en","Maplink2")</f>
        <v>Maplink2</v>
      </c>
      <c r="AU2262" s="20" t="str">
        <f aca="false">HYPERLINK("http://www.bing.com/maps/?lvl=14&amp;sty=h&amp;cp=31.575~47.1585&amp;sp=point.31.575_47.1585","Maplink3")</f>
        <v>Maplink3</v>
      </c>
    </row>
    <row r="2263" customFormat="false" ht="15" hidden="false" customHeight="true" outlineLevel="0" collapsed="false">
      <c r="A2263" s="15" t="n">
        <v>22555</v>
      </c>
      <c r="B2263" s="16" t="s">
        <v>24</v>
      </c>
      <c r="C2263" s="16" t="s">
        <v>4403</v>
      </c>
      <c r="D2263" s="16" t="s">
        <v>4425</v>
      </c>
      <c r="E2263" s="17" t="s">
        <v>4426</v>
      </c>
      <c r="F2263" s="16" t="n">
        <v>31.69555828</v>
      </c>
      <c r="G2263" s="16" t="n">
        <v>47.15340463</v>
      </c>
      <c r="H2263" s="18" t="n">
        <v>3</v>
      </c>
      <c r="I2263" s="18" t="n">
        <v>18</v>
      </c>
      <c r="J2263" s="19"/>
      <c r="K2263" s="19"/>
      <c r="L2263" s="19"/>
      <c r="M2263" s="19"/>
      <c r="N2263" s="19"/>
      <c r="O2263" s="19"/>
      <c r="P2263" s="19"/>
      <c r="Q2263" s="19"/>
      <c r="R2263" s="19" t="n">
        <v>3</v>
      </c>
      <c r="S2263" s="19"/>
      <c r="T2263" s="19"/>
      <c r="U2263" s="19"/>
      <c r="V2263" s="19"/>
      <c r="W2263" s="19"/>
      <c r="X2263" s="19"/>
      <c r="Y2263" s="19"/>
      <c r="Z2263" s="19"/>
      <c r="AA2263" s="19"/>
      <c r="AB2263" s="19"/>
      <c r="AC2263" s="19" t="n">
        <v>1</v>
      </c>
      <c r="AD2263" s="19"/>
      <c r="AE2263" s="19"/>
      <c r="AF2263" s="19"/>
      <c r="AG2263" s="19"/>
      <c r="AH2263" s="19" t="n">
        <v>2</v>
      </c>
      <c r="AI2263" s="19"/>
      <c r="AJ2263" s="19"/>
      <c r="AK2263" s="19"/>
      <c r="AL2263" s="19"/>
      <c r="AM2263" s="19" t="n">
        <v>2</v>
      </c>
      <c r="AN2263" s="19"/>
      <c r="AO2263" s="19" t="n">
        <v>1</v>
      </c>
      <c r="AP2263" s="19"/>
      <c r="AQ2263" s="19"/>
      <c r="AR2263" s="19"/>
      <c r="AS2263" s="20" t="str">
        <f aca="false">HYPERLINK("http://www.openstreetmap.org/?mlat=31.6956&amp;mlon=47.1534&amp;zoom=12#map=12/31.6956/47.1534","Maplink1")</f>
        <v>Maplink1</v>
      </c>
      <c r="AT2263" s="20" t="str">
        <f aca="false">HYPERLINK("https://www.google.iq/maps/search/+31.6956,47.1534/@31.6956,47.1534,14z?hl=en","Maplink2")</f>
        <v>Maplink2</v>
      </c>
      <c r="AU2263" s="20" t="str">
        <f aca="false">HYPERLINK("http://www.bing.com/maps/?lvl=14&amp;sty=h&amp;cp=31.6956~47.1534&amp;sp=point.31.6956_47.1534","Maplink3")</f>
        <v>Maplink3</v>
      </c>
    </row>
    <row r="2264" customFormat="false" ht="15" hidden="false" customHeight="true" outlineLevel="0" collapsed="false">
      <c r="A2264" s="15" t="n">
        <v>16773</v>
      </c>
      <c r="B2264" s="16" t="s">
        <v>24</v>
      </c>
      <c r="C2264" s="16" t="s">
        <v>4427</v>
      </c>
      <c r="D2264" s="16" t="s">
        <v>4428</v>
      </c>
      <c r="E2264" s="17" t="s">
        <v>4429</v>
      </c>
      <c r="F2264" s="16" t="n">
        <v>32.4622171</v>
      </c>
      <c r="G2264" s="16" t="n">
        <v>46.68746428</v>
      </c>
      <c r="H2264" s="18" t="n">
        <v>8</v>
      </c>
      <c r="I2264" s="18" t="n">
        <v>48</v>
      </c>
      <c r="J2264" s="19" t="n">
        <v>2</v>
      </c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 t="n">
        <v>5</v>
      </c>
      <c r="W2264" s="19"/>
      <c r="X2264" s="19" t="n">
        <v>1</v>
      </c>
      <c r="Y2264" s="19"/>
      <c r="Z2264" s="19"/>
      <c r="AA2264" s="19"/>
      <c r="AB2264" s="19"/>
      <c r="AC2264" s="19" t="n">
        <v>1</v>
      </c>
      <c r="AD2264" s="19"/>
      <c r="AE2264" s="19" t="n">
        <v>3</v>
      </c>
      <c r="AF2264" s="19"/>
      <c r="AG2264" s="19"/>
      <c r="AH2264" s="19" t="n">
        <v>4</v>
      </c>
      <c r="AI2264" s="19"/>
      <c r="AJ2264" s="19"/>
      <c r="AK2264" s="19"/>
      <c r="AL2264" s="19"/>
      <c r="AM2264" s="19" t="n">
        <v>1</v>
      </c>
      <c r="AN2264" s="19" t="n">
        <v>4</v>
      </c>
      <c r="AO2264" s="19" t="n">
        <v>2</v>
      </c>
      <c r="AP2264" s="19" t="n">
        <v>1</v>
      </c>
      <c r="AQ2264" s="19"/>
      <c r="AR2264" s="19"/>
      <c r="AS2264" s="20" t="str">
        <f aca="false">HYPERLINK("http://www.openstreetmap.org/?mlat=32.4622&amp;mlon=46.6875&amp;zoom=12#map=12/32.4622/46.6875","Maplink1")</f>
        <v>Maplink1</v>
      </c>
      <c r="AT2264" s="20" t="str">
        <f aca="false">HYPERLINK("https://www.google.iq/maps/search/+32.4622,46.6875/@32.4622,46.6875,14z?hl=en","Maplink2")</f>
        <v>Maplink2</v>
      </c>
      <c r="AU2264" s="20" t="str">
        <f aca="false">HYPERLINK("http://www.bing.com/maps/?lvl=14&amp;sty=h&amp;cp=32.4622~46.6875&amp;sp=point.32.4622_46.6875","Maplink3")</f>
        <v>Maplink3</v>
      </c>
    </row>
    <row r="2265" customFormat="false" ht="15" hidden="false" customHeight="true" outlineLevel="0" collapsed="false">
      <c r="A2265" s="15" t="n">
        <v>16881</v>
      </c>
      <c r="B2265" s="16" t="s">
        <v>24</v>
      </c>
      <c r="C2265" s="16" t="s">
        <v>4427</v>
      </c>
      <c r="D2265" s="16" t="s">
        <v>4430</v>
      </c>
      <c r="E2265" s="17" t="s">
        <v>2573</v>
      </c>
      <c r="F2265" s="16" t="n">
        <v>32.47320321</v>
      </c>
      <c r="G2265" s="16" t="n">
        <v>46.69348282</v>
      </c>
      <c r="H2265" s="18" t="n">
        <v>4</v>
      </c>
      <c r="I2265" s="18" t="n">
        <v>24</v>
      </c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 t="n">
        <v>4</v>
      </c>
      <c r="W2265" s="19"/>
      <c r="X2265" s="19"/>
      <c r="Y2265" s="19"/>
      <c r="Z2265" s="19"/>
      <c r="AA2265" s="19"/>
      <c r="AB2265" s="19"/>
      <c r="AC2265" s="19" t="n">
        <v>2</v>
      </c>
      <c r="AD2265" s="19"/>
      <c r="AE2265" s="19"/>
      <c r="AF2265" s="19"/>
      <c r="AG2265" s="19"/>
      <c r="AH2265" s="19" t="n">
        <v>2</v>
      </c>
      <c r="AI2265" s="19"/>
      <c r="AJ2265" s="19"/>
      <c r="AK2265" s="19"/>
      <c r="AL2265" s="19"/>
      <c r="AM2265" s="19"/>
      <c r="AN2265" s="19" t="n">
        <v>3</v>
      </c>
      <c r="AO2265" s="19" t="n">
        <v>1</v>
      </c>
      <c r="AP2265" s="19"/>
      <c r="AQ2265" s="19"/>
      <c r="AR2265" s="19"/>
      <c r="AS2265" s="20" t="str">
        <f aca="false">HYPERLINK("http://www.openstreetmap.org/?mlat=32.4732&amp;mlon=46.6935&amp;zoom=12#map=12/32.4732/46.6935","Maplink1")</f>
        <v>Maplink1</v>
      </c>
      <c r="AT2265" s="20" t="str">
        <f aca="false">HYPERLINK("https://www.google.iq/maps/search/+32.4732,46.6935/@32.4732,46.6935,14z?hl=en","Maplink2")</f>
        <v>Maplink2</v>
      </c>
      <c r="AU2265" s="20" t="str">
        <f aca="false">HYPERLINK("http://www.bing.com/maps/?lvl=14&amp;sty=h&amp;cp=32.4732~46.6935&amp;sp=point.32.4732_46.6935","Maplink3")</f>
        <v>Maplink3</v>
      </c>
    </row>
    <row r="2266" customFormat="false" ht="15" hidden="false" customHeight="true" outlineLevel="0" collapsed="false">
      <c r="A2266" s="15" t="n">
        <v>22047</v>
      </c>
      <c r="B2266" s="16" t="s">
        <v>24</v>
      </c>
      <c r="C2266" s="16" t="s">
        <v>4427</v>
      </c>
      <c r="D2266" s="16" t="s">
        <v>4431</v>
      </c>
      <c r="E2266" s="17" t="s">
        <v>4432</v>
      </c>
      <c r="F2266" s="16" t="n">
        <v>32.11697723</v>
      </c>
      <c r="G2266" s="16" t="n">
        <v>46.7324585</v>
      </c>
      <c r="H2266" s="18" t="n">
        <v>1</v>
      </c>
      <c r="I2266" s="18" t="n">
        <v>6</v>
      </c>
      <c r="J2266" s="19"/>
      <c r="K2266" s="19"/>
      <c r="L2266" s="19"/>
      <c r="M2266" s="19"/>
      <c r="N2266" s="19"/>
      <c r="O2266" s="19"/>
      <c r="P2266" s="19"/>
      <c r="Q2266" s="19"/>
      <c r="R2266" s="19" t="n">
        <v>1</v>
      </c>
      <c r="S2266" s="19"/>
      <c r="T2266" s="19"/>
      <c r="U2266" s="19"/>
      <c r="V2266" s="19"/>
      <c r="W2266" s="19"/>
      <c r="X2266" s="19"/>
      <c r="Y2266" s="19"/>
      <c r="Z2266" s="19"/>
      <c r="AA2266" s="19"/>
      <c r="AB2266" s="19"/>
      <c r="AC2266" s="19" t="n">
        <v>1</v>
      </c>
      <c r="AD2266" s="19"/>
      <c r="AE2266" s="19"/>
      <c r="AF2266" s="19"/>
      <c r="AG2266" s="19"/>
      <c r="AH2266" s="19"/>
      <c r="AI2266" s="19"/>
      <c r="AJ2266" s="19"/>
      <c r="AK2266" s="19"/>
      <c r="AL2266" s="19"/>
      <c r="AM2266" s="19"/>
      <c r="AN2266" s="19" t="n">
        <v>1</v>
      </c>
      <c r="AO2266" s="19"/>
      <c r="AP2266" s="19"/>
      <c r="AQ2266" s="19"/>
      <c r="AR2266" s="19"/>
      <c r="AS2266" s="20" t="str">
        <f aca="false">HYPERLINK("http://www.openstreetmap.org/?mlat=32.117&amp;mlon=46.7325&amp;zoom=12#map=12/32.117/46.7325","Maplink1")</f>
        <v>Maplink1</v>
      </c>
      <c r="AT2266" s="20" t="str">
        <f aca="false">HYPERLINK("https://www.google.iq/maps/search/+32.117,46.7325/@32.117,46.7325,14z?hl=en","Maplink2")</f>
        <v>Maplink2</v>
      </c>
      <c r="AU2266" s="20" t="str">
        <f aca="false">HYPERLINK("http://www.bing.com/maps/?lvl=14&amp;sty=h&amp;cp=32.117~46.7325&amp;sp=point.32.117_46.7325","Maplink3")</f>
        <v>Maplink3</v>
      </c>
    </row>
    <row r="2267" customFormat="false" ht="15" hidden="false" customHeight="true" outlineLevel="0" collapsed="false">
      <c r="A2267" s="15" t="n">
        <v>16883</v>
      </c>
      <c r="B2267" s="16" t="s">
        <v>24</v>
      </c>
      <c r="C2267" s="16" t="s">
        <v>4427</v>
      </c>
      <c r="D2267" s="16" t="s">
        <v>4433</v>
      </c>
      <c r="E2267" s="17" t="s">
        <v>4434</v>
      </c>
      <c r="F2267" s="16" t="n">
        <v>32.46434417</v>
      </c>
      <c r="G2267" s="16" t="n">
        <v>46.67562383</v>
      </c>
      <c r="H2267" s="18" t="n">
        <v>2</v>
      </c>
      <c r="I2267" s="18" t="n">
        <v>12</v>
      </c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 t="n">
        <v>2</v>
      </c>
      <c r="W2267" s="19"/>
      <c r="X2267" s="19"/>
      <c r="Y2267" s="19"/>
      <c r="Z2267" s="19"/>
      <c r="AA2267" s="19"/>
      <c r="AB2267" s="19"/>
      <c r="AC2267" s="19" t="n">
        <v>1</v>
      </c>
      <c r="AD2267" s="19"/>
      <c r="AE2267" s="19" t="n">
        <v>1</v>
      </c>
      <c r="AF2267" s="19"/>
      <c r="AG2267" s="19"/>
      <c r="AH2267" s="19"/>
      <c r="AI2267" s="19"/>
      <c r="AJ2267" s="19"/>
      <c r="AK2267" s="19"/>
      <c r="AL2267" s="19"/>
      <c r="AM2267" s="19"/>
      <c r="AN2267" s="19" t="n">
        <v>1</v>
      </c>
      <c r="AO2267" s="19" t="n">
        <v>1</v>
      </c>
      <c r="AP2267" s="19"/>
      <c r="AQ2267" s="19"/>
      <c r="AR2267" s="19"/>
      <c r="AS2267" s="20" t="str">
        <f aca="false">HYPERLINK("http://www.openstreetmap.org/?mlat=32.4643&amp;mlon=46.6756&amp;zoom=12#map=12/32.4643/46.6756","Maplink1")</f>
        <v>Maplink1</v>
      </c>
      <c r="AT2267" s="20" t="str">
        <f aca="false">HYPERLINK("https://www.google.iq/maps/search/+32.4643,46.6756/@32.4643,46.6756,14z?hl=en","Maplink2")</f>
        <v>Maplink2</v>
      </c>
      <c r="AU2267" s="20" t="str">
        <f aca="false">HYPERLINK("http://www.bing.com/maps/?lvl=14&amp;sty=h&amp;cp=32.4643~46.6756&amp;sp=point.32.4643_46.6756","Maplink3")</f>
        <v>Maplink3</v>
      </c>
    </row>
    <row r="2268" customFormat="false" ht="15" hidden="false" customHeight="true" outlineLevel="0" collapsed="false">
      <c r="A2268" s="15" t="n">
        <v>22504</v>
      </c>
      <c r="B2268" s="16" t="s">
        <v>24</v>
      </c>
      <c r="C2268" s="16" t="s">
        <v>4427</v>
      </c>
      <c r="D2268" s="16" t="s">
        <v>136</v>
      </c>
      <c r="E2268" s="17" t="s">
        <v>4435</v>
      </c>
      <c r="F2268" s="16" t="n">
        <v>32.12051834</v>
      </c>
      <c r="G2268" s="16" t="n">
        <v>46.73051775</v>
      </c>
      <c r="H2268" s="18" t="n">
        <v>2</v>
      </c>
      <c r="I2268" s="18" t="n">
        <v>12</v>
      </c>
      <c r="J2268" s="19"/>
      <c r="K2268" s="19"/>
      <c r="L2268" s="19" t="n">
        <v>1</v>
      </c>
      <c r="M2268" s="19"/>
      <c r="N2268" s="19"/>
      <c r="O2268" s="19"/>
      <c r="P2268" s="19"/>
      <c r="Q2268" s="19"/>
      <c r="R2268" s="19"/>
      <c r="S2268" s="19"/>
      <c r="T2268" s="19"/>
      <c r="U2268" s="19"/>
      <c r="V2268" s="19" t="n">
        <v>1</v>
      </c>
      <c r="W2268" s="19"/>
      <c r="X2268" s="19"/>
      <c r="Y2268" s="19"/>
      <c r="Z2268" s="19"/>
      <c r="AA2268" s="19"/>
      <c r="AB2268" s="19"/>
      <c r="AC2268" s="19" t="n">
        <v>1</v>
      </c>
      <c r="AD2268" s="19"/>
      <c r="AE2268" s="19"/>
      <c r="AF2268" s="19"/>
      <c r="AG2268" s="19"/>
      <c r="AH2268" s="19" t="n">
        <v>1</v>
      </c>
      <c r="AI2268" s="19"/>
      <c r="AJ2268" s="19"/>
      <c r="AK2268" s="19"/>
      <c r="AL2268" s="19"/>
      <c r="AM2268" s="19" t="n">
        <v>1</v>
      </c>
      <c r="AN2268" s="19" t="n">
        <v>1</v>
      </c>
      <c r="AO2268" s="19"/>
      <c r="AP2268" s="19"/>
      <c r="AQ2268" s="19"/>
      <c r="AR2268" s="19"/>
      <c r="AS2268" s="20" t="str">
        <f aca="false">HYPERLINK("http://www.openstreetmap.org/?mlat=32.1205&amp;mlon=46.7305&amp;zoom=12#map=12/32.1205/46.7305","Maplink1")</f>
        <v>Maplink1</v>
      </c>
      <c r="AT2268" s="20" t="str">
        <f aca="false">HYPERLINK("https://www.google.iq/maps/search/+32.1205,46.7305/@32.1205,46.7305,14z?hl=en","Maplink2")</f>
        <v>Maplink2</v>
      </c>
      <c r="AU2268" s="20" t="str">
        <f aca="false">HYPERLINK("http://www.bing.com/maps/?lvl=14&amp;sty=h&amp;cp=32.1205~46.7305&amp;sp=point.32.1205_46.7305","Maplink3")</f>
        <v>Maplink3</v>
      </c>
    </row>
    <row r="2269" customFormat="false" ht="15" hidden="false" customHeight="true" outlineLevel="0" collapsed="false">
      <c r="A2269" s="15" t="n">
        <v>16833</v>
      </c>
      <c r="B2269" s="16" t="s">
        <v>24</v>
      </c>
      <c r="C2269" s="16" t="s">
        <v>4427</v>
      </c>
      <c r="D2269" s="16" t="s">
        <v>4436</v>
      </c>
      <c r="E2269" s="17" t="s">
        <v>4437</v>
      </c>
      <c r="F2269" s="16" t="n">
        <v>32.11889937</v>
      </c>
      <c r="G2269" s="16" t="n">
        <v>46.73381067</v>
      </c>
      <c r="H2269" s="18" t="n">
        <v>1</v>
      </c>
      <c r="I2269" s="18" t="n">
        <v>6</v>
      </c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 t="n">
        <v>1</v>
      </c>
      <c r="Y2269" s="19"/>
      <c r="Z2269" s="19"/>
      <c r="AA2269" s="19"/>
      <c r="AB2269" s="19"/>
      <c r="AC2269" s="19"/>
      <c r="AD2269" s="19"/>
      <c r="AE2269" s="19"/>
      <c r="AF2269" s="19"/>
      <c r="AG2269" s="19"/>
      <c r="AH2269" s="19" t="n">
        <v>1</v>
      </c>
      <c r="AI2269" s="19"/>
      <c r="AJ2269" s="19"/>
      <c r="AK2269" s="19"/>
      <c r="AL2269" s="19"/>
      <c r="AM2269" s="19" t="n">
        <v>1</v>
      </c>
      <c r="AN2269" s="19"/>
      <c r="AO2269" s="19"/>
      <c r="AP2269" s="19"/>
      <c r="AQ2269" s="19"/>
      <c r="AR2269" s="19"/>
      <c r="AS2269" s="20" t="str">
        <f aca="false">HYPERLINK("http://www.openstreetmap.org/?mlat=32.1189&amp;mlon=46.7338&amp;zoom=12#map=12/32.1189/46.7338","Maplink1")</f>
        <v>Maplink1</v>
      </c>
      <c r="AT2269" s="20" t="str">
        <f aca="false">HYPERLINK("https://www.google.iq/maps/search/+32.1189,46.7338/@32.1189,46.7338,14z?hl=en","Maplink2")</f>
        <v>Maplink2</v>
      </c>
      <c r="AU2269" s="20" t="str">
        <f aca="false">HYPERLINK("http://www.bing.com/maps/?lvl=14&amp;sty=h&amp;cp=32.1189~46.7338&amp;sp=point.32.1189_46.7338","Maplink3")</f>
        <v>Maplink3</v>
      </c>
    </row>
    <row r="2270" customFormat="false" ht="15" hidden="false" customHeight="true" outlineLevel="0" collapsed="false">
      <c r="A2270" s="15" t="n">
        <v>16772</v>
      </c>
      <c r="B2270" s="16" t="s">
        <v>24</v>
      </c>
      <c r="C2270" s="16" t="s">
        <v>4427</v>
      </c>
      <c r="D2270" s="16" t="s">
        <v>4438</v>
      </c>
      <c r="E2270" s="17" t="s">
        <v>4439</v>
      </c>
      <c r="F2270" s="16" t="n">
        <v>32.46241734</v>
      </c>
      <c r="G2270" s="16" t="n">
        <v>46.68900001</v>
      </c>
      <c r="H2270" s="18" t="n">
        <v>1</v>
      </c>
      <c r="I2270" s="18" t="n">
        <v>6</v>
      </c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 t="n">
        <v>1</v>
      </c>
      <c r="W2270" s="19"/>
      <c r="X2270" s="19"/>
      <c r="Y2270" s="19"/>
      <c r="Z2270" s="19"/>
      <c r="AA2270" s="19"/>
      <c r="AB2270" s="19"/>
      <c r="AC2270" s="19"/>
      <c r="AD2270" s="19"/>
      <c r="AE2270" s="19"/>
      <c r="AF2270" s="19"/>
      <c r="AG2270" s="19"/>
      <c r="AH2270" s="19" t="n">
        <v>1</v>
      </c>
      <c r="AI2270" s="19"/>
      <c r="AJ2270" s="19"/>
      <c r="AK2270" s="19"/>
      <c r="AL2270" s="19"/>
      <c r="AM2270" s="19"/>
      <c r="AN2270" s="19" t="n">
        <v>1</v>
      </c>
      <c r="AO2270" s="19"/>
      <c r="AP2270" s="19"/>
      <c r="AQ2270" s="19"/>
      <c r="AR2270" s="19"/>
      <c r="AS2270" s="20" t="str">
        <f aca="false">HYPERLINK("http://www.openstreetmap.org/?mlat=32.4624&amp;mlon=46.689&amp;zoom=12#map=12/32.4624/46.689","Maplink1")</f>
        <v>Maplink1</v>
      </c>
      <c r="AT2270" s="20" t="str">
        <f aca="false">HYPERLINK("https://www.google.iq/maps/search/+32.4624,46.689/@32.4624,46.689,14z?hl=en","Maplink2")</f>
        <v>Maplink2</v>
      </c>
      <c r="AU2270" s="20" t="str">
        <f aca="false">HYPERLINK("http://www.bing.com/maps/?lvl=14&amp;sty=h&amp;cp=32.4624~46.689&amp;sp=point.32.4624_46.689","Maplink3")</f>
        <v>Maplink3</v>
      </c>
    </row>
    <row r="2271" customFormat="false" ht="15" hidden="false" customHeight="true" outlineLevel="0" collapsed="false">
      <c r="A2271" s="15" t="n">
        <v>24239</v>
      </c>
      <c r="B2271" s="16" t="s">
        <v>24</v>
      </c>
      <c r="C2271" s="16" t="s">
        <v>4427</v>
      </c>
      <c r="D2271" s="16" t="s">
        <v>4440</v>
      </c>
      <c r="E2271" s="17" t="s">
        <v>4441</v>
      </c>
      <c r="F2271" s="16" t="n">
        <v>32.1211518</v>
      </c>
      <c r="G2271" s="16" t="n">
        <v>46.73848928</v>
      </c>
      <c r="H2271" s="18" t="n">
        <v>2</v>
      </c>
      <c r="I2271" s="18" t="n">
        <v>12</v>
      </c>
      <c r="J2271" s="19"/>
      <c r="K2271" s="19"/>
      <c r="L2271" s="19" t="n">
        <v>1</v>
      </c>
      <c r="M2271" s="19"/>
      <c r="N2271" s="19"/>
      <c r="O2271" s="19"/>
      <c r="P2271" s="19"/>
      <c r="Q2271" s="19"/>
      <c r="R2271" s="19"/>
      <c r="S2271" s="19"/>
      <c r="T2271" s="19"/>
      <c r="U2271" s="19"/>
      <c r="V2271" s="19" t="n">
        <v>1</v>
      </c>
      <c r="W2271" s="19"/>
      <c r="X2271" s="19"/>
      <c r="Y2271" s="19"/>
      <c r="Z2271" s="19"/>
      <c r="AA2271" s="19"/>
      <c r="AB2271" s="19"/>
      <c r="AC2271" s="19"/>
      <c r="AD2271" s="19"/>
      <c r="AE2271" s="19" t="n">
        <v>1</v>
      </c>
      <c r="AF2271" s="19"/>
      <c r="AG2271" s="19"/>
      <c r="AH2271" s="19" t="n">
        <v>1</v>
      </c>
      <c r="AI2271" s="19"/>
      <c r="AJ2271" s="19"/>
      <c r="AK2271" s="19"/>
      <c r="AL2271" s="19"/>
      <c r="AM2271" s="19" t="n">
        <v>1</v>
      </c>
      <c r="AN2271" s="19" t="n">
        <v>1</v>
      </c>
      <c r="AO2271" s="19"/>
      <c r="AP2271" s="19"/>
      <c r="AQ2271" s="19"/>
      <c r="AR2271" s="19"/>
      <c r="AS2271" s="20" t="str">
        <f aca="false">HYPERLINK("http://www.openstreetmap.org/?mlat=32.1212&amp;mlon=46.7385&amp;zoom=12#map=12/32.1212/46.7385","Maplink1")</f>
        <v>Maplink1</v>
      </c>
      <c r="AT2271" s="20" t="str">
        <f aca="false">HYPERLINK("https://www.google.iq/maps/search/+32.1212,46.7385/@32.1212,46.7385,14z?hl=en","Maplink2")</f>
        <v>Maplink2</v>
      </c>
      <c r="AU2271" s="20" t="str">
        <f aca="false">HYPERLINK("http://www.bing.com/maps/?lvl=14&amp;sty=h&amp;cp=32.1212~46.7385&amp;sp=point.32.1212_46.7385","Maplink3")</f>
        <v>Maplink3</v>
      </c>
    </row>
    <row r="2272" customFormat="false" ht="15" hidden="false" customHeight="true" outlineLevel="0" collapsed="false">
      <c r="A2272" s="15" t="n">
        <v>16779</v>
      </c>
      <c r="B2272" s="16" t="s">
        <v>24</v>
      </c>
      <c r="C2272" s="16" t="s">
        <v>4427</v>
      </c>
      <c r="D2272" s="16" t="s">
        <v>729</v>
      </c>
      <c r="E2272" s="17" t="s">
        <v>2027</v>
      </c>
      <c r="F2272" s="16" t="n">
        <v>32.46730801</v>
      </c>
      <c r="G2272" s="16" t="n">
        <v>46.69143378</v>
      </c>
      <c r="H2272" s="18" t="n">
        <v>2</v>
      </c>
      <c r="I2272" s="18" t="n">
        <v>12</v>
      </c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 t="n">
        <v>2</v>
      </c>
      <c r="W2272" s="19"/>
      <c r="X2272" s="19"/>
      <c r="Y2272" s="19"/>
      <c r="Z2272" s="19"/>
      <c r="AA2272" s="19"/>
      <c r="AB2272" s="19"/>
      <c r="AC2272" s="19" t="n">
        <v>2</v>
      </c>
      <c r="AD2272" s="19"/>
      <c r="AE2272" s="19"/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n">
        <v>2</v>
      </c>
      <c r="AP2272" s="19"/>
      <c r="AQ2272" s="19"/>
      <c r="AR2272" s="19"/>
      <c r="AS2272" s="20" t="str">
        <f aca="false">HYPERLINK("http://www.openstreetmap.org/?mlat=32.4673&amp;mlon=46.6914&amp;zoom=12#map=12/32.4673/46.6914","Maplink1")</f>
        <v>Maplink1</v>
      </c>
      <c r="AT2272" s="20" t="str">
        <f aca="false">HYPERLINK("https://www.google.iq/maps/search/+32.4673,46.6914/@32.4673,46.6914,14z?hl=en","Maplink2")</f>
        <v>Maplink2</v>
      </c>
      <c r="AU2272" s="20" t="str">
        <f aca="false">HYPERLINK("http://www.bing.com/maps/?lvl=14&amp;sty=h&amp;cp=32.4673~46.6914&amp;sp=point.32.4673_46.6914","Maplink3")</f>
        <v>Maplink3</v>
      </c>
    </row>
    <row r="2273" customFormat="false" ht="15" hidden="false" customHeight="true" outlineLevel="0" collapsed="false">
      <c r="A2273" s="15" t="n">
        <v>16834</v>
      </c>
      <c r="B2273" s="16" t="s">
        <v>24</v>
      </c>
      <c r="C2273" s="16" t="s">
        <v>4427</v>
      </c>
      <c r="D2273" s="16" t="s">
        <v>4442</v>
      </c>
      <c r="E2273" s="17" t="s">
        <v>4443</v>
      </c>
      <c r="F2273" s="16" t="n">
        <v>32.12512817</v>
      </c>
      <c r="G2273" s="16" t="n">
        <v>46.73562787</v>
      </c>
      <c r="H2273" s="18" t="n">
        <v>1</v>
      </c>
      <c r="I2273" s="18" t="n">
        <v>6</v>
      </c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 t="n">
        <v>1</v>
      </c>
      <c r="W2273" s="19"/>
      <c r="X2273" s="19"/>
      <c r="Y2273" s="19"/>
      <c r="Z2273" s="19"/>
      <c r="AA2273" s="19"/>
      <c r="AB2273" s="19"/>
      <c r="AC2273" s="19"/>
      <c r="AD2273" s="19"/>
      <c r="AE2273" s="19"/>
      <c r="AF2273" s="19"/>
      <c r="AG2273" s="19"/>
      <c r="AH2273" s="19" t="n">
        <v>1</v>
      </c>
      <c r="AI2273" s="19"/>
      <c r="AJ2273" s="19"/>
      <c r="AK2273" s="19"/>
      <c r="AL2273" s="19"/>
      <c r="AM2273" s="19"/>
      <c r="AN2273" s="19" t="n">
        <v>1</v>
      </c>
      <c r="AO2273" s="19"/>
      <c r="AP2273" s="19"/>
      <c r="AQ2273" s="19"/>
      <c r="AR2273" s="19"/>
      <c r="AS2273" s="20" t="str">
        <f aca="false">HYPERLINK("http://www.openstreetmap.org/?mlat=32.1251&amp;mlon=46.7356&amp;zoom=12#map=12/32.1251/46.7356","Maplink1")</f>
        <v>Maplink1</v>
      </c>
      <c r="AT2273" s="20" t="str">
        <f aca="false">HYPERLINK("https://www.google.iq/maps/search/+32.1251,46.7356/@32.1251,46.7356,14z?hl=en","Maplink2")</f>
        <v>Maplink2</v>
      </c>
      <c r="AU2273" s="20" t="str">
        <f aca="false">HYPERLINK("http://www.bing.com/maps/?lvl=14&amp;sty=h&amp;cp=32.1251~46.7356&amp;sp=point.32.1251_46.7356","Maplink3")</f>
        <v>Maplink3</v>
      </c>
    </row>
    <row r="2274" customFormat="false" ht="15" hidden="false" customHeight="true" outlineLevel="0" collapsed="false">
      <c r="A2274" s="15" t="n">
        <v>15808</v>
      </c>
      <c r="B2274" s="16" t="s">
        <v>24</v>
      </c>
      <c r="C2274" s="16" t="s">
        <v>4427</v>
      </c>
      <c r="D2274" s="16" t="s">
        <v>4444</v>
      </c>
      <c r="E2274" s="17" t="s">
        <v>4445</v>
      </c>
      <c r="F2274" s="16" t="n">
        <v>32.4812306</v>
      </c>
      <c r="G2274" s="16" t="n">
        <v>46.68344725</v>
      </c>
      <c r="H2274" s="18" t="n">
        <v>3</v>
      </c>
      <c r="I2274" s="18" t="n">
        <v>18</v>
      </c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 t="n">
        <v>1</v>
      </c>
      <c r="W2274" s="19"/>
      <c r="X2274" s="19" t="n">
        <v>2</v>
      </c>
      <c r="Y2274" s="19"/>
      <c r="Z2274" s="19"/>
      <c r="AA2274" s="19"/>
      <c r="AB2274" s="19"/>
      <c r="AC2274" s="19" t="n">
        <v>2</v>
      </c>
      <c r="AD2274" s="19"/>
      <c r="AE2274" s="19"/>
      <c r="AF2274" s="19"/>
      <c r="AG2274" s="19"/>
      <c r="AH2274" s="19" t="n">
        <v>1</v>
      </c>
      <c r="AI2274" s="19"/>
      <c r="AJ2274" s="19"/>
      <c r="AK2274" s="19"/>
      <c r="AL2274" s="19"/>
      <c r="AM2274" s="19" t="n">
        <v>2</v>
      </c>
      <c r="AN2274" s="19"/>
      <c r="AO2274" s="19"/>
      <c r="AP2274" s="19" t="n">
        <v>1</v>
      </c>
      <c r="AQ2274" s="19"/>
      <c r="AR2274" s="19"/>
      <c r="AS2274" s="20" t="str">
        <f aca="false">HYPERLINK("http://www.openstreetmap.org/?mlat=32.4812&amp;mlon=46.6834&amp;zoom=12#map=12/32.4812/46.6834","Maplink1")</f>
        <v>Maplink1</v>
      </c>
      <c r="AT2274" s="20" t="str">
        <f aca="false">HYPERLINK("https://www.google.iq/maps/search/+32.4812,46.6834/@32.4812,46.6834,14z?hl=en","Maplink2")</f>
        <v>Maplink2</v>
      </c>
      <c r="AU2274" s="20" t="str">
        <f aca="false">HYPERLINK("http://www.bing.com/maps/?lvl=14&amp;sty=h&amp;cp=32.4812~46.6834&amp;sp=point.32.4812_46.6834","Maplink3")</f>
        <v>Maplink3</v>
      </c>
    </row>
    <row r="2275" customFormat="false" ht="15" hidden="false" customHeight="true" outlineLevel="0" collapsed="false">
      <c r="A2275" s="15" t="n">
        <v>24532</v>
      </c>
      <c r="B2275" s="16" t="s">
        <v>24</v>
      </c>
      <c r="C2275" s="16" t="s">
        <v>4446</v>
      </c>
      <c r="D2275" s="16" t="s">
        <v>4447</v>
      </c>
      <c r="E2275" s="17" t="s">
        <v>4448</v>
      </c>
      <c r="F2275" s="16" t="n">
        <v>31.80572293</v>
      </c>
      <c r="G2275" s="16" t="n">
        <v>47.17690456</v>
      </c>
      <c r="H2275" s="18" t="n">
        <v>261</v>
      </c>
      <c r="I2275" s="18" t="n">
        <v>1566</v>
      </c>
      <c r="J2275" s="19" t="n">
        <v>19</v>
      </c>
      <c r="K2275" s="19" t="n">
        <v>1</v>
      </c>
      <c r="L2275" s="19"/>
      <c r="M2275" s="19"/>
      <c r="N2275" s="19"/>
      <c r="O2275" s="19" t="n">
        <v>2</v>
      </c>
      <c r="P2275" s="19"/>
      <c r="Q2275" s="19"/>
      <c r="R2275" s="19" t="n">
        <v>12</v>
      </c>
      <c r="S2275" s="19"/>
      <c r="T2275" s="19"/>
      <c r="U2275" s="19"/>
      <c r="V2275" s="19" t="n">
        <v>205</v>
      </c>
      <c r="W2275" s="19"/>
      <c r="X2275" s="19" t="n">
        <v>22</v>
      </c>
      <c r="Y2275" s="19"/>
      <c r="Z2275" s="19"/>
      <c r="AA2275" s="19"/>
      <c r="AB2275" s="19"/>
      <c r="AC2275" s="19" t="n">
        <v>86</v>
      </c>
      <c r="AD2275" s="19"/>
      <c r="AE2275" s="19"/>
      <c r="AF2275" s="19"/>
      <c r="AG2275" s="19"/>
      <c r="AH2275" s="19" t="n">
        <v>149</v>
      </c>
      <c r="AI2275" s="19" t="n">
        <v>26</v>
      </c>
      <c r="AJ2275" s="19"/>
      <c r="AK2275" s="19"/>
      <c r="AL2275" s="19" t="n">
        <v>3</v>
      </c>
      <c r="AM2275" s="19" t="n">
        <v>60</v>
      </c>
      <c r="AN2275" s="19" t="n">
        <v>112</v>
      </c>
      <c r="AO2275" s="19" t="n">
        <v>67</v>
      </c>
      <c r="AP2275" s="19" t="n">
        <v>9</v>
      </c>
      <c r="AQ2275" s="19"/>
      <c r="AR2275" s="19" t="n">
        <v>10</v>
      </c>
      <c r="AS2275" s="20" t="str">
        <f aca="false">HYPERLINK("http://www.openstreetmap.org/?mlat=31.8057&amp;mlon=47.1769&amp;zoom=12#map=12/31.8057/47.1769","Maplink1")</f>
        <v>Maplink1</v>
      </c>
      <c r="AT2275" s="20" t="str">
        <f aca="false">HYPERLINK("https://www.google.iq/maps/search/+31.8057,47.1769/@31.8057,47.1769,14z?hl=en","Maplink2")</f>
        <v>Maplink2</v>
      </c>
      <c r="AU2275" s="20" t="str">
        <f aca="false">HYPERLINK("http://www.bing.com/maps/?lvl=14&amp;sty=h&amp;cp=31.8057~47.1769&amp;sp=point.31.8057_47.1769","Maplink3")</f>
        <v>Maplink3</v>
      </c>
    </row>
    <row r="2276" customFormat="false" ht="15" hidden="false" customHeight="true" outlineLevel="0" collapsed="false">
      <c r="A2276" s="15" t="n">
        <v>16681</v>
      </c>
      <c r="B2276" s="16" t="s">
        <v>24</v>
      </c>
      <c r="C2276" s="16" t="s">
        <v>4446</v>
      </c>
      <c r="D2276" s="16" t="s">
        <v>4449</v>
      </c>
      <c r="E2276" s="17" t="s">
        <v>4450</v>
      </c>
      <c r="F2276" s="16" t="n">
        <v>32.045096</v>
      </c>
      <c r="G2276" s="16" t="n">
        <v>46.88603</v>
      </c>
      <c r="H2276" s="18" t="n">
        <v>1</v>
      </c>
      <c r="I2276" s="18" t="n">
        <v>6</v>
      </c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 t="n">
        <v>1</v>
      </c>
      <c r="W2276" s="19"/>
      <c r="X2276" s="19"/>
      <c r="Y2276" s="19"/>
      <c r="Z2276" s="19"/>
      <c r="AA2276" s="19"/>
      <c r="AB2276" s="19"/>
      <c r="AC2276" s="19" t="n">
        <v>1</v>
      </c>
      <c r="AD2276" s="19"/>
      <c r="AE2276" s="19"/>
      <c r="AF2276" s="19"/>
      <c r="AG2276" s="19"/>
      <c r="AH2276" s="19"/>
      <c r="AI2276" s="19"/>
      <c r="AJ2276" s="19"/>
      <c r="AK2276" s="19"/>
      <c r="AL2276" s="19"/>
      <c r="AM2276" s="19"/>
      <c r="AN2276" s="19" t="n">
        <v>1</v>
      </c>
      <c r="AO2276" s="19"/>
      <c r="AP2276" s="19"/>
      <c r="AQ2276" s="19"/>
      <c r="AR2276" s="19"/>
      <c r="AS2276" s="20" t="str">
        <f aca="false">HYPERLINK("http://www.openstreetmap.org/?mlat=32.0451&amp;mlon=46.886&amp;zoom=12#map=12/32.0451/46.886","Maplink1")</f>
        <v>Maplink1</v>
      </c>
      <c r="AT2276" s="20" t="str">
        <f aca="false">HYPERLINK("https://www.google.iq/maps/search/+32.0451,46.886/@32.0451,46.886,14z?hl=en","Maplink2")</f>
        <v>Maplink2</v>
      </c>
      <c r="AU2276" s="20" t="str">
        <f aca="false">HYPERLINK("http://www.bing.com/maps/?lvl=14&amp;sty=h&amp;cp=32.0451~46.886&amp;sp=point.32.0451_46.886","Maplink3")</f>
        <v>Maplink3</v>
      </c>
    </row>
    <row r="2277" customFormat="false" ht="15" hidden="false" customHeight="true" outlineLevel="0" collapsed="false">
      <c r="A2277" s="15" t="n">
        <v>21620</v>
      </c>
      <c r="B2277" s="16" t="s">
        <v>24</v>
      </c>
      <c r="C2277" s="16" t="s">
        <v>4446</v>
      </c>
      <c r="D2277" s="16" t="s">
        <v>4451</v>
      </c>
      <c r="E2277" s="17" t="s">
        <v>4452</v>
      </c>
      <c r="F2277" s="16" t="n">
        <v>31.78589399</v>
      </c>
      <c r="G2277" s="16" t="n">
        <v>47.18538595</v>
      </c>
      <c r="H2277" s="18" t="n">
        <v>3</v>
      </c>
      <c r="I2277" s="18" t="n">
        <v>18</v>
      </c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 t="n">
        <v>3</v>
      </c>
      <c r="W2277" s="19"/>
      <c r="X2277" s="19"/>
      <c r="Y2277" s="19"/>
      <c r="Z2277" s="19"/>
      <c r="AA2277" s="19"/>
      <c r="AB2277" s="19"/>
      <c r="AC2277" s="19" t="n">
        <v>1</v>
      </c>
      <c r="AD2277" s="19"/>
      <c r="AE2277" s="19"/>
      <c r="AF2277" s="19"/>
      <c r="AG2277" s="19"/>
      <c r="AH2277" s="19" t="n">
        <v>2</v>
      </c>
      <c r="AI2277" s="19"/>
      <c r="AJ2277" s="19"/>
      <c r="AK2277" s="19"/>
      <c r="AL2277" s="19"/>
      <c r="AM2277" s="19" t="n">
        <v>1</v>
      </c>
      <c r="AN2277" s="19" t="n">
        <v>2</v>
      </c>
      <c r="AO2277" s="19"/>
      <c r="AP2277" s="19"/>
      <c r="AQ2277" s="19"/>
      <c r="AR2277" s="19"/>
      <c r="AS2277" s="20" t="str">
        <f aca="false">HYPERLINK("http://www.openstreetmap.org/?mlat=31.7859&amp;mlon=47.1854&amp;zoom=12#map=12/31.7859/47.1854","Maplink1")</f>
        <v>Maplink1</v>
      </c>
      <c r="AT2277" s="20" t="str">
        <f aca="false">HYPERLINK("https://www.google.iq/maps/search/+31.7859,47.1854/@31.7859,47.1854,14z?hl=en","Maplink2")</f>
        <v>Maplink2</v>
      </c>
      <c r="AU2277" s="20" t="str">
        <f aca="false">HYPERLINK("http://www.bing.com/maps/?lvl=14&amp;sty=h&amp;cp=31.7859~47.1854&amp;sp=point.31.7859_47.1854","Maplink3")</f>
        <v>Maplink3</v>
      </c>
    </row>
    <row r="2278" customFormat="false" ht="15" hidden="false" customHeight="true" outlineLevel="0" collapsed="false">
      <c r="A2278" s="15" t="n">
        <v>22208</v>
      </c>
      <c r="B2278" s="16" t="s">
        <v>24</v>
      </c>
      <c r="C2278" s="16" t="s">
        <v>4446</v>
      </c>
      <c r="D2278" s="16" t="s">
        <v>1199</v>
      </c>
      <c r="E2278" s="17" t="s">
        <v>97</v>
      </c>
      <c r="F2278" s="16" t="n">
        <v>31.87858057</v>
      </c>
      <c r="G2278" s="16" t="n">
        <v>47.14666936</v>
      </c>
      <c r="H2278" s="18" t="n">
        <v>28</v>
      </c>
      <c r="I2278" s="18" t="n">
        <v>168</v>
      </c>
      <c r="J2278" s="19"/>
      <c r="K2278" s="19"/>
      <c r="L2278" s="19" t="n">
        <v>1</v>
      </c>
      <c r="M2278" s="19"/>
      <c r="N2278" s="19"/>
      <c r="O2278" s="19"/>
      <c r="P2278" s="19"/>
      <c r="Q2278" s="19"/>
      <c r="R2278" s="19" t="n">
        <v>19</v>
      </c>
      <c r="S2278" s="19"/>
      <c r="T2278" s="19"/>
      <c r="U2278" s="19"/>
      <c r="V2278" s="19" t="n">
        <v>8</v>
      </c>
      <c r="W2278" s="19"/>
      <c r="X2278" s="19"/>
      <c r="Y2278" s="19"/>
      <c r="Z2278" s="19"/>
      <c r="AA2278" s="19"/>
      <c r="AB2278" s="19"/>
      <c r="AC2278" s="19" t="n">
        <v>15</v>
      </c>
      <c r="AD2278" s="19"/>
      <c r="AE2278" s="19" t="n">
        <v>1</v>
      </c>
      <c r="AF2278" s="19"/>
      <c r="AG2278" s="19"/>
      <c r="AH2278" s="19" t="n">
        <v>12</v>
      </c>
      <c r="AI2278" s="19"/>
      <c r="AJ2278" s="19"/>
      <c r="AK2278" s="19"/>
      <c r="AL2278" s="19" t="n">
        <v>1</v>
      </c>
      <c r="AM2278" s="19" t="n">
        <v>7</v>
      </c>
      <c r="AN2278" s="19" t="n">
        <v>12</v>
      </c>
      <c r="AO2278" s="19" t="n">
        <v>8</v>
      </c>
      <c r="AP2278" s="19"/>
      <c r="AQ2278" s="19"/>
      <c r="AR2278" s="19"/>
      <c r="AS2278" s="20" t="str">
        <f aca="false">HYPERLINK("http://www.openstreetmap.org/?mlat=31.8786&amp;mlon=47.1467&amp;zoom=12#map=12/31.8786/47.1467","Maplink1")</f>
        <v>Maplink1</v>
      </c>
      <c r="AT2278" s="20" t="str">
        <f aca="false">HYPERLINK("https://www.google.iq/maps/search/+31.8786,47.1467/@31.8786,47.1467,14z?hl=en","Maplink2")</f>
        <v>Maplink2</v>
      </c>
      <c r="AU2278" s="20" t="str">
        <f aca="false">HYPERLINK("http://www.bing.com/maps/?lvl=14&amp;sty=h&amp;cp=31.8786~47.1467&amp;sp=point.31.8786_47.1467","Maplink3")</f>
        <v>Maplink3</v>
      </c>
    </row>
    <row r="2279" customFormat="false" ht="15" hidden="false" customHeight="true" outlineLevel="0" collapsed="false">
      <c r="A2279" s="15" t="n">
        <v>22740</v>
      </c>
      <c r="B2279" s="16" t="s">
        <v>24</v>
      </c>
      <c r="C2279" s="16" t="s">
        <v>4446</v>
      </c>
      <c r="D2279" s="16" t="s">
        <v>4453</v>
      </c>
      <c r="E2279" s="17" t="s">
        <v>4454</v>
      </c>
      <c r="F2279" s="16" t="n">
        <v>31.93206884</v>
      </c>
      <c r="G2279" s="16" t="n">
        <v>46.91274419</v>
      </c>
      <c r="H2279" s="18" t="n">
        <v>2</v>
      </c>
      <c r="I2279" s="18" t="n">
        <v>12</v>
      </c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 t="n">
        <v>2</v>
      </c>
      <c r="W2279" s="19"/>
      <c r="X2279" s="19"/>
      <c r="Y2279" s="19"/>
      <c r="Z2279" s="19"/>
      <c r="AA2279" s="19"/>
      <c r="AB2279" s="19"/>
      <c r="AC2279" s="19" t="n">
        <v>2</v>
      </c>
      <c r="AD2279" s="19"/>
      <c r="AE2279" s="19"/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n">
        <v>2</v>
      </c>
      <c r="AP2279" s="19"/>
      <c r="AQ2279" s="19"/>
      <c r="AR2279" s="19"/>
      <c r="AS2279" s="20" t="str">
        <f aca="false">HYPERLINK("http://www.openstreetmap.org/?mlat=31.9321&amp;mlon=46.9127&amp;zoom=12#map=12/31.9321/46.9127","Maplink1")</f>
        <v>Maplink1</v>
      </c>
      <c r="AT2279" s="20" t="str">
        <f aca="false">HYPERLINK("https://www.google.iq/maps/search/+31.9321,46.9127/@31.9321,46.9127,14z?hl=en","Maplink2")</f>
        <v>Maplink2</v>
      </c>
      <c r="AU2279" s="20" t="str">
        <f aca="false">HYPERLINK("http://www.bing.com/maps/?lvl=14&amp;sty=h&amp;cp=31.9321~46.9127&amp;sp=point.31.9321_46.9127","Maplink3")</f>
        <v>Maplink3</v>
      </c>
    </row>
    <row r="2280" customFormat="false" ht="15" hidden="false" customHeight="true" outlineLevel="0" collapsed="false">
      <c r="A2280" s="15" t="n">
        <v>24416</v>
      </c>
      <c r="B2280" s="16" t="s">
        <v>24</v>
      </c>
      <c r="C2280" s="16" t="s">
        <v>4446</v>
      </c>
      <c r="D2280" s="16" t="s">
        <v>4455</v>
      </c>
      <c r="E2280" s="17" t="s">
        <v>4456</v>
      </c>
      <c r="F2280" s="16" t="n">
        <v>31.84986475</v>
      </c>
      <c r="G2280" s="16" t="n">
        <v>47.12559482</v>
      </c>
      <c r="H2280" s="18" t="n">
        <v>2</v>
      </c>
      <c r="I2280" s="18" t="n">
        <v>12</v>
      </c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 t="n">
        <v>1</v>
      </c>
      <c r="W2280" s="19"/>
      <c r="X2280" s="19" t="n">
        <v>1</v>
      </c>
      <c r="Y2280" s="19"/>
      <c r="Z2280" s="19"/>
      <c r="AA2280" s="19"/>
      <c r="AB2280" s="19"/>
      <c r="AC2280" s="19"/>
      <c r="AD2280" s="19"/>
      <c r="AE2280" s="19"/>
      <c r="AF2280" s="19"/>
      <c r="AG2280" s="19"/>
      <c r="AH2280" s="19" t="n">
        <v>2</v>
      </c>
      <c r="AI2280" s="19"/>
      <c r="AJ2280" s="19"/>
      <c r="AK2280" s="19"/>
      <c r="AL2280" s="19"/>
      <c r="AM2280" s="19" t="n">
        <v>1</v>
      </c>
      <c r="AN2280" s="19" t="n">
        <v>1</v>
      </c>
      <c r="AO2280" s="19"/>
      <c r="AP2280" s="19"/>
      <c r="AQ2280" s="19"/>
      <c r="AR2280" s="19"/>
      <c r="AS2280" s="20" t="str">
        <f aca="false">HYPERLINK("http://www.openstreetmap.org/?mlat=31.8499&amp;mlon=47.1256&amp;zoom=12#map=12/31.8499/47.1256","Maplink1")</f>
        <v>Maplink1</v>
      </c>
      <c r="AT2280" s="20" t="str">
        <f aca="false">HYPERLINK("https://www.google.iq/maps/search/+31.8499,47.1256/@31.8499,47.1256,14z?hl=en","Maplink2")</f>
        <v>Maplink2</v>
      </c>
      <c r="AU2280" s="20" t="str">
        <f aca="false">HYPERLINK("http://www.bing.com/maps/?lvl=14&amp;sty=h&amp;cp=31.8499~47.1256&amp;sp=point.31.8499_47.1256","Maplink3")</f>
        <v>Maplink3</v>
      </c>
    </row>
    <row r="2281" customFormat="false" ht="15" hidden="false" customHeight="true" outlineLevel="0" collapsed="false">
      <c r="A2281" s="15" t="n">
        <v>24290</v>
      </c>
      <c r="B2281" s="16" t="s">
        <v>24</v>
      </c>
      <c r="C2281" s="16" t="s">
        <v>4446</v>
      </c>
      <c r="D2281" s="16" t="s">
        <v>4457</v>
      </c>
      <c r="E2281" s="17" t="s">
        <v>4458</v>
      </c>
      <c r="F2281" s="16" t="n">
        <v>31.8935993</v>
      </c>
      <c r="G2281" s="16" t="n">
        <v>47.12558141</v>
      </c>
      <c r="H2281" s="18" t="n">
        <v>4</v>
      </c>
      <c r="I2281" s="18" t="n">
        <v>24</v>
      </c>
      <c r="J2281" s="19"/>
      <c r="K2281" s="19"/>
      <c r="L2281" s="19" t="n">
        <v>1</v>
      </c>
      <c r="M2281" s="19"/>
      <c r="N2281" s="19"/>
      <c r="O2281" s="19"/>
      <c r="P2281" s="19"/>
      <c r="Q2281" s="19"/>
      <c r="R2281" s="19"/>
      <c r="S2281" s="19"/>
      <c r="T2281" s="19"/>
      <c r="U2281" s="19"/>
      <c r="V2281" s="19" t="n">
        <v>2</v>
      </c>
      <c r="W2281" s="19"/>
      <c r="X2281" s="19" t="n">
        <v>1</v>
      </c>
      <c r="Y2281" s="19"/>
      <c r="Z2281" s="19"/>
      <c r="AA2281" s="19"/>
      <c r="AB2281" s="19"/>
      <c r="AC2281" s="19" t="n">
        <v>1</v>
      </c>
      <c r="AD2281" s="19"/>
      <c r="AE2281" s="19"/>
      <c r="AF2281" s="19"/>
      <c r="AG2281" s="19"/>
      <c r="AH2281" s="19" t="n">
        <v>3</v>
      </c>
      <c r="AI2281" s="19"/>
      <c r="AJ2281" s="19"/>
      <c r="AK2281" s="19"/>
      <c r="AL2281" s="19"/>
      <c r="AM2281" s="19"/>
      <c r="AN2281" s="19" t="n">
        <v>1</v>
      </c>
      <c r="AO2281" s="19" t="n">
        <v>3</v>
      </c>
      <c r="AP2281" s="19"/>
      <c r="AQ2281" s="19"/>
      <c r="AR2281" s="19"/>
      <c r="AS2281" s="20" t="str">
        <f aca="false">HYPERLINK("http://www.openstreetmap.org/?mlat=31.8936&amp;mlon=47.1256&amp;zoom=12#map=12/31.8936/47.1256","Maplink1")</f>
        <v>Maplink1</v>
      </c>
      <c r="AT2281" s="20" t="str">
        <f aca="false">HYPERLINK("https://www.google.iq/maps/search/+31.8936,47.1256/@31.8936,47.1256,14z?hl=en","Maplink2")</f>
        <v>Maplink2</v>
      </c>
      <c r="AU2281" s="20" t="str">
        <f aca="false">HYPERLINK("http://www.bing.com/maps/?lvl=14&amp;sty=h&amp;cp=31.8936~47.1256&amp;sp=point.31.8936_47.1256","Maplink3")</f>
        <v>Maplink3</v>
      </c>
    </row>
    <row r="2282" customFormat="false" ht="15" hidden="false" customHeight="true" outlineLevel="0" collapsed="false">
      <c r="A2282" s="15" t="n">
        <v>24808</v>
      </c>
      <c r="B2282" s="16" t="s">
        <v>24</v>
      </c>
      <c r="C2282" s="16" t="s">
        <v>4446</v>
      </c>
      <c r="D2282" s="16" t="s">
        <v>4459</v>
      </c>
      <c r="E2282" s="17" t="s">
        <v>4460</v>
      </c>
      <c r="F2282" s="16" t="n">
        <v>31.88485371</v>
      </c>
      <c r="G2282" s="16" t="n">
        <v>47.16717032</v>
      </c>
      <c r="H2282" s="18" t="n">
        <v>122</v>
      </c>
      <c r="I2282" s="18" t="n">
        <v>732</v>
      </c>
      <c r="J2282" s="19"/>
      <c r="K2282" s="19"/>
      <c r="L2282" s="19"/>
      <c r="M2282" s="19"/>
      <c r="N2282" s="19"/>
      <c r="O2282" s="19" t="n">
        <v>1</v>
      </c>
      <c r="P2282" s="19"/>
      <c r="Q2282" s="19"/>
      <c r="R2282" s="19" t="n">
        <v>2</v>
      </c>
      <c r="S2282" s="19"/>
      <c r="T2282" s="19"/>
      <c r="U2282" s="19"/>
      <c r="V2282" s="19" t="n">
        <v>118</v>
      </c>
      <c r="W2282" s="19"/>
      <c r="X2282" s="19" t="n">
        <v>1</v>
      </c>
      <c r="Y2282" s="19"/>
      <c r="Z2282" s="19"/>
      <c r="AA2282" s="19"/>
      <c r="AB2282" s="19" t="n">
        <v>122</v>
      </c>
      <c r="AC2282" s="19"/>
      <c r="AD2282" s="19"/>
      <c r="AE2282" s="19"/>
      <c r="AF2282" s="19"/>
      <c r="AG2282" s="19"/>
      <c r="AH2282" s="19"/>
      <c r="AI2282" s="19"/>
      <c r="AJ2282" s="19"/>
      <c r="AK2282" s="19"/>
      <c r="AL2282" s="19"/>
      <c r="AM2282" s="19" t="n">
        <v>24</v>
      </c>
      <c r="AN2282" s="19" t="n">
        <v>83</v>
      </c>
      <c r="AO2282" s="19" t="n">
        <v>14</v>
      </c>
      <c r="AP2282" s="19" t="n">
        <v>1</v>
      </c>
      <c r="AQ2282" s="19"/>
      <c r="AR2282" s="19"/>
      <c r="AS2282" s="20" t="str">
        <f aca="false">HYPERLINK("http://www.openstreetmap.org/?mlat=31.8849&amp;mlon=47.1672&amp;zoom=12#map=12/31.8849/47.1672","Maplink1")</f>
        <v>Maplink1</v>
      </c>
      <c r="AT2282" s="20" t="str">
        <f aca="false">HYPERLINK("https://www.google.iq/maps/search/+31.8849,47.1672/@31.8849,47.1672,14z?hl=en","Maplink2")</f>
        <v>Maplink2</v>
      </c>
      <c r="AU2282" s="20" t="str">
        <f aca="false">HYPERLINK("http://www.bing.com/maps/?lvl=14&amp;sty=h&amp;cp=31.8849~47.1672&amp;sp=point.31.8849_47.1672","Maplink3")</f>
        <v>Maplink3</v>
      </c>
    </row>
    <row r="2283" customFormat="false" ht="15" hidden="false" customHeight="true" outlineLevel="0" collapsed="false">
      <c r="A2283" s="15" t="n">
        <v>27422</v>
      </c>
      <c r="B2283" s="16" t="s">
        <v>24</v>
      </c>
      <c r="C2283" s="16" t="s">
        <v>4446</v>
      </c>
      <c r="D2283" s="16" t="s">
        <v>4461</v>
      </c>
      <c r="E2283" s="17" t="s">
        <v>4462</v>
      </c>
      <c r="F2283" s="16" t="n">
        <v>31.85574403</v>
      </c>
      <c r="G2283" s="16" t="n">
        <v>47.1855743</v>
      </c>
      <c r="H2283" s="18" t="n">
        <v>4</v>
      </c>
      <c r="I2283" s="18" t="n">
        <v>24</v>
      </c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 t="n">
        <v>4</v>
      </c>
      <c r="W2283" s="19"/>
      <c r="X2283" s="19"/>
      <c r="Y2283" s="19"/>
      <c r="Z2283" s="19"/>
      <c r="AA2283" s="19"/>
      <c r="AB2283" s="19"/>
      <c r="AC2283" s="19" t="n">
        <v>1</v>
      </c>
      <c r="AD2283" s="19"/>
      <c r="AE2283" s="19"/>
      <c r="AF2283" s="19"/>
      <c r="AG2283" s="19" t="n">
        <v>2</v>
      </c>
      <c r="AH2283" s="19" t="n">
        <v>1</v>
      </c>
      <c r="AI2283" s="19"/>
      <c r="AJ2283" s="19"/>
      <c r="AK2283" s="19"/>
      <c r="AL2283" s="19"/>
      <c r="AM2283" s="19" t="n">
        <v>2</v>
      </c>
      <c r="AN2283" s="19" t="n">
        <v>2</v>
      </c>
      <c r="AO2283" s="19"/>
      <c r="AP2283" s="19"/>
      <c r="AQ2283" s="19"/>
      <c r="AR2283" s="19"/>
      <c r="AS2283" s="20" t="str">
        <f aca="false">HYPERLINK("http://www.openstreetmap.org/?mlat=31.8557&amp;mlon=47.1856&amp;zoom=12#map=12/31.8557/47.1856","Maplink1")</f>
        <v>Maplink1</v>
      </c>
      <c r="AT2283" s="20" t="str">
        <f aca="false">HYPERLINK("https://www.google.iq/maps/search/+31.8557,47.1856/@31.8557,47.1856,14z?hl=en","Maplink2")</f>
        <v>Maplink2</v>
      </c>
      <c r="AU2283" s="20" t="str">
        <f aca="false">HYPERLINK("http://www.bing.com/maps/?lvl=14&amp;sty=h&amp;cp=31.8557~47.1856&amp;sp=point.31.8557_47.1856","Maplink3")</f>
        <v>Maplink3</v>
      </c>
    </row>
    <row r="2284" customFormat="false" ht="15" hidden="false" customHeight="true" outlineLevel="0" collapsed="false">
      <c r="A2284" s="15" t="n">
        <v>16835</v>
      </c>
      <c r="B2284" s="16" t="s">
        <v>24</v>
      </c>
      <c r="C2284" s="16" t="s">
        <v>4446</v>
      </c>
      <c r="D2284" s="16" t="s">
        <v>4392</v>
      </c>
      <c r="E2284" s="17" t="s">
        <v>4393</v>
      </c>
      <c r="F2284" s="16" t="n">
        <v>31.84973898</v>
      </c>
      <c r="G2284" s="16" t="n">
        <v>47.13405602</v>
      </c>
      <c r="H2284" s="18" t="n">
        <v>27</v>
      </c>
      <c r="I2284" s="18" t="n">
        <v>162</v>
      </c>
      <c r="J2284" s="19" t="n">
        <v>1</v>
      </c>
      <c r="K2284" s="19" t="n">
        <v>3</v>
      </c>
      <c r="L2284" s="19"/>
      <c r="M2284" s="19"/>
      <c r="N2284" s="19"/>
      <c r="O2284" s="19"/>
      <c r="P2284" s="19"/>
      <c r="Q2284" s="19"/>
      <c r="R2284" s="19" t="n">
        <v>1</v>
      </c>
      <c r="S2284" s="19"/>
      <c r="T2284" s="19"/>
      <c r="U2284" s="19"/>
      <c r="V2284" s="19" t="n">
        <v>16</v>
      </c>
      <c r="W2284" s="19"/>
      <c r="X2284" s="19" t="n">
        <v>6</v>
      </c>
      <c r="Y2284" s="19"/>
      <c r="Z2284" s="19"/>
      <c r="AA2284" s="19"/>
      <c r="AB2284" s="19"/>
      <c r="AC2284" s="19" t="n">
        <v>19</v>
      </c>
      <c r="AD2284" s="19"/>
      <c r="AE2284" s="19"/>
      <c r="AF2284" s="19"/>
      <c r="AG2284" s="19"/>
      <c r="AH2284" s="19" t="n">
        <v>8</v>
      </c>
      <c r="AI2284" s="19"/>
      <c r="AJ2284" s="19"/>
      <c r="AK2284" s="19"/>
      <c r="AL2284" s="19" t="n">
        <v>4</v>
      </c>
      <c r="AM2284" s="19" t="n">
        <v>10</v>
      </c>
      <c r="AN2284" s="19" t="n">
        <v>12</v>
      </c>
      <c r="AO2284" s="19"/>
      <c r="AP2284" s="19" t="n">
        <v>1</v>
      </c>
      <c r="AQ2284" s="19"/>
      <c r="AR2284" s="19"/>
      <c r="AS2284" s="20" t="str">
        <f aca="false">HYPERLINK("http://www.openstreetmap.org/?mlat=31.8497&amp;mlon=47.1341&amp;zoom=12#map=12/31.8497/47.1341","Maplink1")</f>
        <v>Maplink1</v>
      </c>
      <c r="AT2284" s="20" t="str">
        <f aca="false">HYPERLINK("https://www.google.iq/maps/search/+31.8497,47.1341/@31.8497,47.1341,14z?hl=en","Maplink2")</f>
        <v>Maplink2</v>
      </c>
      <c r="AU2284" s="20" t="str">
        <f aca="false">HYPERLINK("http://www.bing.com/maps/?lvl=14&amp;sty=h&amp;cp=31.8497~47.1341&amp;sp=point.31.8497_47.1341","Maplink3")</f>
        <v>Maplink3</v>
      </c>
    </row>
    <row r="2285" customFormat="false" ht="15" hidden="false" customHeight="true" outlineLevel="0" collapsed="false">
      <c r="A2285" s="15" t="n">
        <v>24289</v>
      </c>
      <c r="B2285" s="16" t="s">
        <v>24</v>
      </c>
      <c r="C2285" s="16" t="s">
        <v>4446</v>
      </c>
      <c r="D2285" s="16" t="s">
        <v>4463</v>
      </c>
      <c r="E2285" s="17" t="s">
        <v>4464</v>
      </c>
      <c r="F2285" s="16" t="n">
        <v>31.84116513</v>
      </c>
      <c r="G2285" s="16" t="n">
        <v>47.13901475</v>
      </c>
      <c r="H2285" s="18" t="n">
        <v>4</v>
      </c>
      <c r="I2285" s="18" t="n">
        <v>24</v>
      </c>
      <c r="J2285" s="19"/>
      <c r="K2285" s="19"/>
      <c r="L2285" s="19"/>
      <c r="M2285" s="19"/>
      <c r="N2285" s="19"/>
      <c r="O2285" s="19" t="n">
        <v>1</v>
      </c>
      <c r="P2285" s="19"/>
      <c r="Q2285" s="19"/>
      <c r="R2285" s="19"/>
      <c r="S2285" s="19"/>
      <c r="T2285" s="19"/>
      <c r="U2285" s="19"/>
      <c r="V2285" s="19" t="n">
        <v>2</v>
      </c>
      <c r="W2285" s="19"/>
      <c r="X2285" s="19" t="n">
        <v>1</v>
      </c>
      <c r="Y2285" s="19"/>
      <c r="Z2285" s="19"/>
      <c r="AA2285" s="19"/>
      <c r="AB2285" s="19"/>
      <c r="AC2285" s="19" t="n">
        <v>3</v>
      </c>
      <c r="AD2285" s="19"/>
      <c r="AE2285" s="19"/>
      <c r="AF2285" s="19"/>
      <c r="AG2285" s="19"/>
      <c r="AH2285" s="19" t="n">
        <v>1</v>
      </c>
      <c r="AI2285" s="19"/>
      <c r="AJ2285" s="19"/>
      <c r="AK2285" s="19"/>
      <c r="AL2285" s="19"/>
      <c r="AM2285" s="19" t="n">
        <v>2</v>
      </c>
      <c r="AN2285" s="19"/>
      <c r="AO2285" s="19" t="n">
        <v>1</v>
      </c>
      <c r="AP2285" s="19"/>
      <c r="AQ2285" s="19"/>
      <c r="AR2285" s="19" t="n">
        <v>1</v>
      </c>
      <c r="AS2285" s="20" t="str">
        <f aca="false">HYPERLINK("http://www.openstreetmap.org/?mlat=31.8412&amp;mlon=47.139&amp;zoom=12#map=12/31.8412/47.139","Maplink1")</f>
        <v>Maplink1</v>
      </c>
      <c r="AT2285" s="20" t="str">
        <f aca="false">HYPERLINK("https://www.google.iq/maps/search/+31.8412,47.139/@31.8412,47.139,14z?hl=en","Maplink2")</f>
        <v>Maplink2</v>
      </c>
      <c r="AU2285" s="20" t="str">
        <f aca="false">HYPERLINK("http://www.bing.com/maps/?lvl=14&amp;sty=h&amp;cp=31.8412~47.139&amp;sp=point.31.8412_47.139","Maplink3")</f>
        <v>Maplink3</v>
      </c>
    </row>
    <row r="2286" customFormat="false" ht="15" hidden="false" customHeight="true" outlineLevel="0" collapsed="false">
      <c r="A2286" s="15" t="n">
        <v>24370</v>
      </c>
      <c r="B2286" s="16" t="s">
        <v>24</v>
      </c>
      <c r="C2286" s="16" t="s">
        <v>4446</v>
      </c>
      <c r="D2286" s="16" t="s">
        <v>4465</v>
      </c>
      <c r="E2286" s="17" t="s">
        <v>4466</v>
      </c>
      <c r="F2286" s="16" t="n">
        <v>31.832578</v>
      </c>
      <c r="G2286" s="16" t="n">
        <v>47.11605789</v>
      </c>
      <c r="H2286" s="18" t="n">
        <v>9</v>
      </c>
      <c r="I2286" s="18" t="n">
        <v>54</v>
      </c>
      <c r="J2286" s="19" t="n">
        <v>1</v>
      </c>
      <c r="K2286" s="19"/>
      <c r="L2286" s="19"/>
      <c r="M2286" s="19"/>
      <c r="N2286" s="19"/>
      <c r="O2286" s="19" t="n">
        <v>2</v>
      </c>
      <c r="P2286" s="19"/>
      <c r="Q2286" s="19"/>
      <c r="R2286" s="19"/>
      <c r="S2286" s="19"/>
      <c r="T2286" s="19"/>
      <c r="U2286" s="19"/>
      <c r="V2286" s="19" t="n">
        <v>6</v>
      </c>
      <c r="W2286" s="19"/>
      <c r="X2286" s="19"/>
      <c r="Y2286" s="19"/>
      <c r="Z2286" s="19"/>
      <c r="AA2286" s="19"/>
      <c r="AB2286" s="19"/>
      <c r="AC2286" s="19" t="n">
        <v>4</v>
      </c>
      <c r="AD2286" s="19"/>
      <c r="AE2286" s="19" t="n">
        <v>1</v>
      </c>
      <c r="AF2286" s="19"/>
      <c r="AG2286" s="19"/>
      <c r="AH2286" s="19" t="n">
        <v>4</v>
      </c>
      <c r="AI2286" s="19"/>
      <c r="AJ2286" s="19"/>
      <c r="AK2286" s="19"/>
      <c r="AL2286" s="19" t="n">
        <v>2</v>
      </c>
      <c r="AM2286" s="19" t="n">
        <v>1</v>
      </c>
      <c r="AN2286" s="19" t="n">
        <v>6</v>
      </c>
      <c r="AO2286" s="19"/>
      <c r="AP2286" s="19"/>
      <c r="AQ2286" s="19"/>
      <c r="AR2286" s="19"/>
      <c r="AS2286" s="20" t="str">
        <f aca="false">HYPERLINK("http://www.openstreetmap.org/?mlat=31.8326&amp;mlon=47.1161&amp;zoom=12#map=12/31.8326/47.1161","Maplink1")</f>
        <v>Maplink1</v>
      </c>
      <c r="AT2286" s="20" t="str">
        <f aca="false">HYPERLINK("https://www.google.iq/maps/search/+31.8326,47.1161/@31.8326,47.1161,14z?hl=en","Maplink2")</f>
        <v>Maplink2</v>
      </c>
      <c r="AU2286" s="20" t="str">
        <f aca="false">HYPERLINK("http://www.bing.com/maps/?lvl=14&amp;sty=h&amp;cp=31.8326~47.1161&amp;sp=point.31.8326_47.1161","Maplink3")</f>
        <v>Maplink3</v>
      </c>
    </row>
    <row r="2287" customFormat="false" ht="15" hidden="false" customHeight="true" outlineLevel="0" collapsed="false">
      <c r="A2287" s="15" t="n">
        <v>16889</v>
      </c>
      <c r="B2287" s="16" t="s">
        <v>24</v>
      </c>
      <c r="C2287" s="16" t="s">
        <v>4446</v>
      </c>
      <c r="D2287" s="16" t="s">
        <v>4467</v>
      </c>
      <c r="E2287" s="17" t="s">
        <v>4468</v>
      </c>
      <c r="F2287" s="16" t="n">
        <v>32.03584309</v>
      </c>
      <c r="G2287" s="16" t="n">
        <v>46.87631551</v>
      </c>
      <c r="H2287" s="18" t="n">
        <v>8</v>
      </c>
      <c r="I2287" s="18" t="n">
        <v>48</v>
      </c>
      <c r="J2287" s="19"/>
      <c r="K2287" s="19"/>
      <c r="L2287" s="19"/>
      <c r="M2287" s="19"/>
      <c r="N2287" s="19"/>
      <c r="O2287" s="19"/>
      <c r="P2287" s="19"/>
      <c r="Q2287" s="19"/>
      <c r="R2287" s="19" t="n">
        <v>1</v>
      </c>
      <c r="S2287" s="19"/>
      <c r="T2287" s="19"/>
      <c r="U2287" s="19"/>
      <c r="V2287" s="19" t="n">
        <v>7</v>
      </c>
      <c r="W2287" s="19"/>
      <c r="X2287" s="19"/>
      <c r="Y2287" s="19"/>
      <c r="Z2287" s="19"/>
      <c r="AA2287" s="19"/>
      <c r="AB2287" s="19"/>
      <c r="AC2287" s="19" t="n">
        <v>2</v>
      </c>
      <c r="AD2287" s="19"/>
      <c r="AE2287" s="19"/>
      <c r="AF2287" s="19"/>
      <c r="AG2287" s="19"/>
      <c r="AH2287" s="19" t="n">
        <v>6</v>
      </c>
      <c r="AI2287" s="19"/>
      <c r="AJ2287" s="19"/>
      <c r="AK2287" s="19"/>
      <c r="AL2287" s="19"/>
      <c r="AM2287" s="19" t="n">
        <v>1</v>
      </c>
      <c r="AN2287" s="19" t="n">
        <v>7</v>
      </c>
      <c r="AO2287" s="19"/>
      <c r="AP2287" s="19"/>
      <c r="AQ2287" s="19"/>
      <c r="AR2287" s="19"/>
      <c r="AS2287" s="20" t="str">
        <f aca="false">HYPERLINK("http://www.openstreetmap.org/?mlat=32.0358&amp;mlon=46.8763&amp;zoom=12#map=12/32.0358/46.8763","Maplink1")</f>
        <v>Maplink1</v>
      </c>
      <c r="AT2287" s="20" t="str">
        <f aca="false">HYPERLINK("https://www.google.iq/maps/search/+32.0358,46.8763/@32.0358,46.8763,14z?hl=en","Maplink2")</f>
        <v>Maplink2</v>
      </c>
      <c r="AU2287" s="20" t="str">
        <f aca="false">HYPERLINK("http://www.bing.com/maps/?lvl=14&amp;sty=h&amp;cp=32.0358~46.8763&amp;sp=point.32.0358_46.8763","Maplink3")</f>
        <v>Maplink3</v>
      </c>
    </row>
    <row r="2288" customFormat="false" ht="15" hidden="false" customHeight="true" outlineLevel="0" collapsed="false">
      <c r="A2288" s="15" t="n">
        <v>16827</v>
      </c>
      <c r="B2288" s="16" t="s">
        <v>24</v>
      </c>
      <c r="C2288" s="16" t="s">
        <v>4446</v>
      </c>
      <c r="D2288" s="16" t="s">
        <v>4469</v>
      </c>
      <c r="E2288" s="17" t="s">
        <v>4470</v>
      </c>
      <c r="F2288" s="16" t="n">
        <v>31.864568</v>
      </c>
      <c r="G2288" s="16" t="n">
        <v>47.182842</v>
      </c>
      <c r="H2288" s="18" t="n">
        <v>1</v>
      </c>
      <c r="I2288" s="18" t="n">
        <v>6</v>
      </c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 t="n">
        <v>1</v>
      </c>
      <c r="Y2288" s="19"/>
      <c r="Z2288" s="19"/>
      <c r="AA2288" s="19"/>
      <c r="AB2288" s="19"/>
      <c r="AC2288" s="19"/>
      <c r="AD2288" s="19"/>
      <c r="AE2288" s="19"/>
      <c r="AF2288" s="19"/>
      <c r="AG2288" s="19"/>
      <c r="AH2288" s="19" t="n">
        <v>1</v>
      </c>
      <c r="AI2288" s="19"/>
      <c r="AJ2288" s="19"/>
      <c r="AK2288" s="19"/>
      <c r="AL2288" s="19"/>
      <c r="AM2288" s="19" t="n">
        <v>1</v>
      </c>
      <c r="AN2288" s="19"/>
      <c r="AO2288" s="19"/>
      <c r="AP2288" s="19"/>
      <c r="AQ2288" s="19"/>
      <c r="AR2288" s="19"/>
      <c r="AS2288" s="20" t="str">
        <f aca="false">HYPERLINK("http://www.openstreetmap.org/?mlat=31.8646&amp;mlon=47.1828&amp;zoom=12#map=12/31.8646/47.1828","Maplink1")</f>
        <v>Maplink1</v>
      </c>
      <c r="AT2288" s="20" t="str">
        <f aca="false">HYPERLINK("https://www.google.iq/maps/search/+31.8646,47.1828/@31.8646,47.1828,14z?hl=en","Maplink2")</f>
        <v>Maplink2</v>
      </c>
      <c r="AU2288" s="20" t="str">
        <f aca="false">HYPERLINK("http://www.bing.com/maps/?lvl=14&amp;sty=h&amp;cp=31.8646~47.1828&amp;sp=point.31.8646_47.1828","Maplink3")</f>
        <v>Maplink3</v>
      </c>
    </row>
    <row r="2289" customFormat="false" ht="15" hidden="false" customHeight="true" outlineLevel="0" collapsed="false">
      <c r="A2289" s="15" t="n">
        <v>24369</v>
      </c>
      <c r="B2289" s="16" t="s">
        <v>24</v>
      </c>
      <c r="C2289" s="16" t="s">
        <v>4446</v>
      </c>
      <c r="D2289" s="16" t="s">
        <v>4471</v>
      </c>
      <c r="E2289" s="17" t="s">
        <v>4472</v>
      </c>
      <c r="F2289" s="16" t="n">
        <v>31.87395921</v>
      </c>
      <c r="G2289" s="16" t="n">
        <v>47.12069426</v>
      </c>
      <c r="H2289" s="18" t="n">
        <v>1</v>
      </c>
      <c r="I2289" s="18" t="n">
        <v>6</v>
      </c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 t="n">
        <v>1</v>
      </c>
      <c r="W2289" s="19"/>
      <c r="X2289" s="19"/>
      <c r="Y2289" s="19"/>
      <c r="Z2289" s="19"/>
      <c r="AA2289" s="19"/>
      <c r="AB2289" s="19"/>
      <c r="AC2289" s="19"/>
      <c r="AD2289" s="19"/>
      <c r="AE2289" s="19"/>
      <c r="AF2289" s="19"/>
      <c r="AG2289" s="19"/>
      <c r="AH2289" s="19" t="n">
        <v>1</v>
      </c>
      <c r="AI2289" s="19"/>
      <c r="AJ2289" s="19"/>
      <c r="AK2289" s="19"/>
      <c r="AL2289" s="19"/>
      <c r="AM2289" s="19"/>
      <c r="AN2289" s="19" t="n">
        <v>1</v>
      </c>
      <c r="AO2289" s="19"/>
      <c r="AP2289" s="19"/>
      <c r="AQ2289" s="19"/>
      <c r="AR2289" s="19"/>
      <c r="AS2289" s="20" t="str">
        <f aca="false">HYPERLINK("http://www.openstreetmap.org/?mlat=31.874&amp;mlon=47.1207&amp;zoom=12#map=12/31.874/47.1207","Maplink1")</f>
        <v>Maplink1</v>
      </c>
      <c r="AT2289" s="20" t="str">
        <f aca="false">HYPERLINK("https://www.google.iq/maps/search/+31.874,47.1207/@31.874,47.1207,14z?hl=en","Maplink2")</f>
        <v>Maplink2</v>
      </c>
      <c r="AU2289" s="20" t="str">
        <f aca="false">HYPERLINK("http://www.bing.com/maps/?lvl=14&amp;sty=h&amp;cp=31.874~47.1207&amp;sp=point.31.874_47.1207","Maplink3")</f>
        <v>Maplink3</v>
      </c>
    </row>
    <row r="2290" customFormat="false" ht="15" hidden="false" customHeight="true" outlineLevel="0" collapsed="false">
      <c r="A2290" s="15" t="n">
        <v>20842</v>
      </c>
      <c r="B2290" s="16" t="s">
        <v>24</v>
      </c>
      <c r="C2290" s="16" t="s">
        <v>4446</v>
      </c>
      <c r="D2290" s="16" t="s">
        <v>701</v>
      </c>
      <c r="E2290" s="17" t="s">
        <v>454</v>
      </c>
      <c r="F2290" s="16" t="n">
        <v>31.82573271</v>
      </c>
      <c r="G2290" s="16" t="n">
        <v>47.16515933</v>
      </c>
      <c r="H2290" s="18" t="n">
        <v>1</v>
      </c>
      <c r="I2290" s="18" t="n">
        <v>6</v>
      </c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 t="n">
        <v>1</v>
      </c>
      <c r="W2290" s="19"/>
      <c r="X2290" s="19"/>
      <c r="Y2290" s="19"/>
      <c r="Z2290" s="19"/>
      <c r="AA2290" s="19"/>
      <c r="AB2290" s="19"/>
      <c r="AC2290" s="19"/>
      <c r="AD2290" s="19"/>
      <c r="AE2290" s="19"/>
      <c r="AF2290" s="19"/>
      <c r="AG2290" s="19"/>
      <c r="AH2290" s="19" t="n">
        <v>1</v>
      </c>
      <c r="AI2290" s="19"/>
      <c r="AJ2290" s="19"/>
      <c r="AK2290" s="19"/>
      <c r="AL2290" s="19"/>
      <c r="AM2290" s="19"/>
      <c r="AN2290" s="19" t="n">
        <v>1</v>
      </c>
      <c r="AO2290" s="19"/>
      <c r="AP2290" s="19"/>
      <c r="AQ2290" s="19"/>
      <c r="AR2290" s="19"/>
      <c r="AS2290" s="20" t="str">
        <f aca="false">HYPERLINK("http://www.openstreetmap.org/?mlat=31.8257&amp;mlon=47.1652&amp;zoom=12#map=12/31.8257/47.1652","Maplink1")</f>
        <v>Maplink1</v>
      </c>
      <c r="AT2290" s="20" t="str">
        <f aca="false">HYPERLINK("https://www.google.iq/maps/search/+31.8257,47.1652/@31.8257,47.1652,14z?hl=en","Maplink2")</f>
        <v>Maplink2</v>
      </c>
      <c r="AU2290" s="20" t="str">
        <f aca="false">HYPERLINK("http://www.bing.com/maps/?lvl=14&amp;sty=h&amp;cp=31.8257~47.1652&amp;sp=point.31.8257_47.1652","Maplink3")</f>
        <v>Maplink3</v>
      </c>
    </row>
    <row r="2291" customFormat="false" ht="15" hidden="false" customHeight="true" outlineLevel="0" collapsed="false">
      <c r="A2291" s="15" t="n">
        <v>16505</v>
      </c>
      <c r="B2291" s="16" t="s">
        <v>24</v>
      </c>
      <c r="C2291" s="16" t="s">
        <v>4446</v>
      </c>
      <c r="D2291" s="16" t="s">
        <v>4473</v>
      </c>
      <c r="E2291" s="17" t="s">
        <v>4474</v>
      </c>
      <c r="F2291" s="16" t="n">
        <v>31.84328232</v>
      </c>
      <c r="G2291" s="16" t="n">
        <v>47.15304815</v>
      </c>
      <c r="H2291" s="18" t="n">
        <v>1</v>
      </c>
      <c r="I2291" s="18" t="n">
        <v>6</v>
      </c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 t="n">
        <v>1</v>
      </c>
      <c r="Y2291" s="19"/>
      <c r="Z2291" s="19"/>
      <c r="AA2291" s="19"/>
      <c r="AB2291" s="19"/>
      <c r="AC2291" s="19"/>
      <c r="AD2291" s="19"/>
      <c r="AE2291" s="19"/>
      <c r="AF2291" s="19"/>
      <c r="AG2291" s="19"/>
      <c r="AH2291" s="19" t="n">
        <v>1</v>
      </c>
      <c r="AI2291" s="19"/>
      <c r="AJ2291" s="19"/>
      <c r="AK2291" s="19"/>
      <c r="AL2291" s="19"/>
      <c r="AM2291" s="19"/>
      <c r="AN2291" s="19"/>
      <c r="AO2291" s="19" t="n">
        <v>1</v>
      </c>
      <c r="AP2291" s="19"/>
      <c r="AQ2291" s="19"/>
      <c r="AR2291" s="19"/>
      <c r="AS2291" s="20" t="str">
        <f aca="false">HYPERLINK("http://www.openstreetmap.org/?mlat=31.8433&amp;mlon=47.153&amp;zoom=12#map=12/31.8433/47.153","Maplink1")</f>
        <v>Maplink1</v>
      </c>
      <c r="AT2291" s="20" t="str">
        <f aca="false">HYPERLINK("https://www.google.iq/maps/search/+31.8433,47.153/@31.8433,47.153,14z?hl=en","Maplink2")</f>
        <v>Maplink2</v>
      </c>
      <c r="AU2291" s="20" t="str">
        <f aca="false">HYPERLINK("http://www.bing.com/maps/?lvl=14&amp;sty=h&amp;cp=31.8433~47.153&amp;sp=point.31.8433_47.153","Maplink3")</f>
        <v>Maplink3</v>
      </c>
    </row>
    <row r="2292" customFormat="false" ht="15" hidden="false" customHeight="true" outlineLevel="0" collapsed="false">
      <c r="A2292" s="15" t="n">
        <v>24371</v>
      </c>
      <c r="B2292" s="16" t="s">
        <v>24</v>
      </c>
      <c r="C2292" s="16" t="s">
        <v>4446</v>
      </c>
      <c r="D2292" s="16" t="s">
        <v>4475</v>
      </c>
      <c r="E2292" s="17" t="s">
        <v>4476</v>
      </c>
      <c r="F2292" s="16" t="n">
        <v>31.8652</v>
      </c>
      <c r="G2292" s="16" t="n">
        <v>47.1764</v>
      </c>
      <c r="H2292" s="18" t="n">
        <v>1</v>
      </c>
      <c r="I2292" s="18" t="n">
        <v>6</v>
      </c>
      <c r="J2292" s="19"/>
      <c r="K2292" s="19"/>
      <c r="L2292" s="19"/>
      <c r="M2292" s="19"/>
      <c r="N2292" s="19"/>
      <c r="O2292" s="19"/>
      <c r="P2292" s="19"/>
      <c r="Q2292" s="19"/>
      <c r="R2292" s="19" t="n">
        <v>1</v>
      </c>
      <c r="S2292" s="19"/>
      <c r="T2292" s="19"/>
      <c r="U2292" s="19"/>
      <c r="V2292" s="19"/>
      <c r="W2292" s="19"/>
      <c r="X2292" s="19"/>
      <c r="Y2292" s="19"/>
      <c r="Z2292" s="19"/>
      <c r="AA2292" s="19"/>
      <c r="AB2292" s="19"/>
      <c r="AC2292" s="19" t="n">
        <v>1</v>
      </c>
      <c r="AD2292" s="19"/>
      <c r="AE2292" s="19"/>
      <c r="AF2292" s="19"/>
      <c r="AG2292" s="19"/>
      <c r="AH2292" s="19"/>
      <c r="AI2292" s="19"/>
      <c r="AJ2292" s="19"/>
      <c r="AK2292" s="19"/>
      <c r="AL2292" s="19"/>
      <c r="AM2292" s="19"/>
      <c r="AN2292" s="19" t="n">
        <v>1</v>
      </c>
      <c r="AO2292" s="19"/>
      <c r="AP2292" s="19"/>
      <c r="AQ2292" s="19"/>
      <c r="AR2292" s="19"/>
      <c r="AS2292" s="20" t="str">
        <f aca="false">HYPERLINK("http://www.openstreetmap.org/?mlat=31.8652&amp;mlon=47.1764&amp;zoom=12#map=12/31.8652/47.1764","Maplink1")</f>
        <v>Maplink1</v>
      </c>
      <c r="AT2292" s="20" t="str">
        <f aca="false">HYPERLINK("https://www.google.iq/maps/search/+31.8652,47.1764/@31.8652,47.1764,14z?hl=en","Maplink2")</f>
        <v>Maplink2</v>
      </c>
      <c r="AU2292" s="20" t="str">
        <f aca="false">HYPERLINK("http://www.bing.com/maps/?lvl=14&amp;sty=h&amp;cp=31.8652~47.1764&amp;sp=point.31.8652_47.1764","Maplink3")</f>
        <v>Maplink3</v>
      </c>
    </row>
    <row r="2293" customFormat="false" ht="15" hidden="false" customHeight="true" outlineLevel="0" collapsed="false">
      <c r="A2293" s="15" t="n">
        <v>16568</v>
      </c>
      <c r="B2293" s="16" t="s">
        <v>24</v>
      </c>
      <c r="C2293" s="16" t="s">
        <v>4446</v>
      </c>
      <c r="D2293" s="16" t="s">
        <v>4477</v>
      </c>
      <c r="E2293" s="17" t="s">
        <v>4478</v>
      </c>
      <c r="F2293" s="16" t="n">
        <v>31.85980326</v>
      </c>
      <c r="G2293" s="16" t="n">
        <v>47.158343</v>
      </c>
      <c r="H2293" s="18" t="n">
        <v>4</v>
      </c>
      <c r="I2293" s="18" t="n">
        <v>24</v>
      </c>
      <c r="J2293" s="19" t="n">
        <v>3</v>
      </c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 t="n">
        <v>1</v>
      </c>
      <c r="W2293" s="19"/>
      <c r="X2293" s="19"/>
      <c r="Y2293" s="19"/>
      <c r="Z2293" s="19"/>
      <c r="AA2293" s="19"/>
      <c r="AB2293" s="19"/>
      <c r="AC2293" s="19" t="n">
        <v>2</v>
      </c>
      <c r="AD2293" s="19"/>
      <c r="AE2293" s="19"/>
      <c r="AF2293" s="19"/>
      <c r="AG2293" s="19"/>
      <c r="AH2293" s="19" t="n">
        <v>1</v>
      </c>
      <c r="AI2293" s="19"/>
      <c r="AJ2293" s="19" t="n">
        <v>1</v>
      </c>
      <c r="AK2293" s="19"/>
      <c r="AL2293" s="19" t="n">
        <v>1</v>
      </c>
      <c r="AM2293" s="19"/>
      <c r="AN2293" s="19"/>
      <c r="AO2293" s="19" t="n">
        <v>1</v>
      </c>
      <c r="AP2293" s="19" t="n">
        <v>2</v>
      </c>
      <c r="AQ2293" s="19"/>
      <c r="AR2293" s="19"/>
      <c r="AS2293" s="20" t="str">
        <f aca="false">HYPERLINK("http://www.openstreetmap.org/?mlat=31.8598&amp;mlon=47.1583&amp;zoom=12#map=12/31.8598/47.1583","Maplink1")</f>
        <v>Maplink1</v>
      </c>
      <c r="AT2293" s="20" t="str">
        <f aca="false">HYPERLINK("https://www.google.iq/maps/search/+31.8598,47.1583/@31.8598,47.1583,14z?hl=en","Maplink2")</f>
        <v>Maplink2</v>
      </c>
      <c r="AU2293" s="20" t="str">
        <f aca="false">HYPERLINK("http://www.bing.com/maps/?lvl=14&amp;sty=h&amp;cp=31.8598~47.1583&amp;sp=point.31.8598_47.1583","Maplink3")</f>
        <v>Maplink3</v>
      </c>
    </row>
    <row r="2294" customFormat="false" ht="15" hidden="false" customHeight="true" outlineLevel="0" collapsed="false">
      <c r="A2294" s="15" t="n">
        <v>20844</v>
      </c>
      <c r="B2294" s="16" t="s">
        <v>24</v>
      </c>
      <c r="C2294" s="16" t="s">
        <v>4446</v>
      </c>
      <c r="D2294" s="16" t="s">
        <v>4479</v>
      </c>
      <c r="E2294" s="17" t="s">
        <v>2668</v>
      </c>
      <c r="F2294" s="16" t="n">
        <v>31.85088885</v>
      </c>
      <c r="G2294" s="16" t="n">
        <v>47.12063382</v>
      </c>
      <c r="H2294" s="18" t="n">
        <v>14</v>
      </c>
      <c r="I2294" s="18" t="n">
        <v>84</v>
      </c>
      <c r="J2294" s="19" t="n">
        <v>1</v>
      </c>
      <c r="K2294" s="19"/>
      <c r="L2294" s="19" t="n">
        <v>2</v>
      </c>
      <c r="M2294" s="19"/>
      <c r="N2294" s="19"/>
      <c r="O2294" s="19"/>
      <c r="P2294" s="19"/>
      <c r="Q2294" s="19"/>
      <c r="R2294" s="19" t="n">
        <v>6</v>
      </c>
      <c r="S2294" s="19"/>
      <c r="T2294" s="19"/>
      <c r="U2294" s="19"/>
      <c r="V2294" s="19" t="n">
        <v>5</v>
      </c>
      <c r="W2294" s="19"/>
      <c r="X2294" s="19"/>
      <c r="Y2294" s="19"/>
      <c r="Z2294" s="19"/>
      <c r="AA2294" s="19"/>
      <c r="AB2294" s="19"/>
      <c r="AC2294" s="19" t="n">
        <v>6</v>
      </c>
      <c r="AD2294" s="19"/>
      <c r="AE2294" s="19" t="n">
        <v>2</v>
      </c>
      <c r="AF2294" s="19"/>
      <c r="AG2294" s="19"/>
      <c r="AH2294" s="19" t="n">
        <v>6</v>
      </c>
      <c r="AI2294" s="19"/>
      <c r="AJ2294" s="19"/>
      <c r="AK2294" s="19"/>
      <c r="AL2294" s="19" t="n">
        <v>1</v>
      </c>
      <c r="AM2294" s="19" t="n">
        <v>8</v>
      </c>
      <c r="AN2294" s="19" t="n">
        <v>3</v>
      </c>
      <c r="AO2294" s="19" t="n">
        <v>2</v>
      </c>
      <c r="AP2294" s="19"/>
      <c r="AQ2294" s="19"/>
      <c r="AR2294" s="19"/>
      <c r="AS2294" s="20" t="str">
        <f aca="false">HYPERLINK("http://www.openstreetmap.org/?mlat=31.8509&amp;mlon=47.1206&amp;zoom=12#map=12/31.8509/47.1206","Maplink1")</f>
        <v>Maplink1</v>
      </c>
      <c r="AT2294" s="20" t="str">
        <f aca="false">HYPERLINK("https://www.google.iq/maps/search/+31.8509,47.1206/@31.8509,47.1206,14z?hl=en","Maplink2")</f>
        <v>Maplink2</v>
      </c>
      <c r="AU2294" s="20" t="str">
        <f aca="false">HYPERLINK("http://www.bing.com/maps/?lvl=14&amp;sty=h&amp;cp=31.8509~47.1206&amp;sp=point.31.8509_47.1206","Maplink3")</f>
        <v>Maplink3</v>
      </c>
    </row>
    <row r="2295" customFormat="false" ht="15" hidden="false" customHeight="true" outlineLevel="0" collapsed="false">
      <c r="A2295" s="15" t="n">
        <v>24781</v>
      </c>
      <c r="B2295" s="16" t="s">
        <v>24</v>
      </c>
      <c r="C2295" s="16" t="s">
        <v>4446</v>
      </c>
      <c r="D2295" s="16" t="s">
        <v>4480</v>
      </c>
      <c r="E2295" s="17" t="s">
        <v>4481</v>
      </c>
      <c r="F2295" s="16" t="n">
        <v>31.83499006</v>
      </c>
      <c r="G2295" s="16" t="n">
        <v>47.12164728</v>
      </c>
      <c r="H2295" s="18" t="n">
        <v>3</v>
      </c>
      <c r="I2295" s="18" t="n">
        <v>18</v>
      </c>
      <c r="J2295" s="19"/>
      <c r="K2295" s="19"/>
      <c r="L2295" s="19"/>
      <c r="M2295" s="19"/>
      <c r="N2295" s="19"/>
      <c r="O2295" s="19"/>
      <c r="P2295" s="19"/>
      <c r="Q2295" s="19"/>
      <c r="R2295" s="19" t="n">
        <v>1</v>
      </c>
      <c r="S2295" s="19"/>
      <c r="T2295" s="19"/>
      <c r="U2295" s="19"/>
      <c r="V2295" s="19" t="n">
        <v>2</v>
      </c>
      <c r="W2295" s="19"/>
      <c r="X2295" s="19"/>
      <c r="Y2295" s="19"/>
      <c r="Z2295" s="19"/>
      <c r="AA2295" s="19"/>
      <c r="AB2295" s="19"/>
      <c r="AC2295" s="19" t="n">
        <v>2</v>
      </c>
      <c r="AD2295" s="19"/>
      <c r="AE2295" s="19"/>
      <c r="AF2295" s="19"/>
      <c r="AG2295" s="19"/>
      <c r="AH2295" s="19" t="n">
        <v>1</v>
      </c>
      <c r="AI2295" s="19"/>
      <c r="AJ2295" s="19"/>
      <c r="AK2295" s="19"/>
      <c r="AL2295" s="19" t="n">
        <v>1</v>
      </c>
      <c r="AM2295" s="19" t="n">
        <v>1</v>
      </c>
      <c r="AN2295" s="19" t="n">
        <v>1</v>
      </c>
      <c r="AO2295" s="19"/>
      <c r="AP2295" s="19"/>
      <c r="AQ2295" s="19"/>
      <c r="AR2295" s="19"/>
      <c r="AS2295" s="20" t="str">
        <f aca="false">HYPERLINK("http://www.openstreetmap.org/?mlat=31.835&amp;mlon=47.1216&amp;zoom=12#map=12/31.835/47.1216","Maplink1")</f>
        <v>Maplink1</v>
      </c>
      <c r="AT2295" s="20" t="str">
        <f aca="false">HYPERLINK("https://www.google.iq/maps/search/+31.835,47.1216/@31.835,47.1216,14z?hl=en","Maplink2")</f>
        <v>Maplink2</v>
      </c>
      <c r="AU2295" s="20" t="str">
        <f aca="false">HYPERLINK("http://www.bing.com/maps/?lvl=14&amp;sty=h&amp;cp=31.835~47.1216&amp;sp=point.31.835_47.1216","Maplink3")</f>
        <v>Maplink3</v>
      </c>
    </row>
    <row r="2296" customFormat="false" ht="15" hidden="false" customHeight="true" outlineLevel="0" collapsed="false">
      <c r="A2296" s="15" t="n">
        <v>16499</v>
      </c>
      <c r="B2296" s="16" t="s">
        <v>24</v>
      </c>
      <c r="C2296" s="16" t="s">
        <v>4446</v>
      </c>
      <c r="D2296" s="16" t="s">
        <v>4482</v>
      </c>
      <c r="E2296" s="17" t="s">
        <v>4483</v>
      </c>
      <c r="F2296" s="16" t="n">
        <v>31.8331416</v>
      </c>
      <c r="G2296" s="16" t="n">
        <v>47.13875709</v>
      </c>
      <c r="H2296" s="18" t="n">
        <v>4</v>
      </c>
      <c r="I2296" s="18" t="n">
        <v>24</v>
      </c>
      <c r="J2296" s="19" t="n">
        <v>1</v>
      </c>
      <c r="K2296" s="19"/>
      <c r="L2296" s="19"/>
      <c r="M2296" s="19"/>
      <c r="N2296" s="19"/>
      <c r="O2296" s="19" t="n">
        <v>1</v>
      </c>
      <c r="P2296" s="19"/>
      <c r="Q2296" s="19"/>
      <c r="R2296" s="19"/>
      <c r="S2296" s="19"/>
      <c r="T2296" s="19"/>
      <c r="U2296" s="19"/>
      <c r="V2296" s="19" t="n">
        <v>2</v>
      </c>
      <c r="W2296" s="19"/>
      <c r="X2296" s="19"/>
      <c r="Y2296" s="19"/>
      <c r="Z2296" s="19"/>
      <c r="AA2296" s="19"/>
      <c r="AB2296" s="19"/>
      <c r="AC2296" s="19" t="n">
        <v>1</v>
      </c>
      <c r="AD2296" s="19"/>
      <c r="AE2296" s="19"/>
      <c r="AF2296" s="19"/>
      <c r="AG2296" s="19"/>
      <c r="AH2296" s="19" t="n">
        <v>3</v>
      </c>
      <c r="AI2296" s="19"/>
      <c r="AJ2296" s="19"/>
      <c r="AK2296" s="19"/>
      <c r="AL2296" s="19"/>
      <c r="AM2296" s="19" t="n">
        <v>2</v>
      </c>
      <c r="AN2296" s="19" t="n">
        <v>1</v>
      </c>
      <c r="AO2296" s="19" t="n">
        <v>1</v>
      </c>
      <c r="AP2296" s="19"/>
      <c r="AQ2296" s="19"/>
      <c r="AR2296" s="19"/>
      <c r="AS2296" s="20" t="str">
        <f aca="false">HYPERLINK("http://www.openstreetmap.org/?mlat=31.8331&amp;mlon=47.1388&amp;zoom=12#map=12/31.8331/47.1388","Maplink1")</f>
        <v>Maplink1</v>
      </c>
      <c r="AT2296" s="20" t="str">
        <f aca="false">HYPERLINK("https://www.google.iq/maps/search/+31.8331,47.1388/@31.8331,47.1388,14z?hl=en","Maplink2")</f>
        <v>Maplink2</v>
      </c>
      <c r="AU2296" s="20" t="str">
        <f aca="false">HYPERLINK("http://www.bing.com/maps/?lvl=14&amp;sty=h&amp;cp=31.8331~47.1388&amp;sp=point.31.8331_47.1388","Maplink3")</f>
        <v>Maplink3</v>
      </c>
    </row>
    <row r="2297" customFormat="false" ht="15" hidden="false" customHeight="true" outlineLevel="0" collapsed="false">
      <c r="A2297" s="15" t="n">
        <v>24292</v>
      </c>
      <c r="B2297" s="16" t="s">
        <v>24</v>
      </c>
      <c r="C2297" s="16" t="s">
        <v>4446</v>
      </c>
      <c r="D2297" s="16" t="s">
        <v>4413</v>
      </c>
      <c r="E2297" s="17" t="s">
        <v>4414</v>
      </c>
      <c r="F2297" s="16" t="n">
        <v>31.86403407</v>
      </c>
      <c r="G2297" s="16" t="n">
        <v>47.14128532</v>
      </c>
      <c r="H2297" s="18" t="n">
        <v>4</v>
      </c>
      <c r="I2297" s="18" t="n">
        <v>24</v>
      </c>
      <c r="J2297" s="19" t="n">
        <v>1</v>
      </c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 t="n">
        <v>1</v>
      </c>
      <c r="W2297" s="19"/>
      <c r="X2297" s="19" t="n">
        <v>2</v>
      </c>
      <c r="Y2297" s="19"/>
      <c r="Z2297" s="19"/>
      <c r="AA2297" s="19"/>
      <c r="AB2297" s="19"/>
      <c r="AC2297" s="19" t="n">
        <v>1</v>
      </c>
      <c r="AD2297" s="19"/>
      <c r="AE2297" s="19" t="n">
        <v>2</v>
      </c>
      <c r="AF2297" s="19"/>
      <c r="AG2297" s="19"/>
      <c r="AH2297" s="19" t="n">
        <v>1</v>
      </c>
      <c r="AI2297" s="19"/>
      <c r="AJ2297" s="19"/>
      <c r="AK2297" s="19"/>
      <c r="AL2297" s="19"/>
      <c r="AM2297" s="19" t="n">
        <v>2</v>
      </c>
      <c r="AN2297" s="19"/>
      <c r="AO2297" s="19" t="n">
        <v>1</v>
      </c>
      <c r="AP2297" s="19"/>
      <c r="AQ2297" s="19"/>
      <c r="AR2297" s="19" t="n">
        <v>1</v>
      </c>
      <c r="AS2297" s="20" t="str">
        <f aca="false">HYPERLINK("http://www.openstreetmap.org/?mlat=31.864&amp;mlon=47.1413&amp;zoom=12#map=12/31.864/47.1413","Maplink1")</f>
        <v>Maplink1</v>
      </c>
      <c r="AT2297" s="20" t="str">
        <f aca="false">HYPERLINK("https://www.google.iq/maps/search/+31.864,47.1413/@31.864,47.1413,14z?hl=en","Maplink2")</f>
        <v>Maplink2</v>
      </c>
      <c r="AU2297" s="20" t="str">
        <f aca="false">HYPERLINK("http://www.bing.com/maps/?lvl=14&amp;sty=h&amp;cp=31.864~47.1413&amp;sp=point.31.864_47.1413","Maplink3")</f>
        <v>Maplink3</v>
      </c>
    </row>
    <row r="2298" customFormat="false" ht="15" hidden="false" customHeight="true" outlineLevel="0" collapsed="false">
      <c r="A2298" s="15" t="n">
        <v>24633</v>
      </c>
      <c r="B2298" s="16" t="s">
        <v>24</v>
      </c>
      <c r="C2298" s="16" t="s">
        <v>4446</v>
      </c>
      <c r="D2298" s="16" t="s">
        <v>4484</v>
      </c>
      <c r="E2298" s="17" t="s">
        <v>4485</v>
      </c>
      <c r="F2298" s="16" t="n">
        <v>32.02975045</v>
      </c>
      <c r="G2298" s="16" t="n">
        <v>46.87512989</v>
      </c>
      <c r="H2298" s="18" t="n">
        <v>11</v>
      </c>
      <c r="I2298" s="18" t="n">
        <v>66</v>
      </c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 t="n">
        <v>11</v>
      </c>
      <c r="W2298" s="19"/>
      <c r="X2298" s="19"/>
      <c r="Y2298" s="19"/>
      <c r="Z2298" s="19"/>
      <c r="AA2298" s="19"/>
      <c r="AB2298" s="19"/>
      <c r="AC2298" s="19"/>
      <c r="AD2298" s="19"/>
      <c r="AE2298" s="19"/>
      <c r="AF2298" s="19"/>
      <c r="AG2298" s="19"/>
      <c r="AH2298" s="19"/>
      <c r="AI2298" s="19" t="n">
        <v>11</v>
      </c>
      <c r="AJ2298" s="19"/>
      <c r="AK2298" s="19"/>
      <c r="AL2298" s="19"/>
      <c r="AM2298" s="19"/>
      <c r="AN2298" s="19" t="n">
        <v>11</v>
      </c>
      <c r="AO2298" s="19"/>
      <c r="AP2298" s="19"/>
      <c r="AQ2298" s="19"/>
      <c r="AR2298" s="19"/>
      <c r="AS2298" s="20" t="str">
        <f aca="false">HYPERLINK("http://www.openstreetmap.org/?mlat=32.0298&amp;mlon=46.8751&amp;zoom=12#map=12/32.0298/46.8751","Maplink1")</f>
        <v>Maplink1</v>
      </c>
      <c r="AT2298" s="20" t="str">
        <f aca="false">HYPERLINK("https://www.google.iq/maps/search/+32.0298,46.8751/@32.0298,46.8751,14z?hl=en","Maplink2")</f>
        <v>Maplink2</v>
      </c>
      <c r="AU2298" s="20" t="str">
        <f aca="false">HYPERLINK("http://www.bing.com/maps/?lvl=14&amp;sty=h&amp;cp=32.0298~46.8751&amp;sp=point.32.0298_46.8751","Maplink3")</f>
        <v>Maplink3</v>
      </c>
    </row>
    <row r="2299" customFormat="false" ht="15" hidden="false" customHeight="true" outlineLevel="0" collapsed="false">
      <c r="A2299" s="15" t="n">
        <v>15991</v>
      </c>
      <c r="B2299" s="16" t="s">
        <v>24</v>
      </c>
      <c r="C2299" s="16" t="s">
        <v>4446</v>
      </c>
      <c r="D2299" s="16" t="s">
        <v>441</v>
      </c>
      <c r="E2299" s="17" t="s">
        <v>442</v>
      </c>
      <c r="F2299" s="16" t="n">
        <v>31.82112694</v>
      </c>
      <c r="G2299" s="16" t="n">
        <v>47.11964786</v>
      </c>
      <c r="H2299" s="18" t="n">
        <v>19</v>
      </c>
      <c r="I2299" s="18" t="n">
        <v>114</v>
      </c>
      <c r="J2299" s="19"/>
      <c r="K2299" s="19"/>
      <c r="L2299" s="19"/>
      <c r="M2299" s="19"/>
      <c r="N2299" s="19"/>
      <c r="O2299" s="19"/>
      <c r="P2299" s="19"/>
      <c r="Q2299" s="19"/>
      <c r="R2299" s="19" t="n">
        <v>3</v>
      </c>
      <c r="S2299" s="19"/>
      <c r="T2299" s="19"/>
      <c r="U2299" s="19"/>
      <c r="V2299" s="19" t="n">
        <v>15</v>
      </c>
      <c r="W2299" s="19"/>
      <c r="X2299" s="19" t="n">
        <v>1</v>
      </c>
      <c r="Y2299" s="19"/>
      <c r="Z2299" s="19"/>
      <c r="AA2299" s="19"/>
      <c r="AB2299" s="19"/>
      <c r="AC2299" s="19" t="n">
        <v>8</v>
      </c>
      <c r="AD2299" s="19"/>
      <c r="AE2299" s="19" t="n">
        <v>1</v>
      </c>
      <c r="AF2299" s="19"/>
      <c r="AG2299" s="19"/>
      <c r="AH2299" s="19" t="n">
        <v>10</v>
      </c>
      <c r="AI2299" s="19"/>
      <c r="AJ2299" s="19"/>
      <c r="AK2299" s="19"/>
      <c r="AL2299" s="19"/>
      <c r="AM2299" s="19" t="n">
        <v>4</v>
      </c>
      <c r="AN2299" s="19" t="n">
        <v>8</v>
      </c>
      <c r="AO2299" s="19" t="n">
        <v>7</v>
      </c>
      <c r="AP2299" s="19"/>
      <c r="AQ2299" s="19"/>
      <c r="AR2299" s="19"/>
      <c r="AS2299" s="20" t="str">
        <f aca="false">HYPERLINK("http://www.openstreetmap.org/?mlat=31.8211&amp;mlon=47.1196&amp;zoom=12#map=12/31.8211/47.1196","Maplink1")</f>
        <v>Maplink1</v>
      </c>
      <c r="AT2299" s="20" t="str">
        <f aca="false">HYPERLINK("https://www.google.iq/maps/search/+31.8211,47.1196/@31.8211,47.1196,14z?hl=en","Maplink2")</f>
        <v>Maplink2</v>
      </c>
      <c r="AU2299" s="20" t="str">
        <f aca="false">HYPERLINK("http://www.bing.com/maps/?lvl=14&amp;sty=h&amp;cp=31.8211~47.1196&amp;sp=point.31.8211_47.1196","Maplink3")</f>
        <v>Maplink3</v>
      </c>
    </row>
    <row r="2300" customFormat="false" ht="15" hidden="false" customHeight="true" outlineLevel="0" collapsed="false">
      <c r="A2300" s="15" t="n">
        <v>22897</v>
      </c>
      <c r="B2300" s="16" t="s">
        <v>24</v>
      </c>
      <c r="C2300" s="16" t="s">
        <v>4446</v>
      </c>
      <c r="D2300" s="16" t="s">
        <v>4486</v>
      </c>
      <c r="E2300" s="17" t="s">
        <v>4487</v>
      </c>
      <c r="F2300" s="16" t="n">
        <v>32.03173445</v>
      </c>
      <c r="G2300" s="16" t="n">
        <v>46.87476033</v>
      </c>
      <c r="H2300" s="18" t="n">
        <v>2</v>
      </c>
      <c r="I2300" s="18" t="n">
        <v>12</v>
      </c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 t="n">
        <v>2</v>
      </c>
      <c r="W2300" s="19"/>
      <c r="X2300" s="19"/>
      <c r="Y2300" s="19"/>
      <c r="Z2300" s="19"/>
      <c r="AA2300" s="19"/>
      <c r="AB2300" s="19"/>
      <c r="AC2300" s="19"/>
      <c r="AD2300" s="19"/>
      <c r="AE2300" s="19"/>
      <c r="AF2300" s="19"/>
      <c r="AG2300" s="19"/>
      <c r="AH2300" s="19" t="n">
        <v>2</v>
      </c>
      <c r="AI2300" s="19"/>
      <c r="AJ2300" s="19"/>
      <c r="AK2300" s="19"/>
      <c r="AL2300" s="19"/>
      <c r="AM2300" s="19"/>
      <c r="AN2300" s="19" t="n">
        <v>2</v>
      </c>
      <c r="AO2300" s="19"/>
      <c r="AP2300" s="19"/>
      <c r="AQ2300" s="19"/>
      <c r="AR2300" s="19"/>
      <c r="AS2300" s="20" t="str">
        <f aca="false">HYPERLINK("http://www.openstreetmap.org/?mlat=32.0317&amp;mlon=46.8748&amp;zoom=12#map=12/32.0317/46.8748","Maplink1")</f>
        <v>Maplink1</v>
      </c>
      <c r="AT2300" s="20" t="str">
        <f aca="false">HYPERLINK("https://www.google.iq/maps/search/+32.0317,46.8748/@32.0317,46.8748,14z?hl=en","Maplink2")</f>
        <v>Maplink2</v>
      </c>
      <c r="AU2300" s="20" t="str">
        <f aca="false">HYPERLINK("http://www.bing.com/maps/?lvl=14&amp;sty=h&amp;cp=32.0317~46.8748&amp;sp=point.32.0317_46.8748","Maplink3")</f>
        <v>Maplink3</v>
      </c>
    </row>
    <row r="2301" customFormat="false" ht="15" hidden="false" customHeight="true" outlineLevel="0" collapsed="false">
      <c r="A2301" s="15" t="n">
        <v>16859</v>
      </c>
      <c r="B2301" s="16" t="s">
        <v>24</v>
      </c>
      <c r="C2301" s="16" t="s">
        <v>4446</v>
      </c>
      <c r="D2301" s="16" t="s">
        <v>4488</v>
      </c>
      <c r="E2301" s="17" t="s">
        <v>4489</v>
      </c>
      <c r="F2301" s="16" t="n">
        <v>31.84946766</v>
      </c>
      <c r="G2301" s="16" t="n">
        <v>47.16612157</v>
      </c>
      <c r="H2301" s="18" t="n">
        <v>4</v>
      </c>
      <c r="I2301" s="18" t="n">
        <v>24</v>
      </c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 t="n">
        <v>4</v>
      </c>
      <c r="W2301" s="19"/>
      <c r="X2301" s="19"/>
      <c r="Y2301" s="19"/>
      <c r="Z2301" s="19"/>
      <c r="AA2301" s="19"/>
      <c r="AB2301" s="19"/>
      <c r="AC2301" s="19"/>
      <c r="AD2301" s="19"/>
      <c r="AE2301" s="19"/>
      <c r="AF2301" s="19"/>
      <c r="AG2301" s="19" t="n">
        <v>3</v>
      </c>
      <c r="AH2301" s="19" t="n">
        <v>1</v>
      </c>
      <c r="AI2301" s="19"/>
      <c r="AJ2301" s="19"/>
      <c r="AK2301" s="19"/>
      <c r="AL2301" s="19"/>
      <c r="AM2301" s="19" t="n">
        <v>1</v>
      </c>
      <c r="AN2301" s="19" t="n">
        <v>3</v>
      </c>
      <c r="AO2301" s="19"/>
      <c r="AP2301" s="19"/>
      <c r="AQ2301" s="19"/>
      <c r="AR2301" s="19"/>
      <c r="AS2301" s="20" t="str">
        <f aca="false">HYPERLINK("http://www.openstreetmap.org/?mlat=31.8495&amp;mlon=47.1661&amp;zoom=12#map=12/31.8495/47.1661","Maplink1")</f>
        <v>Maplink1</v>
      </c>
      <c r="AT2301" s="20" t="str">
        <f aca="false">HYPERLINK("https://www.google.iq/maps/search/+31.8495,47.1661/@31.8495,47.1661,14z?hl=en","Maplink2")</f>
        <v>Maplink2</v>
      </c>
      <c r="AU2301" s="20" t="str">
        <f aca="false">HYPERLINK("http://www.bing.com/maps/?lvl=14&amp;sty=h&amp;cp=31.8495~47.1661&amp;sp=point.31.8495_47.1661","Maplink3")</f>
        <v>Maplink3</v>
      </c>
    </row>
    <row r="2302" customFormat="false" ht="15" hidden="false" customHeight="true" outlineLevel="0" collapsed="false">
      <c r="A2302" s="15" t="n">
        <v>16825</v>
      </c>
      <c r="B2302" s="16" t="s">
        <v>24</v>
      </c>
      <c r="C2302" s="16" t="s">
        <v>4446</v>
      </c>
      <c r="D2302" s="16" t="s">
        <v>4490</v>
      </c>
      <c r="E2302" s="17" t="s">
        <v>547</v>
      </c>
      <c r="F2302" s="16" t="n">
        <v>31.82967707</v>
      </c>
      <c r="G2302" s="16" t="n">
        <v>47.11867849</v>
      </c>
      <c r="H2302" s="18" t="n">
        <v>8</v>
      </c>
      <c r="I2302" s="18" t="n">
        <v>48</v>
      </c>
      <c r="J2302" s="19" t="n">
        <v>1</v>
      </c>
      <c r="K2302" s="19"/>
      <c r="L2302" s="19" t="n">
        <v>4</v>
      </c>
      <c r="M2302" s="19"/>
      <c r="N2302" s="19"/>
      <c r="O2302" s="19"/>
      <c r="P2302" s="19"/>
      <c r="Q2302" s="19"/>
      <c r="R2302" s="19" t="n">
        <v>1</v>
      </c>
      <c r="S2302" s="19"/>
      <c r="T2302" s="19"/>
      <c r="U2302" s="19"/>
      <c r="V2302" s="19" t="n">
        <v>1</v>
      </c>
      <c r="W2302" s="19"/>
      <c r="X2302" s="19" t="n">
        <v>1</v>
      </c>
      <c r="Y2302" s="19"/>
      <c r="Z2302" s="19"/>
      <c r="AA2302" s="19"/>
      <c r="AB2302" s="19"/>
      <c r="AC2302" s="19" t="n">
        <v>3</v>
      </c>
      <c r="AD2302" s="19"/>
      <c r="AE2302" s="19" t="n">
        <v>1</v>
      </c>
      <c r="AF2302" s="19"/>
      <c r="AG2302" s="19"/>
      <c r="AH2302" s="19" t="n">
        <v>4</v>
      </c>
      <c r="AI2302" s="19"/>
      <c r="AJ2302" s="19"/>
      <c r="AK2302" s="19"/>
      <c r="AL2302" s="19"/>
      <c r="AM2302" s="19" t="n">
        <v>4</v>
      </c>
      <c r="AN2302" s="19" t="n">
        <v>1</v>
      </c>
      <c r="AO2302" s="19" t="n">
        <v>3</v>
      </c>
      <c r="AP2302" s="19"/>
      <c r="AQ2302" s="19"/>
      <c r="AR2302" s="19"/>
      <c r="AS2302" s="20" t="str">
        <f aca="false">HYPERLINK("http://www.openstreetmap.org/?mlat=31.8297&amp;mlon=47.1187&amp;zoom=12#map=12/31.8297/47.1187","Maplink1")</f>
        <v>Maplink1</v>
      </c>
      <c r="AT2302" s="20" t="str">
        <f aca="false">HYPERLINK("https://www.google.iq/maps/search/+31.8297,47.1187/@31.8297,47.1187,14z?hl=en","Maplink2")</f>
        <v>Maplink2</v>
      </c>
      <c r="AU2302" s="20" t="str">
        <f aca="false">HYPERLINK("http://www.bing.com/maps/?lvl=14&amp;sty=h&amp;cp=31.8297~47.1187&amp;sp=point.31.8297_47.1187","Maplink3")</f>
        <v>Maplink3</v>
      </c>
    </row>
    <row r="2303" customFormat="false" ht="15" hidden="false" customHeight="true" outlineLevel="0" collapsed="false">
      <c r="A2303" s="15" t="n">
        <v>16830</v>
      </c>
      <c r="B2303" s="16" t="s">
        <v>24</v>
      </c>
      <c r="C2303" s="16" t="s">
        <v>4446</v>
      </c>
      <c r="D2303" s="16" t="s">
        <v>4491</v>
      </c>
      <c r="E2303" s="17" t="s">
        <v>71</v>
      </c>
      <c r="F2303" s="16" t="n">
        <v>31.816888</v>
      </c>
      <c r="G2303" s="16" t="n">
        <v>47.133583</v>
      </c>
      <c r="H2303" s="18" t="n">
        <v>1</v>
      </c>
      <c r="I2303" s="18" t="n">
        <v>6</v>
      </c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 t="n">
        <v>1</v>
      </c>
      <c r="W2303" s="19"/>
      <c r="X2303" s="19"/>
      <c r="Y2303" s="19"/>
      <c r="Z2303" s="19"/>
      <c r="AA2303" s="19"/>
      <c r="AB2303" s="19"/>
      <c r="AC2303" s="19"/>
      <c r="AD2303" s="19"/>
      <c r="AE2303" s="19"/>
      <c r="AF2303" s="19"/>
      <c r="AG2303" s="19"/>
      <c r="AH2303" s="19" t="n">
        <v>1</v>
      </c>
      <c r="AI2303" s="19"/>
      <c r="AJ2303" s="19"/>
      <c r="AK2303" s="19"/>
      <c r="AL2303" s="19"/>
      <c r="AM2303" s="19"/>
      <c r="AN2303" s="19" t="n">
        <v>1</v>
      </c>
      <c r="AO2303" s="19"/>
      <c r="AP2303" s="19"/>
      <c r="AQ2303" s="19"/>
      <c r="AR2303" s="19"/>
      <c r="AS2303" s="20" t="str">
        <f aca="false">HYPERLINK("http://www.openstreetmap.org/?mlat=31.8169&amp;mlon=47.1336&amp;zoom=12#map=12/31.8169/47.1336","Maplink1")</f>
        <v>Maplink1</v>
      </c>
      <c r="AT2303" s="20" t="str">
        <f aca="false">HYPERLINK("https://www.google.iq/maps/search/+31.8169,47.1336/@31.8169,47.1336,14z?hl=en","Maplink2")</f>
        <v>Maplink2</v>
      </c>
      <c r="AU2303" s="20" t="str">
        <f aca="false">HYPERLINK("http://www.bing.com/maps/?lvl=14&amp;sty=h&amp;cp=31.8169~47.1336&amp;sp=point.31.8169_47.1336","Maplink3")</f>
        <v>Maplink3</v>
      </c>
    </row>
    <row r="2304" customFormat="false" ht="15" hidden="false" customHeight="true" outlineLevel="0" collapsed="false">
      <c r="A2304" s="15" t="n">
        <v>16846</v>
      </c>
      <c r="B2304" s="16" t="s">
        <v>24</v>
      </c>
      <c r="C2304" s="16" t="s">
        <v>4446</v>
      </c>
      <c r="D2304" s="16" t="s">
        <v>4492</v>
      </c>
      <c r="E2304" s="17" t="s">
        <v>4493</v>
      </c>
      <c r="F2304" s="16" t="n">
        <v>31.83027905</v>
      </c>
      <c r="G2304" s="16" t="n">
        <v>47.16533401</v>
      </c>
      <c r="H2304" s="18" t="n">
        <v>2</v>
      </c>
      <c r="I2304" s="18" t="n">
        <v>12</v>
      </c>
      <c r="J2304" s="19" t="n">
        <v>1</v>
      </c>
      <c r="K2304" s="19" t="n">
        <v>1</v>
      </c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  <c r="AA2304" s="19"/>
      <c r="AB2304" s="19"/>
      <c r="AC2304" s="19"/>
      <c r="AD2304" s="19"/>
      <c r="AE2304" s="19"/>
      <c r="AF2304" s="19"/>
      <c r="AG2304" s="19"/>
      <c r="AH2304" s="19" t="n">
        <v>2</v>
      </c>
      <c r="AI2304" s="19"/>
      <c r="AJ2304" s="19"/>
      <c r="AK2304" s="19"/>
      <c r="AL2304" s="19"/>
      <c r="AM2304" s="19"/>
      <c r="AN2304" s="19" t="n">
        <v>1</v>
      </c>
      <c r="AO2304" s="19"/>
      <c r="AP2304" s="19" t="n">
        <v>1</v>
      </c>
      <c r="AQ2304" s="19"/>
      <c r="AR2304" s="19"/>
      <c r="AS2304" s="20" t="str">
        <f aca="false">HYPERLINK("http://www.openstreetmap.org/?mlat=31.8303&amp;mlon=47.1653&amp;zoom=12#map=12/31.8303/47.1653","Maplink1")</f>
        <v>Maplink1</v>
      </c>
      <c r="AT2304" s="20" t="str">
        <f aca="false">HYPERLINK("https://www.google.iq/maps/search/+31.8303,47.1653/@31.8303,47.1653,14z?hl=en","Maplink2")</f>
        <v>Maplink2</v>
      </c>
      <c r="AU2304" s="20" t="str">
        <f aca="false">HYPERLINK("http://www.bing.com/maps/?lvl=14&amp;sty=h&amp;cp=31.8303~47.1653&amp;sp=point.31.8303_47.1653","Maplink3")</f>
        <v>Maplink3</v>
      </c>
    </row>
    <row r="2305" customFormat="false" ht="15" hidden="false" customHeight="true" outlineLevel="0" collapsed="false">
      <c r="A2305" s="15" t="n">
        <v>16822</v>
      </c>
      <c r="B2305" s="16" t="s">
        <v>24</v>
      </c>
      <c r="C2305" s="16" t="s">
        <v>4446</v>
      </c>
      <c r="D2305" s="16" t="s">
        <v>4494</v>
      </c>
      <c r="E2305" s="17" t="s">
        <v>4495</v>
      </c>
      <c r="F2305" s="16" t="n">
        <v>31.85706418</v>
      </c>
      <c r="G2305" s="16" t="n">
        <v>47.11041151</v>
      </c>
      <c r="H2305" s="18" t="n">
        <v>5</v>
      </c>
      <c r="I2305" s="18" t="n">
        <v>30</v>
      </c>
      <c r="J2305" s="19"/>
      <c r="K2305" s="19"/>
      <c r="L2305" s="19" t="n">
        <v>5</v>
      </c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  <c r="AA2305" s="19"/>
      <c r="AB2305" s="19"/>
      <c r="AC2305" s="19"/>
      <c r="AD2305" s="19"/>
      <c r="AE2305" s="19" t="n">
        <v>5</v>
      </c>
      <c r="AF2305" s="19"/>
      <c r="AG2305" s="19"/>
      <c r="AH2305" s="19"/>
      <c r="AI2305" s="19"/>
      <c r="AJ2305" s="19"/>
      <c r="AK2305" s="19"/>
      <c r="AL2305" s="19"/>
      <c r="AM2305" s="19" t="n">
        <v>5</v>
      </c>
      <c r="AN2305" s="19"/>
      <c r="AO2305" s="19"/>
      <c r="AP2305" s="19"/>
      <c r="AQ2305" s="19"/>
      <c r="AR2305" s="19"/>
      <c r="AS2305" s="20" t="str">
        <f aca="false">HYPERLINK("http://www.openstreetmap.org/?mlat=31.8571&amp;mlon=47.1104&amp;zoom=12#map=12/31.8571/47.1104","Maplink1")</f>
        <v>Maplink1</v>
      </c>
      <c r="AT2305" s="20" t="str">
        <f aca="false">HYPERLINK("https://www.google.iq/maps/search/+31.8571,47.1104/@31.8571,47.1104,14z?hl=en","Maplink2")</f>
        <v>Maplink2</v>
      </c>
      <c r="AU2305" s="20" t="str">
        <f aca="false">HYPERLINK("http://www.bing.com/maps/?lvl=14&amp;sty=h&amp;cp=31.8571~47.1104&amp;sp=point.31.8571_47.1104","Maplink3")</f>
        <v>Maplink3</v>
      </c>
    </row>
    <row r="2306" customFormat="false" ht="15" hidden="false" customHeight="true" outlineLevel="0" collapsed="false">
      <c r="A2306" s="15" t="n">
        <v>23872</v>
      </c>
      <c r="B2306" s="16" t="s">
        <v>24</v>
      </c>
      <c r="C2306" s="16" t="s">
        <v>4446</v>
      </c>
      <c r="D2306" s="16" t="s">
        <v>4496</v>
      </c>
      <c r="E2306" s="17" t="s">
        <v>4497</v>
      </c>
      <c r="F2306" s="16" t="n">
        <v>31.84047719</v>
      </c>
      <c r="G2306" s="16" t="n">
        <v>47.09539843</v>
      </c>
      <c r="H2306" s="18" t="n">
        <v>8</v>
      </c>
      <c r="I2306" s="18" t="n">
        <v>48</v>
      </c>
      <c r="J2306" s="19"/>
      <c r="K2306" s="19" t="n">
        <v>1</v>
      </c>
      <c r="L2306" s="19"/>
      <c r="M2306" s="19"/>
      <c r="N2306" s="19"/>
      <c r="O2306" s="19" t="n">
        <v>1</v>
      </c>
      <c r="P2306" s="19"/>
      <c r="Q2306" s="19"/>
      <c r="R2306" s="19" t="n">
        <v>1</v>
      </c>
      <c r="S2306" s="19"/>
      <c r="T2306" s="19"/>
      <c r="U2306" s="19"/>
      <c r="V2306" s="19" t="n">
        <v>5</v>
      </c>
      <c r="W2306" s="19"/>
      <c r="X2306" s="19"/>
      <c r="Y2306" s="19"/>
      <c r="Z2306" s="19"/>
      <c r="AA2306" s="19"/>
      <c r="AB2306" s="19"/>
      <c r="AC2306" s="19" t="n">
        <v>4</v>
      </c>
      <c r="AD2306" s="19"/>
      <c r="AE2306" s="19"/>
      <c r="AF2306" s="19"/>
      <c r="AG2306" s="19"/>
      <c r="AH2306" s="19" t="n">
        <v>4</v>
      </c>
      <c r="AI2306" s="19"/>
      <c r="AJ2306" s="19"/>
      <c r="AK2306" s="19"/>
      <c r="AL2306" s="19"/>
      <c r="AM2306" s="19" t="n">
        <v>1</v>
      </c>
      <c r="AN2306" s="19" t="n">
        <v>3</v>
      </c>
      <c r="AO2306" s="19" t="n">
        <v>4</v>
      </c>
      <c r="AP2306" s="19"/>
      <c r="AQ2306" s="19"/>
      <c r="AR2306" s="19"/>
      <c r="AS2306" s="20" t="str">
        <f aca="false">HYPERLINK("http://www.openstreetmap.org/?mlat=31.8405&amp;mlon=47.0954&amp;zoom=12#map=12/31.8405/47.0954","Maplink1")</f>
        <v>Maplink1</v>
      </c>
      <c r="AT2306" s="20" t="str">
        <f aca="false">HYPERLINK("https://www.google.iq/maps/search/+31.8405,47.0954/@31.8405,47.0954,14z?hl=en","Maplink2")</f>
        <v>Maplink2</v>
      </c>
      <c r="AU2306" s="20" t="str">
        <f aca="false">HYPERLINK("http://www.bing.com/maps/?lvl=14&amp;sty=h&amp;cp=31.8405~47.0954&amp;sp=point.31.8405_47.0954","Maplink3")</f>
        <v>Maplink3</v>
      </c>
    </row>
    <row r="2307" customFormat="false" ht="15" hidden="false" customHeight="true" outlineLevel="0" collapsed="false">
      <c r="A2307" s="15" t="n">
        <v>16816</v>
      </c>
      <c r="B2307" s="16" t="s">
        <v>24</v>
      </c>
      <c r="C2307" s="16" t="s">
        <v>4446</v>
      </c>
      <c r="D2307" s="16" t="s">
        <v>4498</v>
      </c>
      <c r="E2307" s="17" t="s">
        <v>674</v>
      </c>
      <c r="F2307" s="16" t="n">
        <v>31.86623419</v>
      </c>
      <c r="G2307" s="16" t="n">
        <v>47.15370345</v>
      </c>
      <c r="H2307" s="18" t="n">
        <v>13</v>
      </c>
      <c r="I2307" s="18" t="n">
        <v>78</v>
      </c>
      <c r="J2307" s="19" t="n">
        <v>4</v>
      </c>
      <c r="K2307" s="19"/>
      <c r="L2307" s="19" t="n">
        <v>1</v>
      </c>
      <c r="M2307" s="19"/>
      <c r="N2307" s="19"/>
      <c r="O2307" s="19" t="n">
        <v>1</v>
      </c>
      <c r="P2307" s="19"/>
      <c r="Q2307" s="19"/>
      <c r="R2307" s="19" t="n">
        <v>5</v>
      </c>
      <c r="S2307" s="19"/>
      <c r="T2307" s="19"/>
      <c r="U2307" s="19"/>
      <c r="V2307" s="19" t="n">
        <v>1</v>
      </c>
      <c r="W2307" s="19"/>
      <c r="X2307" s="19" t="n">
        <v>1</v>
      </c>
      <c r="Y2307" s="19"/>
      <c r="Z2307" s="19"/>
      <c r="AA2307" s="19"/>
      <c r="AB2307" s="19"/>
      <c r="AC2307" s="19" t="n">
        <v>7</v>
      </c>
      <c r="AD2307" s="19"/>
      <c r="AE2307" s="19" t="n">
        <v>2</v>
      </c>
      <c r="AF2307" s="19"/>
      <c r="AG2307" s="19"/>
      <c r="AH2307" s="19" t="n">
        <v>4</v>
      </c>
      <c r="AI2307" s="19"/>
      <c r="AJ2307" s="19"/>
      <c r="AK2307" s="19"/>
      <c r="AL2307" s="19" t="n">
        <v>4</v>
      </c>
      <c r="AM2307" s="19" t="n">
        <v>2</v>
      </c>
      <c r="AN2307" s="19" t="n">
        <v>4</v>
      </c>
      <c r="AO2307" s="19" t="n">
        <v>3</v>
      </c>
      <c r="AP2307" s="19"/>
      <c r="AQ2307" s="19"/>
      <c r="AR2307" s="19"/>
      <c r="AS2307" s="20" t="str">
        <f aca="false">HYPERLINK("http://www.openstreetmap.org/?mlat=31.8662&amp;mlon=47.1537&amp;zoom=12#map=12/31.8662/47.1537","Maplink1")</f>
        <v>Maplink1</v>
      </c>
      <c r="AT2307" s="20" t="str">
        <f aca="false">HYPERLINK("https://www.google.iq/maps/search/+31.8662,47.1537/@31.8662,47.1537,14z?hl=en","Maplink2")</f>
        <v>Maplink2</v>
      </c>
      <c r="AU2307" s="20" t="str">
        <f aca="false">HYPERLINK("http://www.bing.com/maps/?lvl=14&amp;sty=h&amp;cp=31.8662~47.1537&amp;sp=point.31.8662_47.1537","Maplink3")</f>
        <v>Maplink3</v>
      </c>
    </row>
    <row r="2308" customFormat="false" ht="15" hidden="false" customHeight="true" outlineLevel="0" collapsed="false">
      <c r="A2308" s="15" t="n">
        <v>24547</v>
      </c>
      <c r="B2308" s="16" t="s">
        <v>24</v>
      </c>
      <c r="C2308" s="16" t="s">
        <v>4446</v>
      </c>
      <c r="D2308" s="16" t="s">
        <v>4499</v>
      </c>
      <c r="E2308" s="17" t="s">
        <v>4500</v>
      </c>
      <c r="F2308" s="16" t="n">
        <v>31.82859551</v>
      </c>
      <c r="G2308" s="16" t="n">
        <v>47.13981489</v>
      </c>
      <c r="H2308" s="18" t="n">
        <v>6</v>
      </c>
      <c r="I2308" s="18" t="n">
        <v>36</v>
      </c>
      <c r="J2308" s="19"/>
      <c r="K2308" s="19"/>
      <c r="L2308" s="19"/>
      <c r="M2308" s="19"/>
      <c r="N2308" s="19"/>
      <c r="O2308" s="19"/>
      <c r="P2308" s="19"/>
      <c r="Q2308" s="19"/>
      <c r="R2308" s="19" t="n">
        <v>1</v>
      </c>
      <c r="S2308" s="19"/>
      <c r="T2308" s="19"/>
      <c r="U2308" s="19"/>
      <c r="V2308" s="19" t="n">
        <v>4</v>
      </c>
      <c r="W2308" s="19"/>
      <c r="X2308" s="19" t="n">
        <v>1</v>
      </c>
      <c r="Y2308" s="19"/>
      <c r="Z2308" s="19"/>
      <c r="AA2308" s="19"/>
      <c r="AB2308" s="19"/>
      <c r="AC2308" s="19" t="n">
        <v>2</v>
      </c>
      <c r="AD2308" s="19"/>
      <c r="AE2308" s="19"/>
      <c r="AF2308" s="19"/>
      <c r="AG2308" s="19"/>
      <c r="AH2308" s="19" t="n">
        <v>4</v>
      </c>
      <c r="AI2308" s="19"/>
      <c r="AJ2308" s="19"/>
      <c r="AK2308" s="19"/>
      <c r="AL2308" s="19"/>
      <c r="AM2308" s="19" t="n">
        <v>2</v>
      </c>
      <c r="AN2308" s="19" t="n">
        <v>3</v>
      </c>
      <c r="AO2308" s="19" t="n">
        <v>1</v>
      </c>
      <c r="AP2308" s="19"/>
      <c r="AQ2308" s="19"/>
      <c r="AR2308" s="19"/>
      <c r="AS2308" s="20" t="str">
        <f aca="false">HYPERLINK("http://www.openstreetmap.org/?mlat=31.8286&amp;mlon=47.1398&amp;zoom=12#map=12/31.8286/47.1398","Maplink1")</f>
        <v>Maplink1</v>
      </c>
      <c r="AT2308" s="20" t="str">
        <f aca="false">HYPERLINK("https://www.google.iq/maps/search/+31.8286,47.1398/@31.8286,47.1398,14z?hl=en","Maplink2")</f>
        <v>Maplink2</v>
      </c>
      <c r="AU2308" s="20" t="str">
        <f aca="false">HYPERLINK("http://www.bing.com/maps/?lvl=14&amp;sty=h&amp;cp=31.8286~47.1398&amp;sp=point.31.8286_47.1398","Maplink3")</f>
        <v>Maplink3</v>
      </c>
    </row>
    <row r="2309" customFormat="false" ht="15" hidden="false" customHeight="true" outlineLevel="0" collapsed="false">
      <c r="A2309" s="15" t="n">
        <v>16808</v>
      </c>
      <c r="B2309" s="16" t="s">
        <v>24</v>
      </c>
      <c r="C2309" s="16" t="s">
        <v>4446</v>
      </c>
      <c r="D2309" s="16" t="s">
        <v>4501</v>
      </c>
      <c r="E2309" s="17" t="s">
        <v>1610</v>
      </c>
      <c r="F2309" s="16" t="n">
        <v>31.82828785</v>
      </c>
      <c r="G2309" s="16" t="n">
        <v>47.17317738</v>
      </c>
      <c r="H2309" s="18" t="n">
        <v>9</v>
      </c>
      <c r="I2309" s="18" t="n">
        <v>54</v>
      </c>
      <c r="J2309" s="19"/>
      <c r="K2309" s="19"/>
      <c r="L2309" s="19"/>
      <c r="M2309" s="19"/>
      <c r="N2309" s="19"/>
      <c r="O2309" s="19" t="n">
        <v>1</v>
      </c>
      <c r="P2309" s="19"/>
      <c r="Q2309" s="19"/>
      <c r="R2309" s="19"/>
      <c r="S2309" s="19"/>
      <c r="T2309" s="19"/>
      <c r="U2309" s="19"/>
      <c r="V2309" s="19" t="n">
        <v>5</v>
      </c>
      <c r="W2309" s="19"/>
      <c r="X2309" s="19" t="n">
        <v>3</v>
      </c>
      <c r="Y2309" s="19"/>
      <c r="Z2309" s="19"/>
      <c r="AA2309" s="19"/>
      <c r="AB2309" s="19"/>
      <c r="AC2309" s="19" t="n">
        <v>4</v>
      </c>
      <c r="AD2309" s="19"/>
      <c r="AE2309" s="19" t="n">
        <v>3</v>
      </c>
      <c r="AF2309" s="19"/>
      <c r="AG2309" s="19"/>
      <c r="AH2309" s="19" t="n">
        <v>2</v>
      </c>
      <c r="AI2309" s="19"/>
      <c r="AJ2309" s="19"/>
      <c r="AK2309" s="19"/>
      <c r="AL2309" s="19"/>
      <c r="AM2309" s="19" t="n">
        <v>5</v>
      </c>
      <c r="AN2309" s="19" t="n">
        <v>2</v>
      </c>
      <c r="AO2309" s="19"/>
      <c r="AP2309" s="19" t="n">
        <v>2</v>
      </c>
      <c r="AQ2309" s="19"/>
      <c r="AR2309" s="19"/>
      <c r="AS2309" s="20" t="str">
        <f aca="false">HYPERLINK("http://www.openstreetmap.org/?mlat=31.8283&amp;mlon=47.1732&amp;zoom=12#map=12/31.8283/47.1732","Maplink1")</f>
        <v>Maplink1</v>
      </c>
      <c r="AT2309" s="20" t="str">
        <f aca="false">HYPERLINK("https://www.google.iq/maps/search/+31.8283,47.1732/@31.8283,47.1732,14z?hl=en","Maplink2")</f>
        <v>Maplink2</v>
      </c>
      <c r="AU2309" s="20" t="str">
        <f aca="false">HYPERLINK("http://www.bing.com/maps/?lvl=14&amp;sty=h&amp;cp=31.8283~47.1732&amp;sp=point.31.8283_47.1732","Maplink3")</f>
        <v>Maplink3</v>
      </c>
    </row>
    <row r="2310" customFormat="false" ht="15" hidden="false" customHeight="true" outlineLevel="0" collapsed="false">
      <c r="A2310" s="15" t="n">
        <v>16552</v>
      </c>
      <c r="B2310" s="16" t="s">
        <v>24</v>
      </c>
      <c r="C2310" s="16" t="s">
        <v>4446</v>
      </c>
      <c r="D2310" s="16" t="s">
        <v>4502</v>
      </c>
      <c r="E2310" s="17" t="s">
        <v>4503</v>
      </c>
      <c r="F2310" s="16" t="n">
        <v>31.83954445</v>
      </c>
      <c r="G2310" s="16" t="n">
        <v>47.16218518</v>
      </c>
      <c r="H2310" s="18" t="n">
        <v>6</v>
      </c>
      <c r="I2310" s="18" t="n">
        <v>36</v>
      </c>
      <c r="J2310" s="19"/>
      <c r="K2310" s="19"/>
      <c r="L2310" s="19" t="n">
        <v>1</v>
      </c>
      <c r="M2310" s="19"/>
      <c r="N2310" s="19"/>
      <c r="O2310" s="19"/>
      <c r="P2310" s="19"/>
      <c r="Q2310" s="19"/>
      <c r="R2310" s="19" t="n">
        <v>3</v>
      </c>
      <c r="S2310" s="19"/>
      <c r="T2310" s="19"/>
      <c r="U2310" s="19"/>
      <c r="V2310" s="19" t="n">
        <v>2</v>
      </c>
      <c r="W2310" s="19"/>
      <c r="X2310" s="19"/>
      <c r="Y2310" s="19"/>
      <c r="Z2310" s="19"/>
      <c r="AA2310" s="19"/>
      <c r="AB2310" s="19"/>
      <c r="AC2310" s="19" t="n">
        <v>2</v>
      </c>
      <c r="AD2310" s="19"/>
      <c r="AE2310" s="19"/>
      <c r="AF2310" s="19"/>
      <c r="AG2310" s="19"/>
      <c r="AH2310" s="19" t="n">
        <v>4</v>
      </c>
      <c r="AI2310" s="19"/>
      <c r="AJ2310" s="19"/>
      <c r="AK2310" s="19"/>
      <c r="AL2310" s="19"/>
      <c r="AM2310" s="19" t="n">
        <v>4</v>
      </c>
      <c r="AN2310" s="19" t="n">
        <v>1</v>
      </c>
      <c r="AO2310" s="19" t="n">
        <v>1</v>
      </c>
      <c r="AP2310" s="19"/>
      <c r="AQ2310" s="19"/>
      <c r="AR2310" s="19"/>
      <c r="AS2310" s="20" t="str">
        <f aca="false">HYPERLINK("http://www.openstreetmap.org/?mlat=31.8395&amp;mlon=47.1622&amp;zoom=12#map=12/31.8395/47.1622","Maplink1")</f>
        <v>Maplink1</v>
      </c>
      <c r="AT2310" s="20" t="str">
        <f aca="false">HYPERLINK("https://www.google.iq/maps/search/+31.8395,47.1622/@31.8395,47.1622,14z?hl=en","Maplink2")</f>
        <v>Maplink2</v>
      </c>
      <c r="AU2310" s="20" t="str">
        <f aca="false">HYPERLINK("http://www.bing.com/maps/?lvl=14&amp;sty=h&amp;cp=31.8395~47.1622&amp;sp=point.31.8395_47.1622","Maplink3")</f>
        <v>Maplink3</v>
      </c>
    </row>
    <row r="2311" customFormat="false" ht="15" hidden="false" customHeight="true" outlineLevel="0" collapsed="false">
      <c r="A2311" s="15" t="n">
        <v>16532</v>
      </c>
      <c r="B2311" s="16" t="s">
        <v>24</v>
      </c>
      <c r="C2311" s="16" t="s">
        <v>4446</v>
      </c>
      <c r="D2311" s="16" t="s">
        <v>4504</v>
      </c>
      <c r="E2311" s="17" t="s">
        <v>4505</v>
      </c>
      <c r="F2311" s="16" t="n">
        <v>31.83677947</v>
      </c>
      <c r="G2311" s="16" t="n">
        <v>47.16031736</v>
      </c>
      <c r="H2311" s="18" t="n">
        <v>2</v>
      </c>
      <c r="I2311" s="18" t="n">
        <v>12</v>
      </c>
      <c r="J2311" s="19"/>
      <c r="K2311" s="19"/>
      <c r="L2311" s="19"/>
      <c r="M2311" s="19"/>
      <c r="N2311" s="19"/>
      <c r="O2311" s="19"/>
      <c r="P2311" s="19"/>
      <c r="Q2311" s="19"/>
      <c r="R2311" s="19" t="n">
        <v>1</v>
      </c>
      <c r="S2311" s="19"/>
      <c r="T2311" s="19"/>
      <c r="U2311" s="19"/>
      <c r="V2311" s="19" t="n">
        <v>1</v>
      </c>
      <c r="W2311" s="19"/>
      <c r="X2311" s="19"/>
      <c r="Y2311" s="19"/>
      <c r="Z2311" s="19"/>
      <c r="AA2311" s="19"/>
      <c r="AB2311" s="19"/>
      <c r="AC2311" s="19" t="n">
        <v>1</v>
      </c>
      <c r="AD2311" s="19"/>
      <c r="AE2311" s="19"/>
      <c r="AF2311" s="19"/>
      <c r="AG2311" s="19"/>
      <c r="AH2311" s="19" t="n">
        <v>1</v>
      </c>
      <c r="AI2311" s="19"/>
      <c r="AJ2311" s="19"/>
      <c r="AK2311" s="19"/>
      <c r="AL2311" s="19"/>
      <c r="AM2311" s="19" t="n">
        <v>1</v>
      </c>
      <c r="AN2311" s="19" t="n">
        <v>1</v>
      </c>
      <c r="AO2311" s="19"/>
      <c r="AP2311" s="19"/>
      <c r="AQ2311" s="19"/>
      <c r="AR2311" s="19"/>
      <c r="AS2311" s="20" t="str">
        <f aca="false">HYPERLINK("http://www.openstreetmap.org/?mlat=31.8368&amp;mlon=47.1603&amp;zoom=12#map=12/31.8368/47.1603","Maplink1")</f>
        <v>Maplink1</v>
      </c>
      <c r="AT2311" s="20" t="str">
        <f aca="false">HYPERLINK("https://www.google.iq/maps/search/+31.8368,47.1603/@31.8368,47.1603,14z?hl=en","Maplink2")</f>
        <v>Maplink2</v>
      </c>
      <c r="AU2311" s="20" t="str">
        <f aca="false">HYPERLINK("http://www.bing.com/maps/?lvl=14&amp;sty=h&amp;cp=31.8368~47.1603&amp;sp=point.31.8368_47.1603","Maplink3")</f>
        <v>Maplink3</v>
      </c>
    </row>
    <row r="2312" customFormat="false" ht="15" hidden="false" customHeight="true" outlineLevel="0" collapsed="false">
      <c r="A2312" s="15" t="n">
        <v>16852</v>
      </c>
      <c r="B2312" s="16" t="s">
        <v>24</v>
      </c>
      <c r="C2312" s="16" t="s">
        <v>4446</v>
      </c>
      <c r="D2312" s="16" t="s">
        <v>4506</v>
      </c>
      <c r="E2312" s="17" t="s">
        <v>4507</v>
      </c>
      <c r="F2312" s="16" t="n">
        <v>31.8475332</v>
      </c>
      <c r="G2312" s="16" t="n">
        <v>47.14024345</v>
      </c>
      <c r="H2312" s="18" t="n">
        <v>8</v>
      </c>
      <c r="I2312" s="18" t="n">
        <v>48</v>
      </c>
      <c r="J2312" s="19"/>
      <c r="K2312" s="19"/>
      <c r="L2312" s="19"/>
      <c r="M2312" s="19"/>
      <c r="N2312" s="19"/>
      <c r="O2312" s="19"/>
      <c r="P2312" s="19"/>
      <c r="Q2312" s="19"/>
      <c r="R2312" s="19" t="n">
        <v>1</v>
      </c>
      <c r="S2312" s="19"/>
      <c r="T2312" s="19"/>
      <c r="U2312" s="19"/>
      <c r="V2312" s="19" t="n">
        <v>7</v>
      </c>
      <c r="W2312" s="19"/>
      <c r="X2312" s="19"/>
      <c r="Y2312" s="19"/>
      <c r="Z2312" s="19"/>
      <c r="AA2312" s="19"/>
      <c r="AB2312" s="19"/>
      <c r="AC2312" s="19" t="n">
        <v>6</v>
      </c>
      <c r="AD2312" s="19"/>
      <c r="AE2312" s="19"/>
      <c r="AF2312" s="19"/>
      <c r="AG2312" s="19"/>
      <c r="AH2312" s="19" t="n">
        <v>2</v>
      </c>
      <c r="AI2312" s="19"/>
      <c r="AJ2312" s="19"/>
      <c r="AK2312" s="19"/>
      <c r="AL2312" s="19" t="n">
        <v>1</v>
      </c>
      <c r="AM2312" s="19" t="n">
        <v>2</v>
      </c>
      <c r="AN2312" s="19" t="n">
        <v>4</v>
      </c>
      <c r="AO2312" s="19" t="n">
        <v>1</v>
      </c>
      <c r="AP2312" s="19"/>
      <c r="AQ2312" s="19"/>
      <c r="AR2312" s="19"/>
      <c r="AS2312" s="20" t="str">
        <f aca="false">HYPERLINK("http://www.openstreetmap.org/?mlat=31.8475&amp;mlon=47.1402&amp;zoom=12#map=12/31.8475/47.1402","Maplink1")</f>
        <v>Maplink1</v>
      </c>
      <c r="AT2312" s="20" t="str">
        <f aca="false">HYPERLINK("https://www.google.iq/maps/search/+31.8475,47.1402/@31.8475,47.1402,14z?hl=en","Maplink2")</f>
        <v>Maplink2</v>
      </c>
      <c r="AU2312" s="20" t="str">
        <f aca="false">HYPERLINK("http://www.bing.com/maps/?lvl=14&amp;sty=h&amp;cp=31.8475~47.1402&amp;sp=point.31.8475_47.1402","Maplink3")</f>
        <v>Maplink3</v>
      </c>
    </row>
    <row r="2313" customFormat="false" ht="15" hidden="false" customHeight="true" outlineLevel="0" collapsed="false">
      <c r="A2313" s="15" t="n">
        <v>16836</v>
      </c>
      <c r="B2313" s="16" t="s">
        <v>24</v>
      </c>
      <c r="C2313" s="16" t="s">
        <v>4446</v>
      </c>
      <c r="D2313" s="16" t="s">
        <v>4508</v>
      </c>
      <c r="E2313" s="17" t="s">
        <v>2581</v>
      </c>
      <c r="F2313" s="16" t="n">
        <v>31.8412228</v>
      </c>
      <c r="G2313" s="16" t="n">
        <v>47.12673241</v>
      </c>
      <c r="H2313" s="18" t="n">
        <v>1</v>
      </c>
      <c r="I2313" s="18" t="n">
        <v>6</v>
      </c>
      <c r="J2313" s="19"/>
      <c r="K2313" s="19"/>
      <c r="L2313" s="19"/>
      <c r="M2313" s="19"/>
      <c r="N2313" s="19"/>
      <c r="O2313" s="19" t="n">
        <v>1</v>
      </c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  <c r="AA2313" s="19"/>
      <c r="AB2313" s="19"/>
      <c r="AC2313" s="19" t="n">
        <v>1</v>
      </c>
      <c r="AD2313" s="19"/>
      <c r="AE2313" s="19"/>
      <c r="AF2313" s="19"/>
      <c r="AG2313" s="19"/>
      <c r="AH2313" s="19"/>
      <c r="AI2313" s="19"/>
      <c r="AJ2313" s="19"/>
      <c r="AK2313" s="19"/>
      <c r="AL2313" s="19"/>
      <c r="AM2313" s="19"/>
      <c r="AN2313" s="19" t="n">
        <v>1</v>
      </c>
      <c r="AO2313" s="19"/>
      <c r="AP2313" s="19"/>
      <c r="AQ2313" s="19"/>
      <c r="AR2313" s="19"/>
      <c r="AS2313" s="20" t="str">
        <f aca="false">HYPERLINK("http://www.openstreetmap.org/?mlat=31.8412&amp;mlon=47.1267&amp;zoom=12#map=12/31.8412/47.1267","Maplink1")</f>
        <v>Maplink1</v>
      </c>
      <c r="AT2313" s="20" t="str">
        <f aca="false">HYPERLINK("https://www.google.iq/maps/search/+31.8412,47.1267/@31.8412,47.1267,14z?hl=en","Maplink2")</f>
        <v>Maplink2</v>
      </c>
      <c r="AU2313" s="20" t="str">
        <f aca="false">HYPERLINK("http://www.bing.com/maps/?lvl=14&amp;sty=h&amp;cp=31.8412~47.1267&amp;sp=point.31.8412_47.1267","Maplink3")</f>
        <v>Maplink3</v>
      </c>
    </row>
    <row r="2314" customFormat="false" ht="15" hidden="false" customHeight="true" outlineLevel="0" collapsed="false">
      <c r="A2314" s="15" t="n">
        <v>16807</v>
      </c>
      <c r="B2314" s="16" t="s">
        <v>24</v>
      </c>
      <c r="C2314" s="16" t="s">
        <v>4446</v>
      </c>
      <c r="D2314" s="16" t="s">
        <v>4509</v>
      </c>
      <c r="E2314" s="17" t="s">
        <v>4510</v>
      </c>
      <c r="F2314" s="16" t="n">
        <v>31.8456062</v>
      </c>
      <c r="G2314" s="16" t="n">
        <v>47.1548433</v>
      </c>
      <c r="H2314" s="18" t="n">
        <v>21</v>
      </c>
      <c r="I2314" s="18" t="n">
        <v>126</v>
      </c>
      <c r="J2314" s="19" t="n">
        <v>10</v>
      </c>
      <c r="K2314" s="19"/>
      <c r="L2314" s="19"/>
      <c r="M2314" s="19"/>
      <c r="N2314" s="19"/>
      <c r="O2314" s="19"/>
      <c r="P2314" s="19"/>
      <c r="Q2314" s="19"/>
      <c r="R2314" s="19" t="n">
        <v>1</v>
      </c>
      <c r="S2314" s="19"/>
      <c r="T2314" s="19"/>
      <c r="U2314" s="19"/>
      <c r="V2314" s="19" t="n">
        <v>5</v>
      </c>
      <c r="W2314" s="19"/>
      <c r="X2314" s="19" t="n">
        <v>5</v>
      </c>
      <c r="Y2314" s="19"/>
      <c r="Z2314" s="19"/>
      <c r="AA2314" s="19"/>
      <c r="AB2314" s="19"/>
      <c r="AC2314" s="19" t="n">
        <v>7</v>
      </c>
      <c r="AD2314" s="19"/>
      <c r="AE2314" s="19"/>
      <c r="AF2314" s="19"/>
      <c r="AG2314" s="19" t="n">
        <v>1</v>
      </c>
      <c r="AH2314" s="19" t="n">
        <v>13</v>
      </c>
      <c r="AI2314" s="19"/>
      <c r="AJ2314" s="19"/>
      <c r="AK2314" s="19"/>
      <c r="AL2314" s="19"/>
      <c r="AM2314" s="19" t="n">
        <v>1</v>
      </c>
      <c r="AN2314" s="19" t="n">
        <v>8</v>
      </c>
      <c r="AO2314" s="19" t="n">
        <v>5</v>
      </c>
      <c r="AP2314" s="19" t="n">
        <v>7</v>
      </c>
      <c r="AQ2314" s="19"/>
      <c r="AR2314" s="19"/>
      <c r="AS2314" s="20" t="str">
        <f aca="false">HYPERLINK("http://www.openstreetmap.org/?mlat=31.8456&amp;mlon=47.1548&amp;zoom=12#map=12/31.8456/47.1548","Maplink1")</f>
        <v>Maplink1</v>
      </c>
      <c r="AT2314" s="20" t="str">
        <f aca="false">HYPERLINK("https://www.google.iq/maps/search/+31.8456,47.1548/@31.8456,47.1548,14z?hl=en","Maplink2")</f>
        <v>Maplink2</v>
      </c>
      <c r="AU2314" s="20" t="str">
        <f aca="false">HYPERLINK("http://www.bing.com/maps/?lvl=14&amp;sty=h&amp;cp=31.8456~47.1548&amp;sp=point.31.8456_47.1548","Maplink3")</f>
        <v>Maplink3</v>
      </c>
    </row>
    <row r="2315" customFormat="false" ht="15" hidden="false" customHeight="true" outlineLevel="0" collapsed="false">
      <c r="A2315" s="15" t="n">
        <v>16850</v>
      </c>
      <c r="B2315" s="16" t="s">
        <v>24</v>
      </c>
      <c r="C2315" s="16" t="s">
        <v>4446</v>
      </c>
      <c r="D2315" s="16" t="s">
        <v>4511</v>
      </c>
      <c r="E2315" s="17" t="s">
        <v>2029</v>
      </c>
      <c r="F2315" s="16" t="n">
        <v>31.82464507</v>
      </c>
      <c r="G2315" s="16" t="n">
        <v>47.11999152</v>
      </c>
      <c r="H2315" s="18" t="n">
        <v>3</v>
      </c>
      <c r="I2315" s="18" t="n">
        <v>18</v>
      </c>
      <c r="J2315" s="19"/>
      <c r="K2315" s="19" t="n">
        <v>1</v>
      </c>
      <c r="L2315" s="19"/>
      <c r="M2315" s="19"/>
      <c r="N2315" s="19"/>
      <c r="O2315" s="19"/>
      <c r="P2315" s="19"/>
      <c r="Q2315" s="19"/>
      <c r="R2315" s="19" t="n">
        <v>1</v>
      </c>
      <c r="S2315" s="19"/>
      <c r="T2315" s="19"/>
      <c r="U2315" s="19"/>
      <c r="V2315" s="19" t="n">
        <v>1</v>
      </c>
      <c r="W2315" s="19"/>
      <c r="X2315" s="19"/>
      <c r="Y2315" s="19"/>
      <c r="Z2315" s="19"/>
      <c r="AA2315" s="19"/>
      <c r="AB2315" s="19"/>
      <c r="AC2315" s="19"/>
      <c r="AD2315" s="19"/>
      <c r="AE2315" s="19"/>
      <c r="AF2315" s="19"/>
      <c r="AG2315" s="19"/>
      <c r="AH2315" s="19" t="n">
        <v>2</v>
      </c>
      <c r="AI2315" s="19" t="n">
        <v>1</v>
      </c>
      <c r="AJ2315" s="19"/>
      <c r="AK2315" s="19"/>
      <c r="AL2315" s="19"/>
      <c r="AM2315" s="19" t="n">
        <v>1</v>
      </c>
      <c r="AN2315" s="19" t="n">
        <v>2</v>
      </c>
      <c r="AO2315" s="19"/>
      <c r="AP2315" s="19"/>
      <c r="AQ2315" s="19"/>
      <c r="AR2315" s="19"/>
      <c r="AS2315" s="20" t="str">
        <f aca="false">HYPERLINK("http://www.openstreetmap.org/?mlat=31.8246&amp;mlon=47.12&amp;zoom=12#map=12/31.8246/47.12","Maplink1")</f>
        <v>Maplink1</v>
      </c>
      <c r="AT2315" s="20" t="str">
        <f aca="false">HYPERLINK("https://www.google.iq/maps/search/+31.8246,47.12/@31.8246,47.12,14z?hl=en","Maplink2")</f>
        <v>Maplink2</v>
      </c>
      <c r="AU2315" s="20" t="str">
        <f aca="false">HYPERLINK("http://www.bing.com/maps/?lvl=14&amp;sty=h&amp;cp=31.8246~47.12&amp;sp=point.31.8246_47.12","Maplink3")</f>
        <v>Maplink3</v>
      </c>
    </row>
    <row r="2316" customFormat="false" ht="15" hidden="false" customHeight="true" outlineLevel="0" collapsed="false">
      <c r="A2316" s="15" t="n">
        <v>16845</v>
      </c>
      <c r="B2316" s="16" t="s">
        <v>24</v>
      </c>
      <c r="C2316" s="16" t="s">
        <v>4446</v>
      </c>
      <c r="D2316" s="16" t="s">
        <v>4512</v>
      </c>
      <c r="E2316" s="17" t="s">
        <v>4513</v>
      </c>
      <c r="F2316" s="16" t="n">
        <v>31.8231142</v>
      </c>
      <c r="G2316" s="16" t="n">
        <v>47.15325133</v>
      </c>
      <c r="H2316" s="18" t="n">
        <v>3</v>
      </c>
      <c r="I2316" s="18" t="n">
        <v>18</v>
      </c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 t="n">
        <v>3</v>
      </c>
      <c r="Y2316" s="19"/>
      <c r="Z2316" s="19"/>
      <c r="AA2316" s="19"/>
      <c r="AB2316" s="19"/>
      <c r="AC2316" s="19" t="n">
        <v>1</v>
      </c>
      <c r="AD2316" s="19"/>
      <c r="AE2316" s="19"/>
      <c r="AF2316" s="19"/>
      <c r="AG2316" s="19"/>
      <c r="AH2316" s="19" t="n">
        <v>2</v>
      </c>
      <c r="AI2316" s="19"/>
      <c r="AJ2316" s="19"/>
      <c r="AK2316" s="19"/>
      <c r="AL2316" s="19"/>
      <c r="AM2316" s="19" t="n">
        <v>1</v>
      </c>
      <c r="AN2316" s="19" t="n">
        <v>1</v>
      </c>
      <c r="AO2316" s="19" t="n">
        <v>1</v>
      </c>
      <c r="AP2316" s="19"/>
      <c r="AQ2316" s="19"/>
      <c r="AR2316" s="19"/>
      <c r="AS2316" s="20" t="str">
        <f aca="false">HYPERLINK("http://www.openstreetmap.org/?mlat=31.8231&amp;mlon=47.1533&amp;zoom=12#map=12/31.8231/47.1533","Maplink1")</f>
        <v>Maplink1</v>
      </c>
      <c r="AT2316" s="20" t="str">
        <f aca="false">HYPERLINK("https://www.google.iq/maps/search/+31.8231,47.1533/@31.8231,47.1533,14z?hl=en","Maplink2")</f>
        <v>Maplink2</v>
      </c>
      <c r="AU2316" s="20" t="str">
        <f aca="false">HYPERLINK("http://www.bing.com/maps/?lvl=14&amp;sty=h&amp;cp=31.8231~47.1533&amp;sp=point.31.8231_47.1533","Maplink3")</f>
        <v>Maplink3</v>
      </c>
    </row>
    <row r="2317" customFormat="false" ht="15" hidden="false" customHeight="true" outlineLevel="0" collapsed="false">
      <c r="A2317" s="15" t="n">
        <v>16487</v>
      </c>
      <c r="B2317" s="16" t="s">
        <v>24</v>
      </c>
      <c r="C2317" s="16" t="s">
        <v>4446</v>
      </c>
      <c r="D2317" s="16" t="s">
        <v>4514</v>
      </c>
      <c r="E2317" s="17" t="s">
        <v>4515</v>
      </c>
      <c r="F2317" s="16" t="n">
        <v>31.83054208</v>
      </c>
      <c r="G2317" s="16" t="n">
        <v>47.14451261</v>
      </c>
      <c r="H2317" s="18" t="n">
        <v>4</v>
      </c>
      <c r="I2317" s="18" t="n">
        <v>24</v>
      </c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 t="n">
        <v>4</v>
      </c>
      <c r="W2317" s="19"/>
      <c r="X2317" s="19"/>
      <c r="Y2317" s="19"/>
      <c r="Z2317" s="19"/>
      <c r="AA2317" s="19"/>
      <c r="AB2317" s="19"/>
      <c r="AC2317" s="19" t="n">
        <v>1</v>
      </c>
      <c r="AD2317" s="19"/>
      <c r="AE2317" s="19" t="n">
        <v>1</v>
      </c>
      <c r="AF2317" s="19"/>
      <c r="AG2317" s="19"/>
      <c r="AH2317" s="19" t="n">
        <v>2</v>
      </c>
      <c r="AI2317" s="19"/>
      <c r="AJ2317" s="19"/>
      <c r="AK2317" s="19"/>
      <c r="AL2317" s="19"/>
      <c r="AM2317" s="19"/>
      <c r="AN2317" s="19" t="n">
        <v>4</v>
      </c>
      <c r="AO2317" s="19"/>
      <c r="AP2317" s="19"/>
      <c r="AQ2317" s="19"/>
      <c r="AR2317" s="19"/>
      <c r="AS2317" s="20" t="str">
        <f aca="false">HYPERLINK("http://www.openstreetmap.org/?mlat=31.8305&amp;mlon=47.1445&amp;zoom=12#map=12/31.8305/47.1445","Maplink1")</f>
        <v>Maplink1</v>
      </c>
      <c r="AT2317" s="20" t="str">
        <f aca="false">HYPERLINK("https://www.google.iq/maps/search/+31.8305,47.1445/@31.8305,47.1445,14z?hl=en","Maplink2")</f>
        <v>Maplink2</v>
      </c>
      <c r="AU2317" s="20" t="str">
        <f aca="false">HYPERLINK("http://www.bing.com/maps/?lvl=14&amp;sty=h&amp;cp=31.8305~47.1445&amp;sp=point.31.8305_47.1445","Maplink3")</f>
        <v>Maplink3</v>
      </c>
    </row>
    <row r="2318" customFormat="false" ht="15" hidden="false" customHeight="true" outlineLevel="0" collapsed="false">
      <c r="A2318" s="15" t="n">
        <v>16851</v>
      </c>
      <c r="B2318" s="16" t="s">
        <v>24</v>
      </c>
      <c r="C2318" s="16" t="s">
        <v>4446</v>
      </c>
      <c r="D2318" s="16" t="s">
        <v>4516</v>
      </c>
      <c r="E2318" s="17" t="s">
        <v>2537</v>
      </c>
      <c r="F2318" s="16" t="n">
        <v>31.85217682</v>
      </c>
      <c r="G2318" s="16" t="n">
        <v>47.15355601</v>
      </c>
      <c r="H2318" s="18" t="n">
        <v>3</v>
      </c>
      <c r="I2318" s="18" t="n">
        <v>18</v>
      </c>
      <c r="J2318" s="19"/>
      <c r="K2318" s="19"/>
      <c r="L2318" s="19"/>
      <c r="M2318" s="19"/>
      <c r="N2318" s="19"/>
      <c r="O2318" s="19"/>
      <c r="P2318" s="19"/>
      <c r="Q2318" s="19"/>
      <c r="R2318" s="19" t="n">
        <v>2</v>
      </c>
      <c r="S2318" s="19"/>
      <c r="T2318" s="19"/>
      <c r="U2318" s="19"/>
      <c r="V2318" s="19"/>
      <c r="W2318" s="19"/>
      <c r="X2318" s="19" t="n">
        <v>1</v>
      </c>
      <c r="Y2318" s="19"/>
      <c r="Z2318" s="19"/>
      <c r="AA2318" s="19"/>
      <c r="AB2318" s="19"/>
      <c r="AC2318" s="19" t="n">
        <v>1</v>
      </c>
      <c r="AD2318" s="19"/>
      <c r="AE2318" s="19"/>
      <c r="AF2318" s="19"/>
      <c r="AG2318" s="19"/>
      <c r="AH2318" s="19" t="n">
        <v>2</v>
      </c>
      <c r="AI2318" s="19"/>
      <c r="AJ2318" s="19"/>
      <c r="AK2318" s="19"/>
      <c r="AL2318" s="19"/>
      <c r="AM2318" s="19"/>
      <c r="AN2318" s="19" t="n">
        <v>1</v>
      </c>
      <c r="AO2318" s="19" t="n">
        <v>2</v>
      </c>
      <c r="AP2318" s="19"/>
      <c r="AQ2318" s="19"/>
      <c r="AR2318" s="19"/>
      <c r="AS2318" s="20" t="str">
        <f aca="false">HYPERLINK("http://www.openstreetmap.org/?mlat=31.8522&amp;mlon=47.1536&amp;zoom=12#map=12/31.8522/47.1536","Maplink1")</f>
        <v>Maplink1</v>
      </c>
      <c r="AT2318" s="20" t="str">
        <f aca="false">HYPERLINK("https://www.google.iq/maps/search/+31.8522,47.1536/@31.8522,47.1536,14z?hl=en","Maplink2")</f>
        <v>Maplink2</v>
      </c>
      <c r="AU2318" s="20" t="str">
        <f aca="false">HYPERLINK("http://www.bing.com/maps/?lvl=14&amp;sty=h&amp;cp=31.8522~47.1536&amp;sp=point.31.8522_47.1536","Maplink3")</f>
        <v>Maplink3</v>
      </c>
    </row>
    <row r="2319" customFormat="false" ht="15" hidden="false" customHeight="true" outlineLevel="0" collapsed="false">
      <c r="A2319" s="15" t="n">
        <v>16809</v>
      </c>
      <c r="B2319" s="16" t="s">
        <v>24</v>
      </c>
      <c r="C2319" s="16" t="s">
        <v>4446</v>
      </c>
      <c r="D2319" s="16" t="s">
        <v>4422</v>
      </c>
      <c r="E2319" s="17" t="s">
        <v>2151</v>
      </c>
      <c r="F2319" s="16" t="n">
        <v>31.82607612</v>
      </c>
      <c r="G2319" s="16" t="n">
        <v>47.13727123</v>
      </c>
      <c r="H2319" s="18" t="n">
        <v>2</v>
      </c>
      <c r="I2319" s="18" t="n">
        <v>12</v>
      </c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 t="n">
        <v>2</v>
      </c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19"/>
      <c r="AH2319" s="19"/>
      <c r="AI2319" s="19" t="n">
        <v>2</v>
      </c>
      <c r="AJ2319" s="19"/>
      <c r="AK2319" s="19"/>
      <c r="AL2319" s="19"/>
      <c r="AM2319" s="19"/>
      <c r="AN2319" s="19" t="n">
        <v>2</v>
      </c>
      <c r="AO2319" s="19"/>
      <c r="AP2319" s="19"/>
      <c r="AQ2319" s="19"/>
      <c r="AR2319" s="19"/>
      <c r="AS2319" s="20" t="str">
        <f aca="false">HYPERLINK("http://www.openstreetmap.org/?mlat=31.8261&amp;mlon=47.1373&amp;zoom=12#map=12/31.8261/47.1373","Maplink1")</f>
        <v>Maplink1</v>
      </c>
      <c r="AT2319" s="20" t="str">
        <f aca="false">HYPERLINK("https://www.google.iq/maps/search/+31.8261,47.1373/@31.8261,47.1373,14z?hl=en","Maplink2")</f>
        <v>Maplink2</v>
      </c>
      <c r="AU2319" s="20" t="str">
        <f aca="false">HYPERLINK("http://www.bing.com/maps/?lvl=14&amp;sty=h&amp;cp=31.8261~47.1373&amp;sp=point.31.8261_47.1373","Maplink3")</f>
        <v>Maplink3</v>
      </c>
    </row>
    <row r="2320" customFormat="false" ht="15" hidden="false" customHeight="true" outlineLevel="0" collapsed="false">
      <c r="A2320" s="15" t="n">
        <v>28411</v>
      </c>
      <c r="B2320" s="16" t="s">
        <v>24</v>
      </c>
      <c r="C2320" s="16" t="s">
        <v>4446</v>
      </c>
      <c r="D2320" s="16" t="s">
        <v>311</v>
      </c>
      <c r="E2320" s="17" t="s">
        <v>724</v>
      </c>
      <c r="F2320" s="16" t="n">
        <v>32.03853029</v>
      </c>
      <c r="G2320" s="16" t="n">
        <v>46.87364395</v>
      </c>
      <c r="H2320" s="18" t="n">
        <v>4</v>
      </c>
      <c r="I2320" s="18" t="n">
        <v>24</v>
      </c>
      <c r="J2320" s="19" t="n">
        <v>1</v>
      </c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 t="n">
        <v>3</v>
      </c>
      <c r="W2320" s="19"/>
      <c r="X2320" s="19"/>
      <c r="Y2320" s="19"/>
      <c r="Z2320" s="19"/>
      <c r="AA2320" s="19"/>
      <c r="AB2320" s="19"/>
      <c r="AC2320" s="19" t="n">
        <v>2</v>
      </c>
      <c r="AD2320" s="19"/>
      <c r="AE2320" s="19"/>
      <c r="AF2320" s="19"/>
      <c r="AG2320" s="19"/>
      <c r="AH2320" s="19" t="n">
        <v>2</v>
      </c>
      <c r="AI2320" s="19"/>
      <c r="AJ2320" s="19"/>
      <c r="AK2320" s="19"/>
      <c r="AL2320" s="19"/>
      <c r="AM2320" s="19"/>
      <c r="AN2320" s="19" t="n">
        <v>3</v>
      </c>
      <c r="AO2320" s="19"/>
      <c r="AP2320" s="19" t="n">
        <v>1</v>
      </c>
      <c r="AQ2320" s="19"/>
      <c r="AR2320" s="19"/>
      <c r="AS2320" s="20" t="str">
        <f aca="false">HYPERLINK("http://www.openstreetmap.org/?mlat=32.0385&amp;mlon=46.8736&amp;zoom=12#map=12/32.0385/46.8736","Maplink1")</f>
        <v>Maplink1</v>
      </c>
      <c r="AT2320" s="20" t="str">
        <f aca="false">HYPERLINK("https://www.google.iq/maps/search/+32.0385,46.8736/@32.0385,46.8736,14z?hl=en","Maplink2")</f>
        <v>Maplink2</v>
      </c>
      <c r="AU2320" s="20" t="str">
        <f aca="false">HYPERLINK("http://www.bing.com/maps/?lvl=14&amp;sty=h&amp;cp=32.0385~46.8736&amp;sp=point.32.0385_46.8736","Maplink3")</f>
        <v>Maplink3</v>
      </c>
    </row>
    <row r="2321" customFormat="false" ht="15" hidden="false" customHeight="true" outlineLevel="0" collapsed="false">
      <c r="A2321" s="15" t="n">
        <v>16817</v>
      </c>
      <c r="B2321" s="16" t="s">
        <v>24</v>
      </c>
      <c r="C2321" s="16" t="s">
        <v>4446</v>
      </c>
      <c r="D2321" s="16" t="s">
        <v>311</v>
      </c>
      <c r="E2321" s="17" t="s">
        <v>724</v>
      </c>
      <c r="F2321" s="16" t="n">
        <v>31.86180918</v>
      </c>
      <c r="G2321" s="16" t="n">
        <v>47.16968849</v>
      </c>
      <c r="H2321" s="18" t="n">
        <v>9</v>
      </c>
      <c r="I2321" s="18" t="n">
        <v>54</v>
      </c>
      <c r="J2321" s="19" t="n">
        <v>1</v>
      </c>
      <c r="K2321" s="19"/>
      <c r="L2321" s="19" t="n">
        <v>1</v>
      </c>
      <c r="M2321" s="19"/>
      <c r="N2321" s="19"/>
      <c r="O2321" s="19"/>
      <c r="P2321" s="19"/>
      <c r="Q2321" s="19"/>
      <c r="R2321" s="19" t="n">
        <v>3</v>
      </c>
      <c r="S2321" s="19"/>
      <c r="T2321" s="19"/>
      <c r="U2321" s="19"/>
      <c r="V2321" s="19" t="n">
        <v>4</v>
      </c>
      <c r="W2321" s="19"/>
      <c r="X2321" s="19"/>
      <c r="Y2321" s="19"/>
      <c r="Z2321" s="19"/>
      <c r="AA2321" s="19"/>
      <c r="AB2321" s="19"/>
      <c r="AC2321" s="19" t="n">
        <v>6</v>
      </c>
      <c r="AD2321" s="19"/>
      <c r="AE2321" s="19" t="n">
        <v>1</v>
      </c>
      <c r="AF2321" s="19"/>
      <c r="AG2321" s="19"/>
      <c r="AH2321" s="19" t="n">
        <v>2</v>
      </c>
      <c r="AI2321" s="19"/>
      <c r="AJ2321" s="19"/>
      <c r="AK2321" s="19"/>
      <c r="AL2321" s="19"/>
      <c r="AM2321" s="19" t="n">
        <v>1</v>
      </c>
      <c r="AN2321" s="19" t="n">
        <v>4</v>
      </c>
      <c r="AO2321" s="19" t="n">
        <v>3</v>
      </c>
      <c r="AP2321" s="19" t="n">
        <v>1</v>
      </c>
      <c r="AQ2321" s="19"/>
      <c r="AR2321" s="19"/>
      <c r="AS2321" s="20" t="str">
        <f aca="false">HYPERLINK("http://www.openstreetmap.org/?mlat=31.8618&amp;mlon=47.1697&amp;zoom=12#map=12/31.8618/47.1697","Maplink1")</f>
        <v>Maplink1</v>
      </c>
      <c r="AT2321" s="20" t="str">
        <f aca="false">HYPERLINK("https://www.google.iq/maps/search/+31.8618,47.1697/@31.8618,47.1697,14z?hl=en","Maplink2")</f>
        <v>Maplink2</v>
      </c>
      <c r="AU2321" s="20" t="str">
        <f aca="false">HYPERLINK("http://www.bing.com/maps/?lvl=14&amp;sty=h&amp;cp=31.8618~47.1697&amp;sp=point.31.8618_47.1697","Maplink3")</f>
        <v>Maplink3</v>
      </c>
    </row>
    <row r="2322" customFormat="false" ht="15" hidden="false" customHeight="true" outlineLevel="0" collapsed="false">
      <c r="A2322" s="15" t="n">
        <v>16848</v>
      </c>
      <c r="B2322" s="16" t="s">
        <v>24</v>
      </c>
      <c r="C2322" s="16" t="s">
        <v>4446</v>
      </c>
      <c r="D2322" s="16" t="s">
        <v>4517</v>
      </c>
      <c r="E2322" s="17" t="s">
        <v>4518</v>
      </c>
      <c r="F2322" s="16" t="n">
        <v>31.83911639</v>
      </c>
      <c r="G2322" s="16" t="n">
        <v>47.11904604</v>
      </c>
      <c r="H2322" s="18" t="n">
        <v>4</v>
      </c>
      <c r="I2322" s="18" t="n">
        <v>24</v>
      </c>
      <c r="J2322" s="19" t="n">
        <v>1</v>
      </c>
      <c r="K2322" s="19"/>
      <c r="L2322" s="19" t="n">
        <v>1</v>
      </c>
      <c r="M2322" s="19"/>
      <c r="N2322" s="19"/>
      <c r="O2322" s="19"/>
      <c r="P2322" s="19"/>
      <c r="Q2322" s="19"/>
      <c r="R2322" s="19" t="n">
        <v>1</v>
      </c>
      <c r="S2322" s="19"/>
      <c r="T2322" s="19"/>
      <c r="U2322" s="19"/>
      <c r="V2322" s="19" t="n">
        <v>1</v>
      </c>
      <c r="W2322" s="19"/>
      <c r="X2322" s="19"/>
      <c r="Y2322" s="19"/>
      <c r="Z2322" s="19"/>
      <c r="AA2322" s="19"/>
      <c r="AB2322" s="19"/>
      <c r="AC2322" s="19" t="n">
        <v>3</v>
      </c>
      <c r="AD2322" s="19"/>
      <c r="AE2322" s="19"/>
      <c r="AF2322" s="19"/>
      <c r="AG2322" s="19"/>
      <c r="AH2322" s="19" t="n">
        <v>1</v>
      </c>
      <c r="AI2322" s="19"/>
      <c r="AJ2322" s="19"/>
      <c r="AK2322" s="19"/>
      <c r="AL2322" s="19"/>
      <c r="AM2322" s="19" t="n">
        <v>3</v>
      </c>
      <c r="AN2322" s="19" t="n">
        <v>1</v>
      </c>
      <c r="AO2322" s="19"/>
      <c r="AP2322" s="19"/>
      <c r="AQ2322" s="19"/>
      <c r="AR2322" s="19"/>
      <c r="AS2322" s="20" t="str">
        <f aca="false">HYPERLINK("http://www.openstreetmap.org/?mlat=31.8391&amp;mlon=47.119&amp;zoom=12#map=12/31.8391/47.119","Maplink1")</f>
        <v>Maplink1</v>
      </c>
      <c r="AT2322" s="20" t="str">
        <f aca="false">HYPERLINK("https://www.google.iq/maps/search/+31.8391,47.119/@31.8391,47.119,14z?hl=en","Maplink2")</f>
        <v>Maplink2</v>
      </c>
      <c r="AU2322" s="20" t="str">
        <f aca="false">HYPERLINK("http://www.bing.com/maps/?lvl=14&amp;sty=h&amp;cp=31.8391~47.119&amp;sp=point.31.8391_47.119","Maplink3")</f>
        <v>Maplink3</v>
      </c>
    </row>
    <row r="2323" customFormat="false" ht="15" hidden="false" customHeight="true" outlineLevel="0" collapsed="false">
      <c r="A2323" s="15" t="n">
        <v>16593</v>
      </c>
      <c r="B2323" s="16" t="s">
        <v>24</v>
      </c>
      <c r="C2323" s="16" t="s">
        <v>4446</v>
      </c>
      <c r="D2323" s="16" t="s">
        <v>582</v>
      </c>
      <c r="E2323" s="17" t="s">
        <v>85</v>
      </c>
      <c r="F2323" s="16" t="n">
        <v>31.8705274</v>
      </c>
      <c r="G2323" s="16" t="n">
        <v>47.13181755</v>
      </c>
      <c r="H2323" s="18" t="n">
        <v>11</v>
      </c>
      <c r="I2323" s="18" t="n">
        <v>66</v>
      </c>
      <c r="J2323" s="19" t="n">
        <v>1</v>
      </c>
      <c r="K2323" s="19"/>
      <c r="L2323" s="19"/>
      <c r="M2323" s="19"/>
      <c r="N2323" s="19"/>
      <c r="O2323" s="19" t="n">
        <v>1</v>
      </c>
      <c r="P2323" s="19"/>
      <c r="Q2323" s="19"/>
      <c r="R2323" s="19" t="n">
        <v>1</v>
      </c>
      <c r="S2323" s="19"/>
      <c r="T2323" s="19"/>
      <c r="U2323" s="19"/>
      <c r="V2323" s="19" t="n">
        <v>8</v>
      </c>
      <c r="W2323" s="19"/>
      <c r="X2323" s="19"/>
      <c r="Y2323" s="19"/>
      <c r="Z2323" s="19"/>
      <c r="AA2323" s="19"/>
      <c r="AB2323" s="19"/>
      <c r="AC2323" s="19" t="n">
        <v>4</v>
      </c>
      <c r="AD2323" s="19"/>
      <c r="AE2323" s="19"/>
      <c r="AF2323" s="19"/>
      <c r="AG2323" s="19"/>
      <c r="AH2323" s="19" t="n">
        <v>7</v>
      </c>
      <c r="AI2323" s="19"/>
      <c r="AJ2323" s="19"/>
      <c r="AK2323" s="19"/>
      <c r="AL2323" s="19"/>
      <c r="AM2323" s="19" t="n">
        <v>2</v>
      </c>
      <c r="AN2323" s="19"/>
      <c r="AO2323" s="19" t="n">
        <v>8</v>
      </c>
      <c r="AP2323" s="19" t="n">
        <v>1</v>
      </c>
      <c r="AQ2323" s="19"/>
      <c r="AR2323" s="19"/>
      <c r="AS2323" s="20" t="str">
        <f aca="false">HYPERLINK("http://www.openstreetmap.org/?mlat=31.8705&amp;mlon=47.1318&amp;zoom=12#map=12/31.8705/47.1318","Maplink1")</f>
        <v>Maplink1</v>
      </c>
      <c r="AT2323" s="20" t="str">
        <f aca="false">HYPERLINK("https://www.google.iq/maps/search/+31.8705,47.1318/@31.8705,47.1318,14z?hl=en","Maplink2")</f>
        <v>Maplink2</v>
      </c>
      <c r="AU2323" s="20" t="str">
        <f aca="false">HYPERLINK("http://www.bing.com/maps/?lvl=14&amp;sty=h&amp;cp=31.8705~47.1318&amp;sp=point.31.8705_47.1318","Maplink3")</f>
        <v>Maplink3</v>
      </c>
    </row>
    <row r="2324" customFormat="false" ht="15" hidden="false" customHeight="true" outlineLevel="0" collapsed="false">
      <c r="A2324" s="15" t="n">
        <v>16473</v>
      </c>
      <c r="B2324" s="16" t="s">
        <v>24</v>
      </c>
      <c r="C2324" s="16" t="s">
        <v>4446</v>
      </c>
      <c r="D2324" s="16" t="s">
        <v>4519</v>
      </c>
      <c r="E2324" s="17" t="s">
        <v>4520</v>
      </c>
      <c r="F2324" s="16" t="n">
        <v>31.81963806</v>
      </c>
      <c r="G2324" s="16" t="n">
        <v>47.13635769</v>
      </c>
      <c r="H2324" s="18" t="n">
        <v>4</v>
      </c>
      <c r="I2324" s="18" t="n">
        <v>24</v>
      </c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 t="n">
        <v>4</v>
      </c>
      <c r="W2324" s="19"/>
      <c r="X2324" s="19"/>
      <c r="Y2324" s="19"/>
      <c r="Z2324" s="19"/>
      <c r="AA2324" s="19"/>
      <c r="AB2324" s="19"/>
      <c r="AC2324" s="19" t="n">
        <v>3</v>
      </c>
      <c r="AD2324" s="19"/>
      <c r="AE2324" s="19"/>
      <c r="AF2324" s="19"/>
      <c r="AG2324" s="19"/>
      <c r="AH2324" s="19" t="n">
        <v>1</v>
      </c>
      <c r="AI2324" s="19"/>
      <c r="AJ2324" s="19"/>
      <c r="AK2324" s="19"/>
      <c r="AL2324" s="19"/>
      <c r="AM2324" s="19" t="n">
        <v>1</v>
      </c>
      <c r="AN2324" s="19" t="n">
        <v>3</v>
      </c>
      <c r="AO2324" s="19"/>
      <c r="AP2324" s="19"/>
      <c r="AQ2324" s="19"/>
      <c r="AR2324" s="19"/>
      <c r="AS2324" s="20" t="str">
        <f aca="false">HYPERLINK("http://www.openstreetmap.org/?mlat=31.8196&amp;mlon=47.1364&amp;zoom=12#map=12/31.8196/47.1364","Maplink1")</f>
        <v>Maplink1</v>
      </c>
      <c r="AT2324" s="20" t="str">
        <f aca="false">HYPERLINK("https://www.google.iq/maps/search/+31.8196,47.1364/@31.8196,47.1364,14z?hl=en","Maplink2")</f>
        <v>Maplink2</v>
      </c>
      <c r="AU2324" s="20" t="str">
        <f aca="false">HYPERLINK("http://www.bing.com/maps/?lvl=14&amp;sty=h&amp;cp=31.8196~47.1364&amp;sp=point.31.8196_47.1364","Maplink3")</f>
        <v>Maplink3</v>
      </c>
    </row>
    <row r="2325" customFormat="false" ht="15" hidden="false" customHeight="true" outlineLevel="0" collapsed="false">
      <c r="A2325" s="15" t="n">
        <v>16457</v>
      </c>
      <c r="B2325" s="16" t="s">
        <v>24</v>
      </c>
      <c r="C2325" s="16" t="s">
        <v>4446</v>
      </c>
      <c r="D2325" s="16" t="s">
        <v>4521</v>
      </c>
      <c r="E2325" s="17" t="s">
        <v>99</v>
      </c>
      <c r="F2325" s="16" t="n">
        <v>31.8469194</v>
      </c>
      <c r="G2325" s="16" t="n">
        <v>47.15263107</v>
      </c>
      <c r="H2325" s="18" t="n">
        <v>2</v>
      </c>
      <c r="I2325" s="18" t="n">
        <v>12</v>
      </c>
      <c r="J2325" s="19" t="n">
        <v>1</v>
      </c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 t="n">
        <v>1</v>
      </c>
      <c r="W2325" s="19"/>
      <c r="X2325" s="19"/>
      <c r="Y2325" s="19"/>
      <c r="Z2325" s="19"/>
      <c r="AA2325" s="19"/>
      <c r="AB2325" s="19"/>
      <c r="AC2325" s="19" t="n">
        <v>1</v>
      </c>
      <c r="AD2325" s="19"/>
      <c r="AE2325" s="19"/>
      <c r="AF2325" s="19"/>
      <c r="AG2325" s="19"/>
      <c r="AH2325" s="19" t="n">
        <v>1</v>
      </c>
      <c r="AI2325" s="19"/>
      <c r="AJ2325" s="19"/>
      <c r="AK2325" s="19"/>
      <c r="AL2325" s="19"/>
      <c r="AM2325" s="19" t="n">
        <v>1</v>
      </c>
      <c r="AN2325" s="19"/>
      <c r="AO2325" s="19"/>
      <c r="AP2325" s="19"/>
      <c r="AQ2325" s="19" t="n">
        <v>1</v>
      </c>
      <c r="AR2325" s="19"/>
      <c r="AS2325" s="20" t="str">
        <f aca="false">HYPERLINK("http://www.openstreetmap.org/?mlat=31.8469&amp;mlon=47.1526&amp;zoom=12#map=12/31.8469/47.1526","Maplink1")</f>
        <v>Maplink1</v>
      </c>
      <c r="AT2325" s="20" t="str">
        <f aca="false">HYPERLINK("https://www.google.iq/maps/search/+31.8469,47.1526/@31.8469,47.1526,14z?hl=en","Maplink2")</f>
        <v>Maplink2</v>
      </c>
      <c r="AU2325" s="20" t="str">
        <f aca="false">HYPERLINK("http://www.bing.com/maps/?lvl=14&amp;sty=h&amp;cp=31.8469~47.1526&amp;sp=point.31.8469_47.1526","Maplink3")</f>
        <v>Maplink3</v>
      </c>
    </row>
    <row r="2326" customFormat="false" ht="15" hidden="false" customHeight="true" outlineLevel="0" collapsed="false">
      <c r="A2326" s="15" t="n">
        <v>16838</v>
      </c>
      <c r="B2326" s="16" t="s">
        <v>24</v>
      </c>
      <c r="C2326" s="16" t="s">
        <v>4446</v>
      </c>
      <c r="D2326" s="16" t="s">
        <v>729</v>
      </c>
      <c r="E2326" s="17" t="s">
        <v>2027</v>
      </c>
      <c r="F2326" s="16" t="n">
        <v>31.87235797</v>
      </c>
      <c r="G2326" s="16" t="n">
        <v>47.14360829</v>
      </c>
      <c r="H2326" s="18" t="n">
        <v>6</v>
      </c>
      <c r="I2326" s="18" t="n">
        <v>36</v>
      </c>
      <c r="J2326" s="19"/>
      <c r="K2326" s="19"/>
      <c r="L2326" s="19"/>
      <c r="M2326" s="19"/>
      <c r="N2326" s="19"/>
      <c r="O2326" s="19"/>
      <c r="P2326" s="19"/>
      <c r="Q2326" s="19"/>
      <c r="R2326" s="19" t="n">
        <v>4</v>
      </c>
      <c r="S2326" s="19"/>
      <c r="T2326" s="19"/>
      <c r="U2326" s="19"/>
      <c r="V2326" s="19" t="n">
        <v>2</v>
      </c>
      <c r="W2326" s="19"/>
      <c r="X2326" s="19"/>
      <c r="Y2326" s="19"/>
      <c r="Z2326" s="19"/>
      <c r="AA2326" s="19"/>
      <c r="AB2326" s="19"/>
      <c r="AC2326" s="19" t="n">
        <v>4</v>
      </c>
      <c r="AD2326" s="19"/>
      <c r="AE2326" s="19"/>
      <c r="AF2326" s="19"/>
      <c r="AG2326" s="19"/>
      <c r="AH2326" s="19" t="n">
        <v>2</v>
      </c>
      <c r="AI2326" s="19"/>
      <c r="AJ2326" s="19"/>
      <c r="AK2326" s="19"/>
      <c r="AL2326" s="19"/>
      <c r="AM2326" s="19"/>
      <c r="AN2326" s="19" t="n">
        <v>5</v>
      </c>
      <c r="AO2326" s="19" t="n">
        <v>1</v>
      </c>
      <c r="AP2326" s="19"/>
      <c r="AQ2326" s="19"/>
      <c r="AR2326" s="19"/>
      <c r="AS2326" s="20" t="str">
        <f aca="false">HYPERLINK("http://www.openstreetmap.org/?mlat=31.8724&amp;mlon=47.1436&amp;zoom=12#map=12/31.8724/47.1436","Maplink1")</f>
        <v>Maplink1</v>
      </c>
      <c r="AT2326" s="20" t="str">
        <f aca="false">HYPERLINK("https://www.google.iq/maps/search/+31.8724,47.1436/@31.8724,47.1436,14z?hl=en","Maplink2")</f>
        <v>Maplink2</v>
      </c>
      <c r="AU2326" s="20" t="str">
        <f aca="false">HYPERLINK("http://www.bing.com/maps/?lvl=14&amp;sty=h&amp;cp=31.8724~47.1436&amp;sp=point.31.8724_47.1436","Maplink3")</f>
        <v>Maplink3</v>
      </c>
    </row>
    <row r="2327" customFormat="false" ht="15" hidden="false" customHeight="true" outlineLevel="0" collapsed="false">
      <c r="A2327" s="15" t="n">
        <v>24486</v>
      </c>
      <c r="B2327" s="16" t="s">
        <v>24</v>
      </c>
      <c r="C2327" s="16" t="s">
        <v>4446</v>
      </c>
      <c r="D2327" s="16" t="s">
        <v>4522</v>
      </c>
      <c r="E2327" s="17" t="s">
        <v>4523</v>
      </c>
      <c r="F2327" s="16" t="n">
        <v>32.02899105</v>
      </c>
      <c r="G2327" s="16" t="n">
        <v>46.88752622</v>
      </c>
      <c r="H2327" s="18" t="n">
        <v>17</v>
      </c>
      <c r="I2327" s="18" t="n">
        <v>102</v>
      </c>
      <c r="J2327" s="19"/>
      <c r="K2327" s="19"/>
      <c r="L2327" s="19"/>
      <c r="M2327" s="19"/>
      <c r="N2327" s="19"/>
      <c r="O2327" s="19" t="n">
        <v>2</v>
      </c>
      <c r="P2327" s="19"/>
      <c r="Q2327" s="19"/>
      <c r="R2327" s="19"/>
      <c r="S2327" s="19"/>
      <c r="T2327" s="19"/>
      <c r="U2327" s="19"/>
      <c r="V2327" s="19" t="n">
        <v>15</v>
      </c>
      <c r="W2327" s="19"/>
      <c r="X2327" s="19"/>
      <c r="Y2327" s="19"/>
      <c r="Z2327" s="19"/>
      <c r="AA2327" s="19"/>
      <c r="AB2327" s="19"/>
      <c r="AC2327" s="19" t="n">
        <v>2</v>
      </c>
      <c r="AD2327" s="19"/>
      <c r="AE2327" s="19"/>
      <c r="AF2327" s="19"/>
      <c r="AG2327" s="19"/>
      <c r="AH2327" s="19" t="n">
        <v>2</v>
      </c>
      <c r="AI2327" s="19"/>
      <c r="AJ2327" s="19" t="n">
        <v>13</v>
      </c>
      <c r="AK2327" s="19"/>
      <c r="AL2327" s="19"/>
      <c r="AM2327" s="19" t="n">
        <v>2</v>
      </c>
      <c r="AN2327" s="19" t="n">
        <v>14</v>
      </c>
      <c r="AO2327" s="19"/>
      <c r="AP2327" s="19" t="n">
        <v>1</v>
      </c>
      <c r="AQ2327" s="19"/>
      <c r="AR2327" s="19"/>
      <c r="AS2327" s="20" t="str">
        <f aca="false">HYPERLINK("http://www.openstreetmap.org/?mlat=32.029&amp;mlon=46.8875&amp;zoom=12#map=12/32.029/46.8875","Maplink1")</f>
        <v>Maplink1</v>
      </c>
      <c r="AT2327" s="20" t="str">
        <f aca="false">HYPERLINK("https://www.google.iq/maps/search/+32.029,46.8875/@32.029,46.8875,14z?hl=en","Maplink2")</f>
        <v>Maplink2</v>
      </c>
      <c r="AU2327" s="20" t="str">
        <f aca="false">HYPERLINK("http://www.bing.com/maps/?lvl=14&amp;sty=h&amp;cp=32.029~46.8875&amp;sp=point.32.029_46.8875","Maplink3")</f>
        <v>Maplink3</v>
      </c>
    </row>
    <row r="2328" customFormat="false" ht="15" hidden="false" customHeight="true" outlineLevel="0" collapsed="false">
      <c r="A2328" s="15" t="n">
        <v>16497</v>
      </c>
      <c r="B2328" s="16" t="s">
        <v>24</v>
      </c>
      <c r="C2328" s="16" t="s">
        <v>4446</v>
      </c>
      <c r="D2328" s="16" t="s">
        <v>4524</v>
      </c>
      <c r="E2328" s="17" t="s">
        <v>4068</v>
      </c>
      <c r="F2328" s="16" t="n">
        <v>31.83443987</v>
      </c>
      <c r="G2328" s="16" t="n">
        <v>47.14458318</v>
      </c>
      <c r="H2328" s="18" t="n">
        <v>5</v>
      </c>
      <c r="I2328" s="18" t="n">
        <v>30</v>
      </c>
      <c r="J2328" s="19"/>
      <c r="K2328" s="19"/>
      <c r="L2328" s="19"/>
      <c r="M2328" s="19"/>
      <c r="N2328" s="19"/>
      <c r="O2328" s="19"/>
      <c r="P2328" s="19"/>
      <c r="Q2328" s="19"/>
      <c r="R2328" s="19" t="n">
        <v>1</v>
      </c>
      <c r="S2328" s="19"/>
      <c r="T2328" s="19"/>
      <c r="U2328" s="19"/>
      <c r="V2328" s="19" t="n">
        <v>4</v>
      </c>
      <c r="W2328" s="19"/>
      <c r="X2328" s="19"/>
      <c r="Y2328" s="19"/>
      <c r="Z2328" s="19"/>
      <c r="AA2328" s="19"/>
      <c r="AB2328" s="19"/>
      <c r="AC2328" s="19" t="n">
        <v>1</v>
      </c>
      <c r="AD2328" s="19"/>
      <c r="AE2328" s="19"/>
      <c r="AF2328" s="19"/>
      <c r="AG2328" s="19"/>
      <c r="AH2328" s="19" t="n">
        <v>4</v>
      </c>
      <c r="AI2328" s="19"/>
      <c r="AJ2328" s="19"/>
      <c r="AK2328" s="19"/>
      <c r="AL2328" s="19"/>
      <c r="AM2328" s="19"/>
      <c r="AN2328" s="19" t="n">
        <v>4</v>
      </c>
      <c r="AO2328" s="19" t="n">
        <v>1</v>
      </c>
      <c r="AP2328" s="19"/>
      <c r="AQ2328" s="19"/>
      <c r="AR2328" s="19"/>
      <c r="AS2328" s="20" t="str">
        <f aca="false">HYPERLINK("http://www.openstreetmap.org/?mlat=31.8344&amp;mlon=47.1446&amp;zoom=12#map=12/31.8344/47.1446","Maplink1")</f>
        <v>Maplink1</v>
      </c>
      <c r="AT2328" s="20" t="str">
        <f aca="false">HYPERLINK("https://www.google.iq/maps/search/+31.8344,47.1446/@31.8344,47.1446,14z?hl=en","Maplink2")</f>
        <v>Maplink2</v>
      </c>
      <c r="AU2328" s="20" t="str">
        <f aca="false">HYPERLINK("http://www.bing.com/maps/?lvl=14&amp;sty=h&amp;cp=31.8344~47.1446&amp;sp=point.31.8344_47.1446","Maplink3")</f>
        <v>Maplink3</v>
      </c>
    </row>
    <row r="2329" customFormat="false" ht="15" hidden="false" customHeight="true" outlineLevel="0" collapsed="false">
      <c r="A2329" s="15" t="n">
        <v>16844</v>
      </c>
      <c r="B2329" s="16" t="s">
        <v>24</v>
      </c>
      <c r="C2329" s="16" t="s">
        <v>4446</v>
      </c>
      <c r="D2329" s="16" t="s">
        <v>4525</v>
      </c>
      <c r="E2329" s="17" t="s">
        <v>4526</v>
      </c>
      <c r="F2329" s="16" t="n">
        <v>31.83343953</v>
      </c>
      <c r="G2329" s="16" t="n">
        <v>47.15258497</v>
      </c>
      <c r="H2329" s="18" t="n">
        <v>8</v>
      </c>
      <c r="I2329" s="18" t="n">
        <v>48</v>
      </c>
      <c r="J2329" s="19" t="n">
        <v>3</v>
      </c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 t="n">
        <v>1</v>
      </c>
      <c r="W2329" s="19"/>
      <c r="X2329" s="19" t="n">
        <v>4</v>
      </c>
      <c r="Y2329" s="19"/>
      <c r="Z2329" s="19"/>
      <c r="AA2329" s="19"/>
      <c r="AB2329" s="19"/>
      <c r="AC2329" s="19" t="n">
        <v>3</v>
      </c>
      <c r="AD2329" s="19"/>
      <c r="AE2329" s="19"/>
      <c r="AF2329" s="19"/>
      <c r="AG2329" s="19"/>
      <c r="AH2329" s="19" t="n">
        <v>5</v>
      </c>
      <c r="AI2329" s="19"/>
      <c r="AJ2329" s="19"/>
      <c r="AK2329" s="19"/>
      <c r="AL2329" s="19"/>
      <c r="AM2329" s="19" t="n">
        <v>1</v>
      </c>
      <c r="AN2329" s="19" t="n">
        <v>1</v>
      </c>
      <c r="AO2329" s="19" t="n">
        <v>6</v>
      </c>
      <c r="AP2329" s="19"/>
      <c r="AQ2329" s="19"/>
      <c r="AR2329" s="19"/>
      <c r="AS2329" s="20" t="str">
        <f aca="false">HYPERLINK("http://www.openstreetmap.org/?mlat=31.8334&amp;mlon=47.1526&amp;zoom=12#map=12/31.8334/47.1526","Maplink1")</f>
        <v>Maplink1</v>
      </c>
      <c r="AT2329" s="20" t="str">
        <f aca="false">HYPERLINK("https://www.google.iq/maps/search/+31.8334,47.1526/@31.8334,47.1526,14z?hl=en","Maplink2")</f>
        <v>Maplink2</v>
      </c>
      <c r="AU2329" s="20" t="str">
        <f aca="false">HYPERLINK("http://www.bing.com/maps/?lvl=14&amp;sty=h&amp;cp=31.8334~47.1526&amp;sp=point.31.8334_47.1526","Maplink3")</f>
        <v>Maplink3</v>
      </c>
    </row>
    <row r="2330" customFormat="false" ht="15" hidden="false" customHeight="true" outlineLevel="0" collapsed="false">
      <c r="A2330" s="15" t="n">
        <v>16847</v>
      </c>
      <c r="B2330" s="16" t="s">
        <v>24</v>
      </c>
      <c r="C2330" s="16" t="s">
        <v>4446</v>
      </c>
      <c r="D2330" s="16" t="s">
        <v>4527</v>
      </c>
      <c r="E2330" s="17" t="s">
        <v>4528</v>
      </c>
      <c r="F2330" s="16" t="n">
        <v>32.03447194</v>
      </c>
      <c r="G2330" s="16" t="n">
        <v>46.87840738</v>
      </c>
      <c r="H2330" s="18" t="n">
        <v>1</v>
      </c>
      <c r="I2330" s="18" t="n">
        <v>6</v>
      </c>
      <c r="J2330" s="19"/>
      <c r="K2330" s="19"/>
      <c r="L2330" s="19" t="n">
        <v>1</v>
      </c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19"/>
      <c r="AH2330" s="19" t="n">
        <v>1</v>
      </c>
      <c r="AI2330" s="19"/>
      <c r="AJ2330" s="19"/>
      <c r="AK2330" s="19"/>
      <c r="AL2330" s="19"/>
      <c r="AM2330" s="19"/>
      <c r="AN2330" s="19" t="n">
        <v>1</v>
      </c>
      <c r="AO2330" s="19"/>
      <c r="AP2330" s="19"/>
      <c r="AQ2330" s="19"/>
      <c r="AR2330" s="19"/>
      <c r="AS2330" s="20" t="str">
        <f aca="false">HYPERLINK("http://www.openstreetmap.org/?mlat=32.0345&amp;mlon=46.8784&amp;zoom=12#map=12/32.0345/46.8784","Maplink1")</f>
        <v>Maplink1</v>
      </c>
      <c r="AT2330" s="20" t="str">
        <f aca="false">HYPERLINK("https://www.google.iq/maps/search/+32.0345,46.8784/@32.0345,46.8784,14z?hl=en","Maplink2")</f>
        <v>Maplink2</v>
      </c>
      <c r="AU2330" s="20" t="str">
        <f aca="false">HYPERLINK("http://www.bing.com/maps/?lvl=14&amp;sty=h&amp;cp=32.0345~46.8784&amp;sp=point.32.0345_46.8784","Maplink3")</f>
        <v>Maplink3</v>
      </c>
    </row>
    <row r="2331" customFormat="false" ht="15" hidden="false" customHeight="true" outlineLevel="0" collapsed="false">
      <c r="A2331" s="15" t="n">
        <v>16813</v>
      </c>
      <c r="B2331" s="16" t="s">
        <v>24</v>
      </c>
      <c r="C2331" s="16" t="s">
        <v>4446</v>
      </c>
      <c r="D2331" s="16" t="s">
        <v>4529</v>
      </c>
      <c r="E2331" s="17" t="s">
        <v>4530</v>
      </c>
      <c r="F2331" s="16" t="n">
        <v>31.87282865</v>
      </c>
      <c r="G2331" s="16" t="n">
        <v>47.13460562</v>
      </c>
      <c r="H2331" s="18" t="n">
        <v>9</v>
      </c>
      <c r="I2331" s="18" t="n">
        <v>54</v>
      </c>
      <c r="J2331" s="19"/>
      <c r="K2331" s="19"/>
      <c r="L2331" s="19"/>
      <c r="M2331" s="19"/>
      <c r="N2331" s="19"/>
      <c r="O2331" s="19" t="n">
        <v>2</v>
      </c>
      <c r="P2331" s="19"/>
      <c r="Q2331" s="19"/>
      <c r="R2331" s="19" t="n">
        <v>3</v>
      </c>
      <c r="S2331" s="19"/>
      <c r="T2331" s="19"/>
      <c r="U2331" s="19"/>
      <c r="V2331" s="19" t="n">
        <v>4</v>
      </c>
      <c r="W2331" s="19"/>
      <c r="X2331" s="19"/>
      <c r="Y2331" s="19"/>
      <c r="Z2331" s="19"/>
      <c r="AA2331" s="19"/>
      <c r="AB2331" s="19"/>
      <c r="AC2331" s="19" t="n">
        <v>5</v>
      </c>
      <c r="AD2331" s="19"/>
      <c r="AE2331" s="19" t="n">
        <v>2</v>
      </c>
      <c r="AF2331" s="19"/>
      <c r="AG2331" s="19"/>
      <c r="AH2331" s="19" t="n">
        <v>2</v>
      </c>
      <c r="AI2331" s="19"/>
      <c r="AJ2331" s="19"/>
      <c r="AK2331" s="19"/>
      <c r="AL2331" s="19"/>
      <c r="AM2331" s="19" t="n">
        <v>3</v>
      </c>
      <c r="AN2331" s="19" t="n">
        <v>5</v>
      </c>
      <c r="AO2331" s="19" t="n">
        <v>1</v>
      </c>
      <c r="AP2331" s="19"/>
      <c r="AQ2331" s="19"/>
      <c r="AR2331" s="19"/>
      <c r="AS2331" s="20" t="str">
        <f aca="false">HYPERLINK("http://www.openstreetmap.org/?mlat=31.8728&amp;mlon=47.1346&amp;zoom=12#map=12/31.8728/47.1346","Maplink1")</f>
        <v>Maplink1</v>
      </c>
      <c r="AT2331" s="20" t="str">
        <f aca="false">HYPERLINK("https://www.google.iq/maps/search/+31.8728,47.1346/@31.8728,47.1346,14z?hl=en","Maplink2")</f>
        <v>Maplink2</v>
      </c>
      <c r="AU2331" s="20" t="str">
        <f aca="false">HYPERLINK("http://www.bing.com/maps/?lvl=14&amp;sty=h&amp;cp=31.8728~47.1346&amp;sp=point.31.8728_47.1346","Maplink3")</f>
        <v>Maplink3</v>
      </c>
    </row>
    <row r="2332" customFormat="false" ht="15" hidden="false" customHeight="true" outlineLevel="0" collapsed="false">
      <c r="A2332" s="15" t="n">
        <v>16814</v>
      </c>
      <c r="B2332" s="16" t="s">
        <v>24</v>
      </c>
      <c r="C2332" s="16" t="s">
        <v>4446</v>
      </c>
      <c r="D2332" s="16" t="s">
        <v>4531</v>
      </c>
      <c r="E2332" s="17" t="s">
        <v>4532</v>
      </c>
      <c r="F2332" s="16" t="n">
        <v>31.84787908</v>
      </c>
      <c r="G2332" s="16" t="n">
        <v>47.17254957</v>
      </c>
      <c r="H2332" s="18" t="n">
        <v>10</v>
      </c>
      <c r="I2332" s="18" t="n">
        <v>60</v>
      </c>
      <c r="J2332" s="19"/>
      <c r="K2332" s="19" t="n">
        <v>1</v>
      </c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 t="n">
        <v>9</v>
      </c>
      <c r="W2332" s="19"/>
      <c r="X2332" s="19"/>
      <c r="Y2332" s="19"/>
      <c r="Z2332" s="19"/>
      <c r="AA2332" s="19"/>
      <c r="AB2332" s="19"/>
      <c r="AC2332" s="19" t="n">
        <v>5</v>
      </c>
      <c r="AD2332" s="19"/>
      <c r="AE2332" s="19"/>
      <c r="AF2332" s="19"/>
      <c r="AG2332" s="19"/>
      <c r="AH2332" s="19" t="n">
        <v>5</v>
      </c>
      <c r="AI2332" s="19"/>
      <c r="AJ2332" s="19"/>
      <c r="AK2332" s="19"/>
      <c r="AL2332" s="19"/>
      <c r="AM2332" s="19" t="n">
        <v>1</v>
      </c>
      <c r="AN2332" s="19" t="n">
        <v>9</v>
      </c>
      <c r="AO2332" s="19"/>
      <c r="AP2332" s="19"/>
      <c r="AQ2332" s="19"/>
      <c r="AR2332" s="19"/>
      <c r="AS2332" s="20" t="str">
        <f aca="false">HYPERLINK("http://www.openstreetmap.org/?mlat=31.8479&amp;mlon=47.1725&amp;zoom=12#map=12/31.8479/47.1725","Maplink1")</f>
        <v>Maplink1</v>
      </c>
      <c r="AT2332" s="20" t="str">
        <f aca="false">HYPERLINK("https://www.google.iq/maps/search/+31.8479,47.1725/@31.8479,47.1725,14z?hl=en","Maplink2")</f>
        <v>Maplink2</v>
      </c>
      <c r="AU2332" s="20" t="str">
        <f aca="false">HYPERLINK("http://www.bing.com/maps/?lvl=14&amp;sty=h&amp;cp=31.8479~47.1725&amp;sp=point.31.8479_47.1725","Maplink3")</f>
        <v>Maplink3</v>
      </c>
    </row>
    <row r="2333" customFormat="false" ht="15" hidden="false" customHeight="true" outlineLevel="0" collapsed="false">
      <c r="A2333" s="15" t="n">
        <v>22826</v>
      </c>
      <c r="B2333" s="16" t="s">
        <v>24</v>
      </c>
      <c r="C2333" s="16" t="s">
        <v>4446</v>
      </c>
      <c r="D2333" s="16" t="s">
        <v>4533</v>
      </c>
      <c r="E2333" s="17" t="s">
        <v>4534</v>
      </c>
      <c r="F2333" s="16" t="n">
        <v>31.8520795</v>
      </c>
      <c r="G2333" s="16" t="n">
        <v>47.17124409</v>
      </c>
      <c r="H2333" s="18" t="n">
        <v>5</v>
      </c>
      <c r="I2333" s="18" t="n">
        <v>30</v>
      </c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 t="n">
        <v>5</v>
      </c>
      <c r="W2333" s="19"/>
      <c r="X2333" s="19"/>
      <c r="Y2333" s="19"/>
      <c r="Z2333" s="19"/>
      <c r="AA2333" s="19"/>
      <c r="AB2333" s="19"/>
      <c r="AC2333" s="19" t="n">
        <v>3</v>
      </c>
      <c r="AD2333" s="19"/>
      <c r="AE2333" s="19"/>
      <c r="AF2333" s="19"/>
      <c r="AG2333" s="19"/>
      <c r="AH2333" s="19" t="n">
        <v>2</v>
      </c>
      <c r="AI2333" s="19"/>
      <c r="AJ2333" s="19"/>
      <c r="AK2333" s="19"/>
      <c r="AL2333" s="19"/>
      <c r="AM2333" s="19"/>
      <c r="AN2333" s="19" t="n">
        <v>5</v>
      </c>
      <c r="AO2333" s="19"/>
      <c r="AP2333" s="19"/>
      <c r="AQ2333" s="19"/>
      <c r="AR2333" s="19"/>
      <c r="AS2333" s="20" t="str">
        <f aca="false">HYPERLINK("http://www.openstreetmap.org/?mlat=31.8521&amp;mlon=47.1712&amp;zoom=12#map=12/31.8521/47.1712","Maplink1")</f>
        <v>Maplink1</v>
      </c>
      <c r="AT2333" s="20" t="str">
        <f aca="false">HYPERLINK("https://www.google.iq/maps/search/+31.8521,47.1712/@31.8521,47.1712,14z?hl=en","Maplink2")</f>
        <v>Maplink2</v>
      </c>
      <c r="AU2333" s="20" t="str">
        <f aca="false">HYPERLINK("http://www.bing.com/maps/?lvl=14&amp;sty=h&amp;cp=31.8521~47.1712&amp;sp=point.31.8521_47.1712","Maplink3")</f>
        <v>Maplink3</v>
      </c>
    </row>
    <row r="2334" customFormat="false" ht="15" hidden="false" customHeight="true" outlineLevel="0" collapsed="false">
      <c r="A2334" s="15" t="n">
        <v>24199</v>
      </c>
      <c r="B2334" s="16" t="s">
        <v>24</v>
      </c>
      <c r="C2334" s="16" t="s">
        <v>4446</v>
      </c>
      <c r="D2334" s="16" t="s">
        <v>4535</v>
      </c>
      <c r="E2334" s="17" t="s">
        <v>4536</v>
      </c>
      <c r="F2334" s="16" t="n">
        <v>31.84429536</v>
      </c>
      <c r="G2334" s="16" t="n">
        <v>47.14592312</v>
      </c>
      <c r="H2334" s="18" t="n">
        <v>4</v>
      </c>
      <c r="I2334" s="18" t="n">
        <v>24</v>
      </c>
      <c r="J2334" s="19"/>
      <c r="K2334" s="19"/>
      <c r="L2334" s="19"/>
      <c r="M2334" s="19"/>
      <c r="N2334" s="19"/>
      <c r="O2334" s="19"/>
      <c r="P2334" s="19"/>
      <c r="Q2334" s="19"/>
      <c r="R2334" s="19" t="n">
        <v>2</v>
      </c>
      <c r="S2334" s="19"/>
      <c r="T2334" s="19"/>
      <c r="U2334" s="19"/>
      <c r="V2334" s="19" t="n">
        <v>2</v>
      </c>
      <c r="W2334" s="19"/>
      <c r="X2334" s="19"/>
      <c r="Y2334" s="19"/>
      <c r="Z2334" s="19"/>
      <c r="AA2334" s="19"/>
      <c r="AB2334" s="19"/>
      <c r="AC2334" s="19" t="n">
        <v>1</v>
      </c>
      <c r="AD2334" s="19"/>
      <c r="AE2334" s="19" t="n">
        <v>1</v>
      </c>
      <c r="AF2334" s="19"/>
      <c r="AG2334" s="19"/>
      <c r="AH2334" s="19" t="n">
        <v>2</v>
      </c>
      <c r="AI2334" s="19"/>
      <c r="AJ2334" s="19"/>
      <c r="AK2334" s="19"/>
      <c r="AL2334" s="19"/>
      <c r="AM2334" s="19" t="n">
        <v>2</v>
      </c>
      <c r="AN2334" s="19"/>
      <c r="AO2334" s="19" t="n">
        <v>2</v>
      </c>
      <c r="AP2334" s="19"/>
      <c r="AQ2334" s="19"/>
      <c r="AR2334" s="19"/>
      <c r="AS2334" s="20" t="str">
        <f aca="false">HYPERLINK("http://www.openstreetmap.org/?mlat=31.8443&amp;mlon=47.1459&amp;zoom=12#map=12/31.8443/47.1459","Maplink1")</f>
        <v>Maplink1</v>
      </c>
      <c r="AT2334" s="20" t="str">
        <f aca="false">HYPERLINK("https://www.google.iq/maps/search/+31.8443,47.1459/@31.8443,47.1459,14z?hl=en","Maplink2")</f>
        <v>Maplink2</v>
      </c>
      <c r="AU2334" s="20" t="str">
        <f aca="false">HYPERLINK("http://www.bing.com/maps/?lvl=14&amp;sty=h&amp;cp=31.8443~47.1459&amp;sp=point.31.8443_47.1459","Maplink3")</f>
        <v>Maplink3</v>
      </c>
    </row>
    <row r="2335" customFormat="false" ht="15" hidden="false" customHeight="true" outlineLevel="0" collapsed="false">
      <c r="A2335" s="15" t="n">
        <v>22889</v>
      </c>
      <c r="B2335" s="16" t="s">
        <v>24</v>
      </c>
      <c r="C2335" s="16" t="s">
        <v>4446</v>
      </c>
      <c r="D2335" s="16" t="s">
        <v>4537</v>
      </c>
      <c r="E2335" s="17" t="s">
        <v>4538</v>
      </c>
      <c r="F2335" s="16" t="n">
        <v>31.80845581</v>
      </c>
      <c r="G2335" s="16" t="n">
        <v>47.14792262</v>
      </c>
      <c r="H2335" s="18" t="n">
        <v>6</v>
      </c>
      <c r="I2335" s="18" t="n">
        <v>36</v>
      </c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 t="n">
        <v>6</v>
      </c>
      <c r="Y2335" s="19"/>
      <c r="Z2335" s="19"/>
      <c r="AA2335" s="19"/>
      <c r="AB2335" s="19"/>
      <c r="AC2335" s="19" t="n">
        <v>4</v>
      </c>
      <c r="AD2335" s="19"/>
      <c r="AE2335" s="19"/>
      <c r="AF2335" s="19"/>
      <c r="AG2335" s="19"/>
      <c r="AH2335" s="19" t="n">
        <v>2</v>
      </c>
      <c r="AI2335" s="19"/>
      <c r="AJ2335" s="19"/>
      <c r="AK2335" s="19"/>
      <c r="AL2335" s="19"/>
      <c r="AM2335" s="19" t="n">
        <v>3</v>
      </c>
      <c r="AN2335" s="19" t="n">
        <v>1</v>
      </c>
      <c r="AO2335" s="19" t="n">
        <v>2</v>
      </c>
      <c r="AP2335" s="19"/>
      <c r="AQ2335" s="19"/>
      <c r="AR2335" s="19"/>
      <c r="AS2335" s="20" t="str">
        <f aca="false">HYPERLINK("http://www.openstreetmap.org/?mlat=31.8085&amp;mlon=47.1479&amp;zoom=12#map=12/31.8085/47.1479","Maplink1")</f>
        <v>Maplink1</v>
      </c>
      <c r="AT2335" s="20" t="str">
        <f aca="false">HYPERLINK("https://www.google.iq/maps/search/+31.8085,47.1479/@31.8085,47.1479,14z?hl=en","Maplink2")</f>
        <v>Maplink2</v>
      </c>
      <c r="AU2335" s="20" t="str">
        <f aca="false">HYPERLINK("http://www.bing.com/maps/?lvl=14&amp;sty=h&amp;cp=31.8085~47.1479&amp;sp=point.31.8085_47.1479","Maplink3")</f>
        <v>Maplink3</v>
      </c>
    </row>
    <row r="2336" customFormat="false" ht="15" hidden="false" customHeight="true" outlineLevel="0" collapsed="false">
      <c r="A2336" s="15" t="n">
        <v>21369</v>
      </c>
      <c r="B2336" s="16" t="s">
        <v>24</v>
      </c>
      <c r="C2336" s="16" t="s">
        <v>4539</v>
      </c>
      <c r="D2336" s="16" t="s">
        <v>4540</v>
      </c>
      <c r="E2336" s="17" t="s">
        <v>4541</v>
      </c>
      <c r="F2336" s="16" t="n">
        <v>31.51893552</v>
      </c>
      <c r="G2336" s="16" t="n">
        <v>47.28952968</v>
      </c>
      <c r="H2336" s="18" t="n">
        <v>2</v>
      </c>
      <c r="I2336" s="18" t="n">
        <v>12</v>
      </c>
      <c r="J2336" s="19"/>
      <c r="K2336" s="19"/>
      <c r="L2336" s="19"/>
      <c r="M2336" s="19"/>
      <c r="N2336" s="19"/>
      <c r="O2336" s="19"/>
      <c r="P2336" s="19"/>
      <c r="Q2336" s="19"/>
      <c r="R2336" s="19" t="n">
        <v>1</v>
      </c>
      <c r="S2336" s="19"/>
      <c r="T2336" s="19"/>
      <c r="U2336" s="19"/>
      <c r="V2336" s="19" t="n">
        <v>1</v>
      </c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19"/>
      <c r="AH2336" s="19" t="n">
        <v>2</v>
      </c>
      <c r="AI2336" s="19"/>
      <c r="AJ2336" s="19"/>
      <c r="AK2336" s="19"/>
      <c r="AL2336" s="19"/>
      <c r="AM2336" s="19" t="n">
        <v>2</v>
      </c>
      <c r="AN2336" s="19"/>
      <c r="AO2336" s="19"/>
      <c r="AP2336" s="19"/>
      <c r="AQ2336" s="19"/>
      <c r="AR2336" s="19"/>
      <c r="AS2336" s="20" t="str">
        <f aca="false">HYPERLINK("http://www.openstreetmap.org/?mlat=31.5189&amp;mlon=47.2895&amp;zoom=12#map=12/31.5189/47.2895","Maplink1")</f>
        <v>Maplink1</v>
      </c>
      <c r="AT2336" s="20" t="str">
        <f aca="false">HYPERLINK("https://www.google.iq/maps/search/+31.5189,47.2895/@31.5189,47.2895,14z?hl=en","Maplink2")</f>
        <v>Maplink2</v>
      </c>
      <c r="AU2336" s="20" t="str">
        <f aca="false">HYPERLINK("http://www.bing.com/maps/?lvl=14&amp;sty=h&amp;cp=31.5189~47.2895&amp;sp=point.31.5189_47.2895","Maplink3")</f>
        <v>Maplink3</v>
      </c>
    </row>
    <row r="2337" customFormat="false" ht="15" hidden="false" customHeight="true" outlineLevel="0" collapsed="false">
      <c r="A2337" s="15" t="n">
        <v>15777</v>
      </c>
      <c r="B2337" s="16" t="s">
        <v>24</v>
      </c>
      <c r="C2337" s="16" t="s">
        <v>4539</v>
      </c>
      <c r="D2337" s="16" t="s">
        <v>4542</v>
      </c>
      <c r="E2337" s="17" t="s">
        <v>4543</v>
      </c>
      <c r="F2337" s="16" t="n">
        <v>31.52103129</v>
      </c>
      <c r="G2337" s="16" t="n">
        <v>47.29567705</v>
      </c>
      <c r="H2337" s="18" t="n">
        <v>5</v>
      </c>
      <c r="I2337" s="18" t="n">
        <v>30</v>
      </c>
      <c r="J2337" s="19"/>
      <c r="K2337" s="19"/>
      <c r="L2337" s="19"/>
      <c r="M2337" s="19"/>
      <c r="N2337" s="19"/>
      <c r="O2337" s="19"/>
      <c r="P2337" s="19"/>
      <c r="Q2337" s="19"/>
      <c r="R2337" s="19" t="n">
        <v>1</v>
      </c>
      <c r="S2337" s="19"/>
      <c r="T2337" s="19"/>
      <c r="U2337" s="19"/>
      <c r="V2337" s="19" t="n">
        <v>4</v>
      </c>
      <c r="W2337" s="19"/>
      <c r="X2337" s="19"/>
      <c r="Y2337" s="19"/>
      <c r="Z2337" s="19"/>
      <c r="AA2337" s="19"/>
      <c r="AB2337" s="19"/>
      <c r="AC2337" s="19" t="n">
        <v>2</v>
      </c>
      <c r="AD2337" s="19"/>
      <c r="AE2337" s="19"/>
      <c r="AF2337" s="19"/>
      <c r="AG2337" s="19"/>
      <c r="AH2337" s="19" t="n">
        <v>3</v>
      </c>
      <c r="AI2337" s="19"/>
      <c r="AJ2337" s="19"/>
      <c r="AK2337" s="19"/>
      <c r="AL2337" s="19"/>
      <c r="AM2337" s="19"/>
      <c r="AN2337" s="19" t="n">
        <v>4</v>
      </c>
      <c r="AO2337" s="19"/>
      <c r="AP2337" s="19"/>
      <c r="AQ2337" s="19" t="n">
        <v>1</v>
      </c>
      <c r="AR2337" s="19"/>
      <c r="AS2337" s="20" t="str">
        <f aca="false">HYPERLINK("http://www.openstreetmap.org/?mlat=31.521&amp;mlon=47.2957&amp;zoom=12#map=12/31.521/47.2957","Maplink1")</f>
        <v>Maplink1</v>
      </c>
      <c r="AT2337" s="20" t="str">
        <f aca="false">HYPERLINK("https://www.google.iq/maps/search/+31.521,47.2957/@31.521,47.2957,14z?hl=en","Maplink2")</f>
        <v>Maplink2</v>
      </c>
      <c r="AU2337" s="20" t="str">
        <f aca="false">HYPERLINK("http://www.bing.com/maps/?lvl=14&amp;sty=h&amp;cp=31.521~47.2957&amp;sp=point.31.521_47.2957","Maplink3")</f>
        <v>Maplink3</v>
      </c>
    </row>
    <row r="2338" customFormat="false" ht="15" hidden="false" customHeight="true" outlineLevel="0" collapsed="false">
      <c r="A2338" s="15" t="n">
        <v>21370</v>
      </c>
      <c r="B2338" s="16" t="s">
        <v>24</v>
      </c>
      <c r="C2338" s="16" t="s">
        <v>4539</v>
      </c>
      <c r="D2338" s="16" t="s">
        <v>4433</v>
      </c>
      <c r="E2338" s="17" t="s">
        <v>4434</v>
      </c>
      <c r="F2338" s="16" t="n">
        <v>31.52168902</v>
      </c>
      <c r="G2338" s="16" t="n">
        <v>47.29003033</v>
      </c>
      <c r="H2338" s="18" t="n">
        <v>5</v>
      </c>
      <c r="I2338" s="18" t="n">
        <v>30</v>
      </c>
      <c r="J2338" s="19" t="n">
        <v>1</v>
      </c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 t="n">
        <v>4</v>
      </c>
      <c r="W2338" s="19"/>
      <c r="X2338" s="19"/>
      <c r="Y2338" s="19"/>
      <c r="Z2338" s="19"/>
      <c r="AA2338" s="19"/>
      <c r="AB2338" s="19"/>
      <c r="AC2338" s="19" t="n">
        <v>2</v>
      </c>
      <c r="AD2338" s="19"/>
      <c r="AE2338" s="19"/>
      <c r="AF2338" s="19"/>
      <c r="AG2338" s="19"/>
      <c r="AH2338" s="19" t="n">
        <v>3</v>
      </c>
      <c r="AI2338" s="19"/>
      <c r="AJ2338" s="19"/>
      <c r="AK2338" s="19"/>
      <c r="AL2338" s="19"/>
      <c r="AM2338" s="19"/>
      <c r="AN2338" s="19" t="n">
        <v>1</v>
      </c>
      <c r="AO2338" s="19" t="n">
        <v>4</v>
      </c>
      <c r="AP2338" s="19"/>
      <c r="AQ2338" s="19"/>
      <c r="AR2338" s="19"/>
      <c r="AS2338" s="20" t="str">
        <f aca="false">HYPERLINK("http://www.openstreetmap.org/?mlat=31.5217&amp;mlon=47.29&amp;zoom=12#map=12/31.5217/47.29","Maplink1")</f>
        <v>Maplink1</v>
      </c>
      <c r="AT2338" s="20" t="str">
        <f aca="false">HYPERLINK("https://www.google.iq/maps/search/+31.5217,47.29/@31.5217,47.29,14z?hl=en","Maplink2")</f>
        <v>Maplink2</v>
      </c>
      <c r="AU2338" s="20" t="str">
        <f aca="false">HYPERLINK("http://www.bing.com/maps/?lvl=14&amp;sty=h&amp;cp=31.5217~47.29&amp;sp=point.31.5217_47.29","Maplink3")</f>
        <v>Maplink3</v>
      </c>
    </row>
    <row r="2339" customFormat="false" ht="15" hidden="false" customHeight="true" outlineLevel="0" collapsed="false">
      <c r="A2339" s="15" t="n">
        <v>23622</v>
      </c>
      <c r="B2339" s="16" t="s">
        <v>24</v>
      </c>
      <c r="C2339" s="16" t="s">
        <v>4539</v>
      </c>
      <c r="D2339" s="16" t="s">
        <v>4490</v>
      </c>
      <c r="E2339" s="17" t="s">
        <v>547</v>
      </c>
      <c r="F2339" s="16" t="n">
        <v>31.52818303</v>
      </c>
      <c r="G2339" s="16" t="n">
        <v>47.29204198</v>
      </c>
      <c r="H2339" s="18" t="n">
        <v>12</v>
      </c>
      <c r="I2339" s="18" t="n">
        <v>72</v>
      </c>
      <c r="J2339" s="19"/>
      <c r="K2339" s="19"/>
      <c r="L2339" s="19"/>
      <c r="M2339" s="19"/>
      <c r="N2339" s="19"/>
      <c r="O2339" s="19"/>
      <c r="P2339" s="19"/>
      <c r="Q2339" s="19"/>
      <c r="R2339" s="19" t="n">
        <v>3</v>
      </c>
      <c r="S2339" s="19"/>
      <c r="T2339" s="19"/>
      <c r="U2339" s="19"/>
      <c r="V2339" s="19" t="n">
        <v>9</v>
      </c>
      <c r="W2339" s="19"/>
      <c r="X2339" s="19"/>
      <c r="Y2339" s="19"/>
      <c r="Z2339" s="19"/>
      <c r="AA2339" s="19"/>
      <c r="AB2339" s="19"/>
      <c r="AC2339" s="19" t="n">
        <v>4</v>
      </c>
      <c r="AD2339" s="19"/>
      <c r="AE2339" s="19"/>
      <c r="AF2339" s="19"/>
      <c r="AG2339" s="19"/>
      <c r="AH2339" s="19" t="n">
        <v>8</v>
      </c>
      <c r="AI2339" s="19"/>
      <c r="AJ2339" s="19"/>
      <c r="AK2339" s="19"/>
      <c r="AL2339" s="19"/>
      <c r="AM2339" s="19" t="n">
        <v>8</v>
      </c>
      <c r="AN2339" s="19" t="n">
        <v>3</v>
      </c>
      <c r="AO2339" s="19"/>
      <c r="AP2339" s="19" t="n">
        <v>1</v>
      </c>
      <c r="AQ2339" s="19"/>
      <c r="AR2339" s="19"/>
      <c r="AS2339" s="20" t="str">
        <f aca="false">HYPERLINK("http://www.openstreetmap.org/?mlat=31.5282&amp;mlon=47.292&amp;zoom=12#map=12/31.5282/47.292","Maplink1")</f>
        <v>Maplink1</v>
      </c>
      <c r="AT2339" s="20" t="str">
        <f aca="false">HYPERLINK("https://www.google.iq/maps/search/+31.5282,47.292/@31.5282,47.292,14z?hl=en","Maplink2")</f>
        <v>Maplink2</v>
      </c>
      <c r="AU2339" s="20" t="str">
        <f aca="false">HYPERLINK("http://www.bing.com/maps/?lvl=14&amp;sty=h&amp;cp=31.5282~47.292&amp;sp=point.31.5282_47.292","Maplink3")</f>
        <v>Maplink3</v>
      </c>
    </row>
    <row r="2340" customFormat="false" ht="15" hidden="false" customHeight="true" outlineLevel="0" collapsed="false">
      <c r="A2340" s="15" t="n">
        <v>24548</v>
      </c>
      <c r="B2340" s="16" t="s">
        <v>24</v>
      </c>
      <c r="C2340" s="16" t="s">
        <v>4539</v>
      </c>
      <c r="D2340" s="16" t="s">
        <v>582</v>
      </c>
      <c r="E2340" s="17" t="s">
        <v>85</v>
      </c>
      <c r="F2340" s="16" t="n">
        <v>31.52703764</v>
      </c>
      <c r="G2340" s="16" t="n">
        <v>47.29662144</v>
      </c>
      <c r="H2340" s="18" t="n">
        <v>1</v>
      </c>
      <c r="I2340" s="18" t="n">
        <v>6</v>
      </c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 t="n">
        <v>1</v>
      </c>
      <c r="W2340" s="19"/>
      <c r="X2340" s="19"/>
      <c r="Y2340" s="19"/>
      <c r="Z2340" s="19"/>
      <c r="AA2340" s="19"/>
      <c r="AB2340" s="19"/>
      <c r="AC2340" s="19" t="n">
        <v>1</v>
      </c>
      <c r="AD2340" s="19"/>
      <c r="AE2340" s="19"/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n">
        <v>1</v>
      </c>
      <c r="AP2340" s="19"/>
      <c r="AQ2340" s="19"/>
      <c r="AR2340" s="19"/>
      <c r="AS2340" s="20" t="str">
        <f aca="false">HYPERLINK("http://www.openstreetmap.org/?mlat=31.527&amp;mlon=47.2966&amp;zoom=12#map=12/31.527/47.2966","Maplink1")</f>
        <v>Maplink1</v>
      </c>
      <c r="AT2340" s="20" t="str">
        <f aca="false">HYPERLINK("https://www.google.iq/maps/search/+31.527,47.2966/@31.527,47.2966,14z?hl=en","Maplink2")</f>
        <v>Maplink2</v>
      </c>
      <c r="AU2340" s="20" t="str">
        <f aca="false">HYPERLINK("http://www.bing.com/maps/?lvl=14&amp;sty=h&amp;cp=31.527~47.2966&amp;sp=point.31.527_47.2966","Maplink3")</f>
        <v>Maplink3</v>
      </c>
    </row>
    <row r="2341" customFormat="false" ht="15" hidden="false" customHeight="true" outlineLevel="0" collapsed="false">
      <c r="A2341" s="15" t="n">
        <v>16136</v>
      </c>
      <c r="B2341" s="16" t="s">
        <v>24</v>
      </c>
      <c r="C2341" s="16" t="s">
        <v>4539</v>
      </c>
      <c r="D2341" s="16" t="s">
        <v>4544</v>
      </c>
      <c r="E2341" s="17" t="s">
        <v>4489</v>
      </c>
      <c r="F2341" s="16" t="n">
        <v>31.51649916</v>
      </c>
      <c r="G2341" s="16" t="n">
        <v>47.28923086</v>
      </c>
      <c r="H2341" s="18" t="n">
        <v>3</v>
      </c>
      <c r="I2341" s="18" t="n">
        <v>18</v>
      </c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 t="n">
        <v>3</v>
      </c>
      <c r="W2341" s="19"/>
      <c r="X2341" s="19"/>
      <c r="Y2341" s="19"/>
      <c r="Z2341" s="19"/>
      <c r="AA2341" s="19"/>
      <c r="AB2341" s="19"/>
      <c r="AC2341" s="19" t="n">
        <v>3</v>
      </c>
      <c r="AD2341" s="19"/>
      <c r="AE2341" s="19"/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n">
        <v>3</v>
      </c>
      <c r="AP2341" s="19"/>
      <c r="AQ2341" s="19"/>
      <c r="AR2341" s="19"/>
      <c r="AS2341" s="20" t="str">
        <f aca="false">HYPERLINK("http://www.openstreetmap.org/?mlat=31.5165&amp;mlon=47.2892&amp;zoom=12#map=12/31.5165/47.2892","Maplink1")</f>
        <v>Maplink1</v>
      </c>
      <c r="AT2341" s="20" t="str">
        <f aca="false">HYPERLINK("https://www.google.iq/maps/search/+31.5165,47.2892/@31.5165,47.2892,14z?hl=en","Maplink2")</f>
        <v>Maplink2</v>
      </c>
      <c r="AU2341" s="20" t="str">
        <f aca="false">HYPERLINK("http://www.bing.com/maps/?lvl=14&amp;sty=h&amp;cp=31.5165~47.2892&amp;sp=point.31.5165_47.2892","Maplink3")</f>
        <v>Maplink3</v>
      </c>
    </row>
    <row r="2342" customFormat="false" ht="15" hidden="false" customHeight="true" outlineLevel="0" collapsed="false">
      <c r="A2342" s="15" t="n">
        <v>21371</v>
      </c>
      <c r="B2342" s="16" t="s">
        <v>24</v>
      </c>
      <c r="C2342" s="16" t="s">
        <v>4539</v>
      </c>
      <c r="D2342" s="16" t="s">
        <v>4545</v>
      </c>
      <c r="E2342" s="17" t="s">
        <v>4546</v>
      </c>
      <c r="F2342" s="16" t="n">
        <v>31.52424764</v>
      </c>
      <c r="G2342" s="16" t="n">
        <v>47.29112919</v>
      </c>
      <c r="H2342" s="18" t="n">
        <v>2</v>
      </c>
      <c r="I2342" s="18" t="n">
        <v>12</v>
      </c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 t="n">
        <v>2</v>
      </c>
      <c r="W2342" s="19"/>
      <c r="X2342" s="19"/>
      <c r="Y2342" s="19"/>
      <c r="Z2342" s="19"/>
      <c r="AA2342" s="19"/>
      <c r="AB2342" s="19"/>
      <c r="AC2342" s="19" t="n">
        <v>1</v>
      </c>
      <c r="AD2342" s="19"/>
      <c r="AE2342" s="19"/>
      <c r="AF2342" s="19"/>
      <c r="AG2342" s="19"/>
      <c r="AH2342" s="19" t="n">
        <v>1</v>
      </c>
      <c r="AI2342" s="19"/>
      <c r="AJ2342" s="19"/>
      <c r="AK2342" s="19"/>
      <c r="AL2342" s="19"/>
      <c r="AM2342" s="19"/>
      <c r="AN2342" s="19"/>
      <c r="AO2342" s="19" t="n">
        <v>2</v>
      </c>
      <c r="AP2342" s="19"/>
      <c r="AQ2342" s="19"/>
      <c r="AR2342" s="19"/>
      <c r="AS2342" s="20" t="str">
        <f aca="false">HYPERLINK("http://www.openstreetmap.org/?mlat=31.5242&amp;mlon=47.2911&amp;zoom=12#map=12/31.5242/47.2911","Maplink1")</f>
        <v>Maplink1</v>
      </c>
      <c r="AT2342" s="20" t="str">
        <f aca="false">HYPERLINK("https://www.google.iq/maps/search/+31.5242,47.2911/@31.5242,47.2911,14z?hl=en","Maplink2")</f>
        <v>Maplink2</v>
      </c>
      <c r="AU2342" s="20" t="str">
        <f aca="false">HYPERLINK("http://www.bing.com/maps/?lvl=14&amp;sty=h&amp;cp=31.5242~47.2911&amp;sp=point.31.5242_47.2911","Maplink3")</f>
        <v>Maplink3</v>
      </c>
    </row>
    <row r="2343" customFormat="false" ht="15" hidden="false" customHeight="true" outlineLevel="0" collapsed="false">
      <c r="A2343" s="15" t="n">
        <v>1450</v>
      </c>
      <c r="B2343" s="16" t="s">
        <v>25</v>
      </c>
      <c r="C2343" s="16" t="s">
        <v>4547</v>
      </c>
      <c r="D2343" s="16" t="s">
        <v>4548</v>
      </c>
      <c r="E2343" s="17" t="s">
        <v>79</v>
      </c>
      <c r="F2343" s="16" t="n">
        <v>31.20024743</v>
      </c>
      <c r="G2343" s="16" t="n">
        <v>45.53575893</v>
      </c>
      <c r="H2343" s="18" t="n">
        <v>13</v>
      </c>
      <c r="I2343" s="18" t="n">
        <v>78</v>
      </c>
      <c r="J2343" s="19" t="n">
        <v>3</v>
      </c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 t="n">
        <v>6</v>
      </c>
      <c r="W2343" s="19"/>
      <c r="X2343" s="19" t="n">
        <v>4</v>
      </c>
      <c r="Y2343" s="19"/>
      <c r="Z2343" s="19"/>
      <c r="AA2343" s="19"/>
      <c r="AB2343" s="19"/>
      <c r="AC2343" s="19" t="n">
        <v>6</v>
      </c>
      <c r="AD2343" s="19"/>
      <c r="AE2343" s="19"/>
      <c r="AF2343" s="19"/>
      <c r="AG2343" s="19"/>
      <c r="AH2343" s="19" t="n">
        <v>7</v>
      </c>
      <c r="AI2343" s="19"/>
      <c r="AJ2343" s="19"/>
      <c r="AK2343" s="19"/>
      <c r="AL2343" s="19" t="n">
        <v>1</v>
      </c>
      <c r="AM2343" s="19" t="n">
        <v>1</v>
      </c>
      <c r="AN2343" s="19" t="n">
        <v>7</v>
      </c>
      <c r="AO2343" s="19" t="n">
        <v>1</v>
      </c>
      <c r="AP2343" s="19" t="n">
        <v>3</v>
      </c>
      <c r="AQ2343" s="19"/>
      <c r="AR2343" s="19"/>
      <c r="AS2343" s="20" t="str">
        <f aca="false">HYPERLINK("http://www.openstreetmap.org/?mlat=31.2002&amp;mlon=45.5358&amp;zoom=12#map=12/31.2002/45.5358","Maplink1")</f>
        <v>Maplink1</v>
      </c>
      <c r="AT2343" s="20" t="str">
        <f aca="false">HYPERLINK("https://www.google.iq/maps/search/+31.2002,45.5358/@31.2002,45.5358,14z?hl=en","Maplink2")</f>
        <v>Maplink2</v>
      </c>
      <c r="AU2343" s="20" t="str">
        <f aca="false">HYPERLINK("http://www.bing.com/maps/?lvl=14&amp;sty=h&amp;cp=31.2002~45.5358&amp;sp=point.31.2002_45.5358","Maplink3")</f>
        <v>Maplink3</v>
      </c>
    </row>
    <row r="2344" customFormat="false" ht="15" hidden="false" customHeight="true" outlineLevel="0" collapsed="false">
      <c r="A2344" s="15" t="n">
        <v>27229</v>
      </c>
      <c r="B2344" s="16" t="s">
        <v>25</v>
      </c>
      <c r="C2344" s="16" t="s">
        <v>4547</v>
      </c>
      <c r="D2344" s="16" t="s">
        <v>4549</v>
      </c>
      <c r="E2344" s="17" t="s">
        <v>4550</v>
      </c>
      <c r="F2344" s="16" t="n">
        <v>31.18458912</v>
      </c>
      <c r="G2344" s="16" t="n">
        <v>45.55583057</v>
      </c>
      <c r="H2344" s="18" t="n">
        <v>20</v>
      </c>
      <c r="I2344" s="18" t="n">
        <v>120</v>
      </c>
      <c r="J2344" s="19" t="n">
        <v>5</v>
      </c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 t="n">
        <v>14</v>
      </c>
      <c r="W2344" s="19"/>
      <c r="X2344" s="19" t="n">
        <v>1</v>
      </c>
      <c r="Y2344" s="19"/>
      <c r="Z2344" s="19"/>
      <c r="AA2344" s="19"/>
      <c r="AB2344" s="19"/>
      <c r="AC2344" s="19" t="n">
        <v>13</v>
      </c>
      <c r="AD2344" s="19"/>
      <c r="AE2344" s="19"/>
      <c r="AF2344" s="19"/>
      <c r="AG2344" s="19"/>
      <c r="AH2344" s="19" t="n">
        <v>7</v>
      </c>
      <c r="AI2344" s="19"/>
      <c r="AJ2344" s="19"/>
      <c r="AK2344" s="19"/>
      <c r="AL2344" s="19"/>
      <c r="AM2344" s="19" t="n">
        <v>1</v>
      </c>
      <c r="AN2344" s="19" t="n">
        <v>14</v>
      </c>
      <c r="AO2344" s="19" t="n">
        <v>5</v>
      </c>
      <c r="AP2344" s="19"/>
      <c r="AQ2344" s="19"/>
      <c r="AR2344" s="19"/>
      <c r="AS2344" s="20" t="str">
        <f aca="false">HYPERLINK("http://www.openstreetmap.org/?mlat=31.1846&amp;mlon=45.5558&amp;zoom=12#map=12/31.1846/45.5558","Maplink1")</f>
        <v>Maplink1</v>
      </c>
      <c r="AT2344" s="20" t="str">
        <f aca="false">HYPERLINK("https://www.google.iq/maps/search/+31.1846,45.5558/@31.1846,45.5558,14z?hl=en","Maplink2")</f>
        <v>Maplink2</v>
      </c>
      <c r="AU2344" s="20" t="str">
        <f aca="false">HYPERLINK("http://www.bing.com/maps/?lvl=14&amp;sty=h&amp;cp=31.1846~45.5558&amp;sp=point.31.1846_45.5558","Maplink3")</f>
        <v>Maplink3</v>
      </c>
    </row>
    <row r="2345" customFormat="false" ht="15" hidden="false" customHeight="true" outlineLevel="0" collapsed="false">
      <c r="A2345" s="15" t="n">
        <v>1527</v>
      </c>
      <c r="B2345" s="16" t="s">
        <v>25</v>
      </c>
      <c r="C2345" s="16" t="s">
        <v>4547</v>
      </c>
      <c r="D2345" s="16" t="s">
        <v>4551</v>
      </c>
      <c r="E2345" s="17" t="s">
        <v>4552</v>
      </c>
      <c r="F2345" s="16" t="n">
        <v>31.20646681</v>
      </c>
      <c r="G2345" s="16" t="n">
        <v>45.55099086</v>
      </c>
      <c r="H2345" s="18" t="n">
        <v>1</v>
      </c>
      <c r="I2345" s="18" t="n">
        <v>6</v>
      </c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 t="n">
        <v>1</v>
      </c>
      <c r="Y2345" s="19"/>
      <c r="Z2345" s="19"/>
      <c r="AA2345" s="19"/>
      <c r="AB2345" s="19"/>
      <c r="AC2345" s="19"/>
      <c r="AD2345" s="19"/>
      <c r="AE2345" s="19"/>
      <c r="AF2345" s="19" t="n">
        <v>1</v>
      </c>
      <c r="AG2345" s="19"/>
      <c r="AH2345" s="19"/>
      <c r="AI2345" s="19"/>
      <c r="AJ2345" s="19"/>
      <c r="AK2345" s="19"/>
      <c r="AL2345" s="19"/>
      <c r="AM2345" s="19" t="n">
        <v>1</v>
      </c>
      <c r="AN2345" s="19"/>
      <c r="AO2345" s="19"/>
      <c r="AP2345" s="19"/>
      <c r="AQ2345" s="19"/>
      <c r="AR2345" s="19"/>
      <c r="AS2345" s="20" t="str">
        <f aca="false">HYPERLINK("http://www.openstreetmap.org/?mlat=31.2065&amp;mlon=45.551&amp;zoom=12#map=12/31.2065/45.551","Maplink1")</f>
        <v>Maplink1</v>
      </c>
      <c r="AT2345" s="20" t="str">
        <f aca="false">HYPERLINK("https://www.google.iq/maps/search/+31.2065,45.551/@31.2065,45.551,14z?hl=en","Maplink2")</f>
        <v>Maplink2</v>
      </c>
      <c r="AU2345" s="20" t="str">
        <f aca="false">HYPERLINK("http://www.bing.com/maps/?lvl=14&amp;sty=h&amp;cp=31.2065~45.551&amp;sp=point.31.2065_45.551","Maplink3")</f>
        <v>Maplink3</v>
      </c>
    </row>
    <row r="2346" customFormat="false" ht="15" hidden="false" customHeight="true" outlineLevel="0" collapsed="false">
      <c r="A2346" s="15" t="n">
        <v>25633</v>
      </c>
      <c r="B2346" s="16" t="s">
        <v>25</v>
      </c>
      <c r="C2346" s="16" t="s">
        <v>4547</v>
      </c>
      <c r="D2346" s="16" t="s">
        <v>4553</v>
      </c>
      <c r="E2346" s="17" t="s">
        <v>454</v>
      </c>
      <c r="F2346" s="16" t="n">
        <v>31.19267057</v>
      </c>
      <c r="G2346" s="16" t="n">
        <v>45.53053399</v>
      </c>
      <c r="H2346" s="18" t="n">
        <v>30</v>
      </c>
      <c r="I2346" s="18" t="n">
        <v>180</v>
      </c>
      <c r="J2346" s="19" t="n">
        <v>9</v>
      </c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 t="n">
        <v>21</v>
      </c>
      <c r="W2346" s="19"/>
      <c r="X2346" s="19"/>
      <c r="Y2346" s="19"/>
      <c r="Z2346" s="19"/>
      <c r="AA2346" s="19"/>
      <c r="AB2346" s="19"/>
      <c r="AC2346" s="19" t="n">
        <v>13</v>
      </c>
      <c r="AD2346" s="19"/>
      <c r="AE2346" s="19"/>
      <c r="AF2346" s="19" t="n">
        <v>1</v>
      </c>
      <c r="AG2346" s="19" t="n">
        <v>3</v>
      </c>
      <c r="AH2346" s="19" t="n">
        <v>13</v>
      </c>
      <c r="AI2346" s="19"/>
      <c r="AJ2346" s="19"/>
      <c r="AK2346" s="19"/>
      <c r="AL2346" s="19" t="n">
        <v>3</v>
      </c>
      <c r="AM2346" s="19" t="n">
        <v>2</v>
      </c>
      <c r="AN2346" s="19" t="n">
        <v>22</v>
      </c>
      <c r="AO2346" s="19" t="n">
        <v>1</v>
      </c>
      <c r="AP2346" s="19" t="n">
        <v>2</v>
      </c>
      <c r="AQ2346" s="19"/>
      <c r="AR2346" s="19"/>
      <c r="AS2346" s="20" t="str">
        <f aca="false">HYPERLINK("http://www.openstreetmap.org/?mlat=31.1927&amp;mlon=45.5305&amp;zoom=12#map=12/31.1927/45.5305","Maplink1")</f>
        <v>Maplink1</v>
      </c>
      <c r="AT2346" s="20" t="str">
        <f aca="false">HYPERLINK("https://www.google.iq/maps/search/+31.1927,45.5305/@31.1927,45.5305,14z?hl=en","Maplink2")</f>
        <v>Maplink2</v>
      </c>
      <c r="AU2346" s="20" t="str">
        <f aca="false">HYPERLINK("http://www.bing.com/maps/?lvl=14&amp;sty=h&amp;cp=31.1927~45.5305&amp;sp=point.31.1927_45.5305","Maplink3")</f>
        <v>Maplink3</v>
      </c>
    </row>
    <row r="2347" customFormat="false" ht="15" hidden="false" customHeight="true" outlineLevel="0" collapsed="false">
      <c r="A2347" s="15" t="n">
        <v>27301</v>
      </c>
      <c r="B2347" s="16" t="s">
        <v>25</v>
      </c>
      <c r="C2347" s="16" t="s">
        <v>4547</v>
      </c>
      <c r="D2347" s="16" t="s">
        <v>4554</v>
      </c>
      <c r="E2347" s="17" t="s">
        <v>4555</v>
      </c>
      <c r="F2347" s="16" t="n">
        <v>31.18361548</v>
      </c>
      <c r="G2347" s="16" t="n">
        <v>45.53913298</v>
      </c>
      <c r="H2347" s="18" t="n">
        <v>10</v>
      </c>
      <c r="I2347" s="18" t="n">
        <v>60</v>
      </c>
      <c r="J2347" s="19" t="n">
        <v>3</v>
      </c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 t="n">
        <v>7</v>
      </c>
      <c r="W2347" s="19"/>
      <c r="X2347" s="19"/>
      <c r="Y2347" s="19"/>
      <c r="Z2347" s="19"/>
      <c r="AA2347" s="19"/>
      <c r="AB2347" s="19"/>
      <c r="AC2347" s="19" t="n">
        <v>5</v>
      </c>
      <c r="AD2347" s="19"/>
      <c r="AE2347" s="19"/>
      <c r="AF2347" s="19"/>
      <c r="AG2347" s="19"/>
      <c r="AH2347" s="19" t="n">
        <v>5</v>
      </c>
      <c r="AI2347" s="19"/>
      <c r="AJ2347" s="19"/>
      <c r="AK2347" s="19"/>
      <c r="AL2347" s="19"/>
      <c r="AM2347" s="19" t="n">
        <v>1</v>
      </c>
      <c r="AN2347" s="19" t="n">
        <v>5</v>
      </c>
      <c r="AO2347" s="19" t="n">
        <v>1</v>
      </c>
      <c r="AP2347" s="19" t="n">
        <v>3</v>
      </c>
      <c r="AQ2347" s="19"/>
      <c r="AR2347" s="19"/>
      <c r="AS2347" s="20" t="str">
        <f aca="false">HYPERLINK("http://www.openstreetmap.org/?mlat=31.1836&amp;mlon=45.5391&amp;zoom=12#map=12/31.1836/45.5391","Maplink1")</f>
        <v>Maplink1</v>
      </c>
      <c r="AT2347" s="20" t="str">
        <f aca="false">HYPERLINK("https://www.google.iq/maps/search/+31.1836,45.5391/@31.1836,45.5391,14z?hl=en","Maplink2")</f>
        <v>Maplink2</v>
      </c>
      <c r="AU2347" s="20" t="str">
        <f aca="false">HYPERLINK("http://www.bing.com/maps/?lvl=14&amp;sty=h&amp;cp=31.1836~45.5391&amp;sp=point.31.1836_45.5391","Maplink3")</f>
        <v>Maplink3</v>
      </c>
    </row>
    <row r="2348" customFormat="false" ht="15" hidden="false" customHeight="true" outlineLevel="0" collapsed="false">
      <c r="A2348" s="15" t="n">
        <v>29545</v>
      </c>
      <c r="B2348" s="16" t="s">
        <v>25</v>
      </c>
      <c r="C2348" s="16" t="s">
        <v>4547</v>
      </c>
      <c r="D2348" s="16" t="s">
        <v>1068</v>
      </c>
      <c r="E2348" s="17" t="s">
        <v>724</v>
      </c>
      <c r="F2348" s="16" t="n">
        <v>31.202223</v>
      </c>
      <c r="G2348" s="16" t="n">
        <v>45.549446</v>
      </c>
      <c r="H2348" s="18" t="n">
        <v>4</v>
      </c>
      <c r="I2348" s="18" t="n">
        <v>24</v>
      </c>
      <c r="J2348" s="19" t="n">
        <v>3</v>
      </c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 t="n">
        <v>1</v>
      </c>
      <c r="W2348" s="19"/>
      <c r="X2348" s="19"/>
      <c r="Y2348" s="19"/>
      <c r="Z2348" s="19"/>
      <c r="AA2348" s="19"/>
      <c r="AB2348" s="19"/>
      <c r="AC2348" s="19" t="n">
        <v>2</v>
      </c>
      <c r="AD2348" s="19"/>
      <c r="AE2348" s="19"/>
      <c r="AF2348" s="19"/>
      <c r="AG2348" s="19"/>
      <c r="AH2348" s="19" t="n">
        <v>2</v>
      </c>
      <c r="AI2348" s="19"/>
      <c r="AJ2348" s="19"/>
      <c r="AK2348" s="19"/>
      <c r="AL2348" s="19"/>
      <c r="AM2348" s="19" t="n">
        <v>1</v>
      </c>
      <c r="AN2348" s="19"/>
      <c r="AO2348" s="19" t="n">
        <v>2</v>
      </c>
      <c r="AP2348" s="19" t="n">
        <v>1</v>
      </c>
      <c r="AQ2348" s="19"/>
      <c r="AR2348" s="19"/>
      <c r="AS2348" s="20" t="str">
        <f aca="false">HYPERLINK("http://www.openstreetmap.org/?mlat=31.2022&amp;mlon=45.5494&amp;zoom=12#map=12/31.2022/45.5494","Maplink1")</f>
        <v>Maplink1</v>
      </c>
      <c r="AT2348" s="20" t="str">
        <f aca="false">HYPERLINK("https://www.google.iq/maps/search/+31.2022,45.5494/@31.2022,45.5494,14z?hl=en","Maplink2")</f>
        <v>Maplink2</v>
      </c>
      <c r="AU2348" s="20" t="str">
        <f aca="false">HYPERLINK("http://www.bing.com/maps/?lvl=14&amp;sty=h&amp;cp=31.2022~45.5494&amp;sp=point.31.2022_45.5494","Maplink3")</f>
        <v>Maplink3</v>
      </c>
    </row>
    <row r="2349" customFormat="false" ht="15" hidden="false" customHeight="true" outlineLevel="0" collapsed="false">
      <c r="A2349" s="15" t="n">
        <v>27300</v>
      </c>
      <c r="B2349" s="16" t="s">
        <v>25</v>
      </c>
      <c r="C2349" s="16" t="s">
        <v>4547</v>
      </c>
      <c r="D2349" s="16" t="s">
        <v>2026</v>
      </c>
      <c r="E2349" s="17" t="s">
        <v>2027</v>
      </c>
      <c r="F2349" s="16" t="n">
        <v>31.19937941</v>
      </c>
      <c r="G2349" s="16" t="n">
        <v>45.5548229</v>
      </c>
      <c r="H2349" s="18" t="n">
        <v>4</v>
      </c>
      <c r="I2349" s="18" t="n">
        <v>24</v>
      </c>
      <c r="J2349" s="19"/>
      <c r="K2349" s="19"/>
      <c r="L2349" s="19" t="n">
        <v>1</v>
      </c>
      <c r="M2349" s="19"/>
      <c r="N2349" s="19"/>
      <c r="O2349" s="19"/>
      <c r="P2349" s="19"/>
      <c r="Q2349" s="19"/>
      <c r="R2349" s="19"/>
      <c r="S2349" s="19"/>
      <c r="T2349" s="19"/>
      <c r="U2349" s="19"/>
      <c r="V2349" s="19" t="n">
        <v>3</v>
      </c>
      <c r="W2349" s="19"/>
      <c r="X2349" s="19"/>
      <c r="Y2349" s="19"/>
      <c r="Z2349" s="19"/>
      <c r="AA2349" s="19"/>
      <c r="AB2349" s="19"/>
      <c r="AC2349" s="19" t="n">
        <v>2</v>
      </c>
      <c r="AD2349" s="19"/>
      <c r="AE2349" s="19"/>
      <c r="AF2349" s="19"/>
      <c r="AG2349" s="19"/>
      <c r="AH2349" s="19" t="n">
        <v>2</v>
      </c>
      <c r="AI2349" s="19"/>
      <c r="AJ2349" s="19"/>
      <c r="AK2349" s="19"/>
      <c r="AL2349" s="19" t="n">
        <v>1</v>
      </c>
      <c r="AM2349" s="19"/>
      <c r="AN2349" s="19" t="n">
        <v>3</v>
      </c>
      <c r="AO2349" s="19"/>
      <c r="AP2349" s="19"/>
      <c r="AQ2349" s="19"/>
      <c r="AR2349" s="19"/>
      <c r="AS2349" s="20" t="str">
        <f aca="false">HYPERLINK("http://www.openstreetmap.org/?mlat=31.1994&amp;mlon=45.5548&amp;zoom=12#map=12/31.1994/45.5548","Maplink1")</f>
        <v>Maplink1</v>
      </c>
      <c r="AT2349" s="20" t="str">
        <f aca="false">HYPERLINK("https://www.google.iq/maps/search/+31.1994,45.5548/@31.1994,45.5548,14z?hl=en","Maplink2")</f>
        <v>Maplink2</v>
      </c>
      <c r="AU2349" s="20" t="str">
        <f aca="false">HYPERLINK("http://www.bing.com/maps/?lvl=14&amp;sty=h&amp;cp=31.1994~45.5548&amp;sp=point.31.1994_45.5548","Maplink3")</f>
        <v>Maplink3</v>
      </c>
    </row>
    <row r="2350" customFormat="false" ht="15" hidden="false" customHeight="true" outlineLevel="0" collapsed="false">
      <c r="A2350" s="15" t="n">
        <v>29552</v>
      </c>
      <c r="B2350" s="16" t="s">
        <v>25</v>
      </c>
      <c r="C2350" s="16" t="s">
        <v>4547</v>
      </c>
      <c r="D2350" s="16" t="s">
        <v>4556</v>
      </c>
      <c r="E2350" s="17" t="s">
        <v>4557</v>
      </c>
      <c r="F2350" s="16" t="n">
        <v>31.20405772</v>
      </c>
      <c r="G2350" s="16" t="n">
        <v>45.549577</v>
      </c>
      <c r="H2350" s="18" t="n">
        <v>1</v>
      </c>
      <c r="I2350" s="18" t="n">
        <v>6</v>
      </c>
      <c r="J2350" s="19" t="n">
        <v>1</v>
      </c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19"/>
      <c r="AH2350" s="19" t="n">
        <v>1</v>
      </c>
      <c r="AI2350" s="19"/>
      <c r="AJ2350" s="19"/>
      <c r="AK2350" s="19"/>
      <c r="AL2350" s="19"/>
      <c r="AM2350" s="19"/>
      <c r="AN2350" s="19"/>
      <c r="AO2350" s="19"/>
      <c r="AP2350" s="19" t="n">
        <v>1</v>
      </c>
      <c r="AQ2350" s="19"/>
      <c r="AR2350" s="19"/>
      <c r="AS2350" s="20" t="str">
        <f aca="false">HYPERLINK("http://www.openstreetmap.org/?mlat=31.2041&amp;mlon=45.5496&amp;zoom=12#map=12/31.2041/45.5496","Maplink1")</f>
        <v>Maplink1</v>
      </c>
      <c r="AT2350" s="20" t="str">
        <f aca="false">HYPERLINK("https://www.google.iq/maps/search/+31.2041,45.5496/@31.2041,45.5496,14z?hl=en","Maplink2")</f>
        <v>Maplink2</v>
      </c>
      <c r="AU2350" s="20" t="str">
        <f aca="false">HYPERLINK("http://www.bing.com/maps/?lvl=14&amp;sty=h&amp;cp=31.2041~45.5496&amp;sp=point.31.2041_45.5496","Maplink3")</f>
        <v>Maplink3</v>
      </c>
    </row>
    <row r="2351" customFormat="false" ht="15" hidden="false" customHeight="true" outlineLevel="0" collapsed="false">
      <c r="A2351" s="15" t="n">
        <v>29549</v>
      </c>
      <c r="B2351" s="16" t="s">
        <v>25</v>
      </c>
      <c r="C2351" s="16" t="s">
        <v>4547</v>
      </c>
      <c r="D2351" s="16" t="s">
        <v>4558</v>
      </c>
      <c r="E2351" s="17" t="s">
        <v>4559</v>
      </c>
      <c r="F2351" s="16" t="n">
        <v>31.21072884</v>
      </c>
      <c r="G2351" s="16" t="n">
        <v>45.54583398</v>
      </c>
      <c r="H2351" s="18" t="n">
        <v>7</v>
      </c>
      <c r="I2351" s="18" t="n">
        <v>42</v>
      </c>
      <c r="J2351" s="19" t="n">
        <v>6</v>
      </c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 t="n">
        <v>1</v>
      </c>
      <c r="W2351" s="19"/>
      <c r="X2351" s="19"/>
      <c r="Y2351" s="19"/>
      <c r="Z2351" s="19"/>
      <c r="AA2351" s="19"/>
      <c r="AB2351" s="19"/>
      <c r="AC2351" s="19" t="n">
        <v>4</v>
      </c>
      <c r="AD2351" s="19"/>
      <c r="AE2351" s="19"/>
      <c r="AF2351" s="19"/>
      <c r="AG2351" s="19"/>
      <c r="AH2351" s="19" t="n">
        <v>3</v>
      </c>
      <c r="AI2351" s="19"/>
      <c r="AJ2351" s="19"/>
      <c r="AK2351" s="19"/>
      <c r="AL2351" s="19"/>
      <c r="AM2351" s="19"/>
      <c r="AN2351" s="19" t="n">
        <v>1</v>
      </c>
      <c r="AO2351" s="19" t="n">
        <v>2</v>
      </c>
      <c r="AP2351" s="19" t="n">
        <v>4</v>
      </c>
      <c r="AQ2351" s="19"/>
      <c r="AR2351" s="19"/>
      <c r="AS2351" s="20" t="str">
        <f aca="false">HYPERLINK("http://www.openstreetmap.org/?mlat=31.2107&amp;mlon=45.5458&amp;zoom=12#map=12/31.2107/45.5458","Maplink1")</f>
        <v>Maplink1</v>
      </c>
      <c r="AT2351" s="20" t="str">
        <f aca="false">HYPERLINK("https://www.google.iq/maps/search/+31.2107,45.5458/@31.2107,45.5458,14z?hl=en","Maplink2")</f>
        <v>Maplink2</v>
      </c>
      <c r="AU2351" s="20" t="str">
        <f aca="false">HYPERLINK("http://www.bing.com/maps/?lvl=14&amp;sty=h&amp;cp=31.2107~45.5458&amp;sp=point.31.2107_45.5458","Maplink3")</f>
        <v>Maplink3</v>
      </c>
    </row>
    <row r="2352" customFormat="false" ht="15" hidden="false" customHeight="true" outlineLevel="0" collapsed="false">
      <c r="A2352" s="15" t="n">
        <v>29550</v>
      </c>
      <c r="B2352" s="16" t="s">
        <v>25</v>
      </c>
      <c r="C2352" s="16" t="s">
        <v>4547</v>
      </c>
      <c r="D2352" s="16" t="s">
        <v>4560</v>
      </c>
      <c r="E2352" s="17" t="s">
        <v>4296</v>
      </c>
      <c r="F2352" s="16" t="n">
        <v>31.20012741</v>
      </c>
      <c r="G2352" s="16" t="n">
        <v>45.54811763</v>
      </c>
      <c r="H2352" s="18" t="n">
        <v>3</v>
      </c>
      <c r="I2352" s="18" t="n">
        <v>18</v>
      </c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 t="n">
        <v>1</v>
      </c>
      <c r="W2352" s="19"/>
      <c r="X2352" s="19" t="n">
        <v>2</v>
      </c>
      <c r="Y2352" s="19"/>
      <c r="Z2352" s="19"/>
      <c r="AA2352" s="19"/>
      <c r="AB2352" s="19"/>
      <c r="AC2352" s="19" t="n">
        <v>2</v>
      </c>
      <c r="AD2352" s="19"/>
      <c r="AE2352" s="19"/>
      <c r="AF2352" s="19"/>
      <c r="AG2352" s="19"/>
      <c r="AH2352" s="19" t="n">
        <v>1</v>
      </c>
      <c r="AI2352" s="19"/>
      <c r="AJ2352" s="19"/>
      <c r="AK2352" s="19"/>
      <c r="AL2352" s="19"/>
      <c r="AM2352" s="19" t="n">
        <v>2</v>
      </c>
      <c r="AN2352" s="19" t="n">
        <v>1</v>
      </c>
      <c r="AO2352" s="19"/>
      <c r="AP2352" s="19"/>
      <c r="AQ2352" s="19"/>
      <c r="AR2352" s="19"/>
      <c r="AS2352" s="20" t="str">
        <f aca="false">HYPERLINK("http://www.openstreetmap.org/?mlat=31.2001&amp;mlon=45.5481&amp;zoom=12#map=12/31.2001/45.5481","Maplink1")</f>
        <v>Maplink1</v>
      </c>
      <c r="AT2352" s="20" t="str">
        <f aca="false">HYPERLINK("https://www.google.iq/maps/search/+31.2001,45.5481/@31.2001,45.5481,14z?hl=en","Maplink2")</f>
        <v>Maplink2</v>
      </c>
      <c r="AU2352" s="20" t="str">
        <f aca="false">HYPERLINK("http://www.bing.com/maps/?lvl=14&amp;sty=h&amp;cp=31.2001~45.5481&amp;sp=point.31.2001_45.5481","Maplink3")</f>
        <v>Maplink3</v>
      </c>
    </row>
    <row r="2353" customFormat="false" ht="15" hidden="false" customHeight="true" outlineLevel="0" collapsed="false">
      <c r="A2353" s="15" t="n">
        <v>29551</v>
      </c>
      <c r="B2353" s="16" t="s">
        <v>25</v>
      </c>
      <c r="C2353" s="16" t="s">
        <v>4547</v>
      </c>
      <c r="D2353" s="16" t="s">
        <v>589</v>
      </c>
      <c r="E2353" s="17" t="s">
        <v>572</v>
      </c>
      <c r="F2353" s="16" t="n">
        <v>31.19899023</v>
      </c>
      <c r="G2353" s="16" t="n">
        <v>45.55121466</v>
      </c>
      <c r="H2353" s="18" t="n">
        <v>2</v>
      </c>
      <c r="I2353" s="18" t="n">
        <v>12</v>
      </c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 t="n">
        <v>1</v>
      </c>
      <c r="W2353" s="19"/>
      <c r="X2353" s="19" t="n">
        <v>1</v>
      </c>
      <c r="Y2353" s="19"/>
      <c r="Z2353" s="19"/>
      <c r="AA2353" s="19"/>
      <c r="AB2353" s="19"/>
      <c r="AC2353" s="19"/>
      <c r="AD2353" s="19"/>
      <c r="AE2353" s="19"/>
      <c r="AF2353" s="19"/>
      <c r="AG2353" s="19"/>
      <c r="AH2353" s="19" t="n">
        <v>2</v>
      </c>
      <c r="AI2353" s="19"/>
      <c r="AJ2353" s="19"/>
      <c r="AK2353" s="19"/>
      <c r="AL2353" s="19"/>
      <c r="AM2353" s="19" t="n">
        <v>1</v>
      </c>
      <c r="AN2353" s="19" t="n">
        <v>1</v>
      </c>
      <c r="AO2353" s="19"/>
      <c r="AP2353" s="19"/>
      <c r="AQ2353" s="19"/>
      <c r="AR2353" s="19"/>
      <c r="AS2353" s="20" t="str">
        <f aca="false">HYPERLINK("http://www.openstreetmap.org/?mlat=31.199&amp;mlon=45.5512&amp;zoom=12#map=12/31.199/45.5512","Maplink1")</f>
        <v>Maplink1</v>
      </c>
      <c r="AT2353" s="20" t="str">
        <f aca="false">HYPERLINK("https://www.google.iq/maps/search/+31.199,45.5512/@31.199,45.5512,14z?hl=en","Maplink2")</f>
        <v>Maplink2</v>
      </c>
      <c r="AU2353" s="20" t="str">
        <f aca="false">HYPERLINK("http://www.bing.com/maps/?lvl=14&amp;sty=h&amp;cp=31.199~45.5512&amp;sp=point.31.199_45.5512","Maplink3")</f>
        <v>Maplink3</v>
      </c>
    </row>
    <row r="2354" customFormat="false" ht="15" hidden="false" customHeight="true" outlineLevel="0" collapsed="false">
      <c r="A2354" s="15" t="n">
        <v>29548</v>
      </c>
      <c r="B2354" s="16" t="s">
        <v>25</v>
      </c>
      <c r="C2354" s="16" t="s">
        <v>4547</v>
      </c>
      <c r="D2354" s="16" t="s">
        <v>4561</v>
      </c>
      <c r="E2354" s="17" t="s">
        <v>938</v>
      </c>
      <c r="F2354" s="16" t="n">
        <v>31.20583125</v>
      </c>
      <c r="G2354" s="16" t="n">
        <v>45.54864879</v>
      </c>
      <c r="H2354" s="18" t="n">
        <v>2</v>
      </c>
      <c r="I2354" s="18" t="n">
        <v>12</v>
      </c>
      <c r="J2354" s="19" t="n">
        <v>1</v>
      </c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 t="n">
        <v>1</v>
      </c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19" t="n">
        <v>1</v>
      </c>
      <c r="AH2354" s="19" t="n">
        <v>1</v>
      </c>
      <c r="AI2354" s="19"/>
      <c r="AJ2354" s="19"/>
      <c r="AK2354" s="19"/>
      <c r="AL2354" s="19"/>
      <c r="AM2354" s="19"/>
      <c r="AN2354" s="19" t="n">
        <v>1</v>
      </c>
      <c r="AO2354" s="19"/>
      <c r="AP2354" s="19" t="n">
        <v>1</v>
      </c>
      <c r="AQ2354" s="19"/>
      <c r="AR2354" s="19"/>
      <c r="AS2354" s="20" t="str">
        <f aca="false">HYPERLINK("http://www.openstreetmap.org/?mlat=31.2058&amp;mlon=45.5486&amp;zoom=12#map=12/31.2058/45.5486","Maplink1")</f>
        <v>Maplink1</v>
      </c>
      <c r="AT2354" s="20" t="str">
        <f aca="false">HYPERLINK("https://www.google.iq/maps/search/+31.2058,45.5486/@31.2058,45.5486,14z?hl=en","Maplink2")</f>
        <v>Maplink2</v>
      </c>
      <c r="AU2354" s="20" t="str">
        <f aca="false">HYPERLINK("http://www.bing.com/maps/?lvl=14&amp;sty=h&amp;cp=31.2058~45.5486&amp;sp=point.31.2058_45.5486","Maplink3")</f>
        <v>Maplink3</v>
      </c>
    </row>
    <row r="2355" customFormat="false" ht="15" hidden="false" customHeight="true" outlineLevel="0" collapsed="false">
      <c r="A2355" s="15" t="n">
        <v>29554</v>
      </c>
      <c r="B2355" s="16" t="s">
        <v>25</v>
      </c>
      <c r="C2355" s="16" t="s">
        <v>4547</v>
      </c>
      <c r="D2355" s="16" t="s">
        <v>4562</v>
      </c>
      <c r="E2355" s="17" t="s">
        <v>4563</v>
      </c>
      <c r="F2355" s="16" t="n">
        <v>31.19784795</v>
      </c>
      <c r="G2355" s="16" t="n">
        <v>45.52954559</v>
      </c>
      <c r="H2355" s="18" t="n">
        <v>1</v>
      </c>
      <c r="I2355" s="18" t="n">
        <v>6</v>
      </c>
      <c r="J2355" s="19" t="n">
        <v>1</v>
      </c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19"/>
      <c r="AH2355" s="19" t="n">
        <v>1</v>
      </c>
      <c r="AI2355" s="19"/>
      <c r="AJ2355" s="19"/>
      <c r="AK2355" s="19"/>
      <c r="AL2355" s="19"/>
      <c r="AM2355" s="19"/>
      <c r="AN2355" s="19"/>
      <c r="AO2355" s="19" t="n">
        <v>1</v>
      </c>
      <c r="AP2355" s="19"/>
      <c r="AQ2355" s="19"/>
      <c r="AR2355" s="19"/>
      <c r="AS2355" s="20" t="str">
        <f aca="false">HYPERLINK("http://www.openstreetmap.org/?mlat=31.1978&amp;mlon=45.5295&amp;zoom=12#map=12/31.1978/45.5295","Maplink1")</f>
        <v>Maplink1</v>
      </c>
      <c r="AT2355" s="20" t="str">
        <f aca="false">HYPERLINK("https://www.google.iq/maps/search/+31.1978,45.5295/@31.1978,45.5295,14z?hl=en","Maplink2")</f>
        <v>Maplink2</v>
      </c>
      <c r="AU2355" s="20" t="str">
        <f aca="false">HYPERLINK("http://www.bing.com/maps/?lvl=14&amp;sty=h&amp;cp=31.1978~45.5295&amp;sp=point.31.1978_45.5295","Maplink3")</f>
        <v>Maplink3</v>
      </c>
    </row>
    <row r="2356" customFormat="false" ht="15" hidden="false" customHeight="true" outlineLevel="0" collapsed="false">
      <c r="A2356" s="15" t="n">
        <v>29553</v>
      </c>
      <c r="B2356" s="16" t="s">
        <v>25</v>
      </c>
      <c r="C2356" s="16" t="s">
        <v>4547</v>
      </c>
      <c r="D2356" s="16" t="s">
        <v>4564</v>
      </c>
      <c r="E2356" s="17" t="s">
        <v>85</v>
      </c>
      <c r="F2356" s="16" t="n">
        <v>31.201666</v>
      </c>
      <c r="G2356" s="16" t="n">
        <v>45.533611</v>
      </c>
      <c r="H2356" s="18" t="n">
        <v>3</v>
      </c>
      <c r="I2356" s="18" t="n">
        <v>18</v>
      </c>
      <c r="J2356" s="19" t="n">
        <v>1</v>
      </c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 t="n">
        <v>2</v>
      </c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 t="n">
        <v>2</v>
      </c>
      <c r="AG2356" s="19"/>
      <c r="AH2356" s="19" t="n">
        <v>1</v>
      </c>
      <c r="AI2356" s="19"/>
      <c r="AJ2356" s="19"/>
      <c r="AK2356" s="19"/>
      <c r="AL2356" s="19"/>
      <c r="AM2356" s="19" t="n">
        <v>2</v>
      </c>
      <c r="AN2356" s="19"/>
      <c r="AO2356" s="19"/>
      <c r="AP2356" s="19" t="n">
        <v>1</v>
      </c>
      <c r="AQ2356" s="19"/>
      <c r="AR2356" s="19"/>
      <c r="AS2356" s="20" t="str">
        <f aca="false">HYPERLINK("http://www.openstreetmap.org/?mlat=31.2017&amp;mlon=45.5336&amp;zoom=12#map=12/31.2017/45.5336","Maplink1")</f>
        <v>Maplink1</v>
      </c>
      <c r="AT2356" s="20" t="str">
        <f aca="false">HYPERLINK("https://www.google.iq/maps/search/+31.2017,45.5336/@31.2017,45.5336,14z?hl=en","Maplink2")</f>
        <v>Maplink2</v>
      </c>
      <c r="AU2356" s="20" t="str">
        <f aca="false">HYPERLINK("http://www.bing.com/maps/?lvl=14&amp;sty=h&amp;cp=31.2017~45.5336&amp;sp=point.31.2017_45.5336","Maplink3")</f>
        <v>Maplink3</v>
      </c>
    </row>
    <row r="2357" customFormat="false" ht="15" hidden="false" customHeight="true" outlineLevel="0" collapsed="false">
      <c r="A2357" s="15" t="n">
        <v>1515</v>
      </c>
      <c r="B2357" s="16" t="s">
        <v>25</v>
      </c>
      <c r="C2357" s="16" t="s">
        <v>4547</v>
      </c>
      <c r="D2357" s="16" t="s">
        <v>4565</v>
      </c>
      <c r="E2357" s="17" t="s">
        <v>4566</v>
      </c>
      <c r="F2357" s="16" t="n">
        <v>31.25545706</v>
      </c>
      <c r="G2357" s="16" t="n">
        <v>45.52405704</v>
      </c>
      <c r="H2357" s="18" t="n">
        <v>3</v>
      </c>
      <c r="I2357" s="18" t="n">
        <v>18</v>
      </c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 t="n">
        <v>3</v>
      </c>
      <c r="W2357" s="19"/>
      <c r="X2357" s="19"/>
      <c r="Y2357" s="19"/>
      <c r="Z2357" s="19"/>
      <c r="AA2357" s="19"/>
      <c r="AB2357" s="19"/>
      <c r="AC2357" s="19" t="n">
        <v>3</v>
      </c>
      <c r="AD2357" s="19"/>
      <c r="AE2357" s="19"/>
      <c r="AF2357" s="19"/>
      <c r="AG2357" s="19"/>
      <c r="AH2357" s="19"/>
      <c r="AI2357" s="19"/>
      <c r="AJ2357" s="19"/>
      <c r="AK2357" s="19"/>
      <c r="AL2357" s="19"/>
      <c r="AM2357" s="19" t="n">
        <v>2</v>
      </c>
      <c r="AN2357" s="19" t="n">
        <v>1</v>
      </c>
      <c r="AO2357" s="19"/>
      <c r="AP2357" s="19"/>
      <c r="AQ2357" s="19"/>
      <c r="AR2357" s="19"/>
      <c r="AS2357" s="20" t="str">
        <f aca="false">HYPERLINK("http://www.openstreetmap.org/?mlat=31.2555&amp;mlon=45.5241&amp;zoom=12#map=12/31.2555/45.5241","Maplink1")</f>
        <v>Maplink1</v>
      </c>
      <c r="AT2357" s="20" t="str">
        <f aca="false">HYPERLINK("https://www.google.iq/maps/search/+31.2555,45.5241/@31.2555,45.5241,14z?hl=en","Maplink2")</f>
        <v>Maplink2</v>
      </c>
      <c r="AU2357" s="20" t="str">
        <f aca="false">HYPERLINK("http://www.bing.com/maps/?lvl=14&amp;sty=h&amp;cp=31.2555~45.5241&amp;sp=point.31.2555_45.5241","Maplink3")</f>
        <v>Maplink3</v>
      </c>
    </row>
    <row r="2358" customFormat="false" ht="15" hidden="false" customHeight="true" outlineLevel="0" collapsed="false">
      <c r="A2358" s="15" t="n">
        <v>1505</v>
      </c>
      <c r="B2358" s="16" t="s">
        <v>25</v>
      </c>
      <c r="C2358" s="16" t="s">
        <v>4547</v>
      </c>
      <c r="D2358" s="16" t="s">
        <v>4567</v>
      </c>
      <c r="E2358" s="17" t="s">
        <v>4568</v>
      </c>
      <c r="F2358" s="16" t="n">
        <v>31.21791422</v>
      </c>
      <c r="G2358" s="16" t="n">
        <v>45.55882224</v>
      </c>
      <c r="H2358" s="18" t="n">
        <v>2</v>
      </c>
      <c r="I2358" s="18" t="n">
        <v>12</v>
      </c>
      <c r="J2358" s="19" t="n">
        <v>2</v>
      </c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 t="n">
        <v>2</v>
      </c>
      <c r="AD2358" s="19"/>
      <c r="AE2358" s="19"/>
      <c r="AF2358" s="19"/>
      <c r="AG2358" s="19"/>
      <c r="AH2358" s="19"/>
      <c r="AI2358" s="19"/>
      <c r="AJ2358" s="19"/>
      <c r="AK2358" s="19"/>
      <c r="AL2358" s="19"/>
      <c r="AM2358" s="19"/>
      <c r="AN2358" s="19" t="n">
        <v>1</v>
      </c>
      <c r="AO2358" s="19"/>
      <c r="AP2358" s="19" t="n">
        <v>1</v>
      </c>
      <c r="AQ2358" s="19"/>
      <c r="AR2358" s="19"/>
      <c r="AS2358" s="20" t="str">
        <f aca="false">HYPERLINK("http://www.openstreetmap.org/?mlat=31.2179&amp;mlon=45.5588&amp;zoom=12#map=12/31.2179/45.5588","Maplink1")</f>
        <v>Maplink1</v>
      </c>
      <c r="AT2358" s="20" t="str">
        <f aca="false">HYPERLINK("https://www.google.iq/maps/search/+31.2179,45.5588/@31.2179,45.5588,14z?hl=en","Maplink2")</f>
        <v>Maplink2</v>
      </c>
      <c r="AU2358" s="20" t="str">
        <f aca="false">HYPERLINK("http://www.bing.com/maps/?lvl=14&amp;sty=h&amp;cp=31.2179~45.5588&amp;sp=point.31.2179_45.5588","Maplink3")</f>
        <v>Maplink3</v>
      </c>
    </row>
    <row r="2359" customFormat="false" ht="15" hidden="false" customHeight="true" outlineLevel="0" collapsed="false">
      <c r="A2359" s="15" t="n">
        <v>1436</v>
      </c>
      <c r="B2359" s="16" t="s">
        <v>25</v>
      </c>
      <c r="C2359" s="16" t="s">
        <v>4547</v>
      </c>
      <c r="D2359" s="16" t="s">
        <v>4569</v>
      </c>
      <c r="E2359" s="17" t="s">
        <v>4570</v>
      </c>
      <c r="F2359" s="16" t="n">
        <v>31.17173107</v>
      </c>
      <c r="G2359" s="16" t="n">
        <v>45.55218587</v>
      </c>
      <c r="H2359" s="18" t="n">
        <v>2</v>
      </c>
      <c r="I2359" s="18" t="n">
        <v>12</v>
      </c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 t="n">
        <v>2</v>
      </c>
      <c r="W2359" s="19"/>
      <c r="X2359" s="19"/>
      <c r="Y2359" s="19"/>
      <c r="Z2359" s="19"/>
      <c r="AA2359" s="19"/>
      <c r="AB2359" s="19"/>
      <c r="AC2359" s="19" t="n">
        <v>2</v>
      </c>
      <c r="AD2359" s="19"/>
      <c r="AE2359" s="19"/>
      <c r="AF2359" s="19"/>
      <c r="AG2359" s="19"/>
      <c r="AH2359" s="19"/>
      <c r="AI2359" s="19"/>
      <c r="AJ2359" s="19"/>
      <c r="AK2359" s="19"/>
      <c r="AL2359" s="19"/>
      <c r="AM2359" s="19"/>
      <c r="AN2359" s="19" t="n">
        <v>2</v>
      </c>
      <c r="AO2359" s="19"/>
      <c r="AP2359" s="19"/>
      <c r="AQ2359" s="19"/>
      <c r="AR2359" s="19"/>
      <c r="AS2359" s="20" t="str">
        <f aca="false">HYPERLINK("http://www.openstreetmap.org/?mlat=31.1717&amp;mlon=45.5522&amp;zoom=12#map=12/31.1717/45.5522","Maplink1")</f>
        <v>Maplink1</v>
      </c>
      <c r="AT2359" s="20" t="str">
        <f aca="false">HYPERLINK("https://www.google.iq/maps/search/+31.1717,45.5522/@31.1717,45.5522,14z?hl=en","Maplink2")</f>
        <v>Maplink2</v>
      </c>
      <c r="AU2359" s="20" t="str">
        <f aca="false">HYPERLINK("http://www.bing.com/maps/?lvl=14&amp;sty=h&amp;cp=31.1717~45.5522&amp;sp=point.31.1717_45.5522","Maplink3")</f>
        <v>Maplink3</v>
      </c>
    </row>
    <row r="2360" customFormat="false" ht="15" hidden="false" customHeight="true" outlineLevel="0" collapsed="false">
      <c r="A2360" s="15" t="n">
        <v>29546</v>
      </c>
      <c r="B2360" s="16" t="s">
        <v>25</v>
      </c>
      <c r="C2360" s="16" t="s">
        <v>4547</v>
      </c>
      <c r="D2360" s="16" t="s">
        <v>4571</v>
      </c>
      <c r="E2360" s="17" t="s">
        <v>4572</v>
      </c>
      <c r="F2360" s="16" t="n">
        <v>31.28349289</v>
      </c>
      <c r="G2360" s="16" t="n">
        <v>45.45563229</v>
      </c>
      <c r="H2360" s="18" t="n">
        <v>2</v>
      </c>
      <c r="I2360" s="18" t="n">
        <v>12</v>
      </c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 t="n">
        <v>2</v>
      </c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9" t="n">
        <v>2</v>
      </c>
      <c r="AH2360" s="19"/>
      <c r="AI2360" s="19"/>
      <c r="AJ2360" s="19"/>
      <c r="AK2360" s="19"/>
      <c r="AL2360" s="19"/>
      <c r="AM2360" s="19"/>
      <c r="AN2360" s="19" t="n">
        <v>2</v>
      </c>
      <c r="AO2360" s="19"/>
      <c r="AP2360" s="19"/>
      <c r="AQ2360" s="19"/>
      <c r="AR2360" s="19"/>
      <c r="AS2360" s="20" t="str">
        <f aca="false">HYPERLINK("http://www.openstreetmap.org/?mlat=31.2835&amp;mlon=45.4556&amp;zoom=12#map=12/31.2835/45.4556","Maplink1")</f>
        <v>Maplink1</v>
      </c>
      <c r="AT2360" s="20" t="str">
        <f aca="false">HYPERLINK("https://www.google.iq/maps/search/+31.2835,45.4556/@31.2835,45.4556,14z?hl=en","Maplink2")</f>
        <v>Maplink2</v>
      </c>
      <c r="AU2360" s="20" t="str">
        <f aca="false">HYPERLINK("http://www.bing.com/maps/?lvl=14&amp;sty=h&amp;cp=31.2835~45.4556&amp;sp=point.31.2835_45.4556","Maplink3")</f>
        <v>Maplink3</v>
      </c>
    </row>
    <row r="2361" customFormat="false" ht="15" hidden="false" customHeight="true" outlineLevel="0" collapsed="false">
      <c r="A2361" s="15" t="n">
        <v>1459</v>
      </c>
      <c r="B2361" s="16" t="s">
        <v>25</v>
      </c>
      <c r="C2361" s="16" t="s">
        <v>4547</v>
      </c>
      <c r="D2361" s="16" t="s">
        <v>4573</v>
      </c>
      <c r="E2361" s="17" t="s">
        <v>4574</v>
      </c>
      <c r="F2361" s="16" t="n">
        <v>31.2128288</v>
      </c>
      <c r="G2361" s="16" t="n">
        <v>45.54021752</v>
      </c>
      <c r="H2361" s="18" t="n">
        <v>10</v>
      </c>
      <c r="I2361" s="18" t="n">
        <v>60</v>
      </c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 t="n">
        <v>10</v>
      </c>
      <c r="W2361" s="19"/>
      <c r="X2361" s="19"/>
      <c r="Y2361" s="19"/>
      <c r="Z2361" s="19"/>
      <c r="AA2361" s="19"/>
      <c r="AB2361" s="19"/>
      <c r="AC2361" s="19" t="n">
        <v>3</v>
      </c>
      <c r="AD2361" s="19"/>
      <c r="AE2361" s="19"/>
      <c r="AF2361" s="19" t="n">
        <v>2</v>
      </c>
      <c r="AG2361" s="19" t="n">
        <v>5</v>
      </c>
      <c r="AH2361" s="19"/>
      <c r="AI2361" s="19"/>
      <c r="AJ2361" s="19"/>
      <c r="AK2361" s="19"/>
      <c r="AL2361" s="19"/>
      <c r="AM2361" s="19"/>
      <c r="AN2361" s="19" t="n">
        <v>8</v>
      </c>
      <c r="AO2361" s="19" t="n">
        <v>2</v>
      </c>
      <c r="AP2361" s="19"/>
      <c r="AQ2361" s="19"/>
      <c r="AR2361" s="19"/>
      <c r="AS2361" s="20" t="str">
        <f aca="false">HYPERLINK("http://www.openstreetmap.org/?mlat=31.2128&amp;mlon=45.5402&amp;zoom=12#map=12/31.2128/45.5402","Maplink1")</f>
        <v>Maplink1</v>
      </c>
      <c r="AT2361" s="20" t="str">
        <f aca="false">HYPERLINK("https://www.google.iq/maps/search/+31.2128,45.5402/@31.2128,45.5402,14z?hl=en","Maplink2")</f>
        <v>Maplink2</v>
      </c>
      <c r="AU2361" s="20" t="str">
        <f aca="false">HYPERLINK("http://www.bing.com/maps/?lvl=14&amp;sty=h&amp;cp=31.2128~45.5402&amp;sp=point.31.2128_45.5402","Maplink3")</f>
        <v>Maplink3</v>
      </c>
    </row>
    <row r="2362" customFormat="false" ht="15" hidden="false" customHeight="true" outlineLevel="0" collapsed="false">
      <c r="A2362" s="15" t="n">
        <v>29547</v>
      </c>
      <c r="B2362" s="16" t="s">
        <v>25</v>
      </c>
      <c r="C2362" s="16" t="s">
        <v>4547</v>
      </c>
      <c r="D2362" s="16" t="s">
        <v>4575</v>
      </c>
      <c r="E2362" s="17" t="s">
        <v>4576</v>
      </c>
      <c r="F2362" s="16" t="n">
        <v>31.16633379</v>
      </c>
      <c r="G2362" s="16" t="n">
        <v>45.72337417</v>
      </c>
      <c r="H2362" s="18" t="n">
        <v>1</v>
      </c>
      <c r="I2362" s="18" t="n">
        <v>6</v>
      </c>
      <c r="J2362" s="19"/>
      <c r="K2362" s="19"/>
      <c r="L2362" s="19"/>
      <c r="M2362" s="19"/>
      <c r="N2362" s="19"/>
      <c r="O2362" s="19"/>
      <c r="P2362" s="19"/>
      <c r="Q2362" s="19"/>
      <c r="R2362" s="19" t="n">
        <v>1</v>
      </c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 t="n">
        <v>1</v>
      </c>
      <c r="AD2362" s="19"/>
      <c r="AE2362" s="19"/>
      <c r="AF2362" s="19"/>
      <c r="AG2362" s="19"/>
      <c r="AH2362" s="19"/>
      <c r="AI2362" s="19"/>
      <c r="AJ2362" s="19"/>
      <c r="AK2362" s="19"/>
      <c r="AL2362" s="19"/>
      <c r="AM2362" s="19" t="n">
        <v>1</v>
      </c>
      <c r="AN2362" s="19"/>
      <c r="AO2362" s="19"/>
      <c r="AP2362" s="19"/>
      <c r="AQ2362" s="19"/>
      <c r="AR2362" s="19"/>
      <c r="AS2362" s="20" t="str">
        <f aca="false">HYPERLINK("http://www.openstreetmap.org/?mlat=31.1663&amp;mlon=45.7234&amp;zoom=12#map=12/31.1663/45.7234","Maplink1")</f>
        <v>Maplink1</v>
      </c>
      <c r="AT2362" s="20" t="str">
        <f aca="false">HYPERLINK("https://www.google.iq/maps/search/+31.1663,45.7234/@31.1663,45.7234,14z?hl=en","Maplink2")</f>
        <v>Maplink2</v>
      </c>
      <c r="AU2362" s="20" t="str">
        <f aca="false">HYPERLINK("http://www.bing.com/maps/?lvl=14&amp;sty=h&amp;cp=31.1663~45.7234&amp;sp=point.31.1663_45.7234","Maplink3")</f>
        <v>Maplink3</v>
      </c>
    </row>
    <row r="2363" customFormat="false" ht="15" hidden="false" customHeight="true" outlineLevel="0" collapsed="false">
      <c r="A2363" s="15" t="n">
        <v>1394</v>
      </c>
      <c r="B2363" s="16" t="s">
        <v>25</v>
      </c>
      <c r="C2363" s="16" t="s">
        <v>4577</v>
      </c>
      <c r="D2363" s="16" t="s">
        <v>4578</v>
      </c>
      <c r="E2363" s="17" t="s">
        <v>4579</v>
      </c>
      <c r="F2363" s="16" t="n">
        <v>31.42704275</v>
      </c>
      <c r="G2363" s="16" t="n">
        <v>45.11093231</v>
      </c>
      <c r="H2363" s="18" t="n">
        <v>4</v>
      </c>
      <c r="I2363" s="18" t="n">
        <v>24</v>
      </c>
      <c r="J2363" s="19" t="n">
        <v>3</v>
      </c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 t="n">
        <v>1</v>
      </c>
      <c r="Y2363" s="19"/>
      <c r="Z2363" s="19"/>
      <c r="AA2363" s="19"/>
      <c r="AB2363" s="19"/>
      <c r="AC2363" s="19" t="n">
        <v>4</v>
      </c>
      <c r="AD2363" s="19"/>
      <c r="AE2363" s="19"/>
      <c r="AF2363" s="19"/>
      <c r="AG2363" s="19"/>
      <c r="AH2363" s="19"/>
      <c r="AI2363" s="19"/>
      <c r="AJ2363" s="19"/>
      <c r="AK2363" s="19"/>
      <c r="AL2363" s="19" t="n">
        <v>3</v>
      </c>
      <c r="AM2363" s="19" t="n">
        <v>1</v>
      </c>
      <c r="AN2363" s="19"/>
      <c r="AO2363" s="19"/>
      <c r="AP2363" s="19"/>
      <c r="AQ2363" s="19"/>
      <c r="AR2363" s="19"/>
      <c r="AS2363" s="20" t="str">
        <f aca="false">HYPERLINK("http://www.openstreetmap.org/?mlat=31.427&amp;mlon=45.1109&amp;zoom=12#map=12/31.427/45.1109","Maplink1")</f>
        <v>Maplink1</v>
      </c>
      <c r="AT2363" s="20" t="str">
        <f aca="false">HYPERLINK("https://www.google.iq/maps/search/+31.427,45.1109/@31.427,45.1109,14z?hl=en","Maplink2")</f>
        <v>Maplink2</v>
      </c>
      <c r="AU2363" s="20" t="str">
        <f aca="false">HYPERLINK("http://www.bing.com/maps/?lvl=14&amp;sty=h&amp;cp=31.427~45.1109&amp;sp=point.31.427_45.1109","Maplink3")</f>
        <v>Maplink3</v>
      </c>
    </row>
    <row r="2364" customFormat="false" ht="15" hidden="false" customHeight="true" outlineLevel="0" collapsed="false">
      <c r="A2364" s="15" t="n">
        <v>1393</v>
      </c>
      <c r="B2364" s="16" t="s">
        <v>25</v>
      </c>
      <c r="C2364" s="16" t="s">
        <v>4577</v>
      </c>
      <c r="D2364" s="16" t="s">
        <v>4580</v>
      </c>
      <c r="E2364" s="17" t="s">
        <v>4581</v>
      </c>
      <c r="F2364" s="16" t="n">
        <v>31.40022116</v>
      </c>
      <c r="G2364" s="16" t="n">
        <v>45.19888722</v>
      </c>
      <c r="H2364" s="18" t="n">
        <v>28</v>
      </c>
      <c r="I2364" s="18" t="n">
        <v>168</v>
      </c>
      <c r="J2364" s="19"/>
      <c r="K2364" s="19"/>
      <c r="L2364" s="19"/>
      <c r="M2364" s="19"/>
      <c r="N2364" s="19"/>
      <c r="O2364" s="19"/>
      <c r="P2364" s="19"/>
      <c r="Q2364" s="19"/>
      <c r="R2364" s="19" t="n">
        <v>1</v>
      </c>
      <c r="S2364" s="19"/>
      <c r="T2364" s="19"/>
      <c r="U2364" s="19"/>
      <c r="V2364" s="19" t="n">
        <v>27</v>
      </c>
      <c r="W2364" s="19"/>
      <c r="X2364" s="19"/>
      <c r="Y2364" s="19"/>
      <c r="Z2364" s="19"/>
      <c r="AA2364" s="19"/>
      <c r="AB2364" s="19"/>
      <c r="AC2364" s="19" t="n">
        <v>16</v>
      </c>
      <c r="AD2364" s="19"/>
      <c r="AE2364" s="19"/>
      <c r="AF2364" s="19" t="n">
        <v>1</v>
      </c>
      <c r="AG2364" s="19"/>
      <c r="AH2364" s="19" t="n">
        <v>11</v>
      </c>
      <c r="AI2364" s="19"/>
      <c r="AJ2364" s="19"/>
      <c r="AK2364" s="19"/>
      <c r="AL2364" s="19"/>
      <c r="AM2364" s="19" t="n">
        <v>1</v>
      </c>
      <c r="AN2364" s="19" t="n">
        <v>27</v>
      </c>
      <c r="AO2364" s="19"/>
      <c r="AP2364" s="19"/>
      <c r="AQ2364" s="19"/>
      <c r="AR2364" s="19"/>
      <c r="AS2364" s="20" t="str">
        <f aca="false">HYPERLINK("http://www.openstreetmap.org/?mlat=31.4002&amp;mlon=45.1989&amp;zoom=12#map=12/31.4002/45.1989","Maplink1")</f>
        <v>Maplink1</v>
      </c>
      <c r="AT2364" s="20" t="str">
        <f aca="false">HYPERLINK("https://www.google.iq/maps/search/+31.4002,45.1989/@31.4002,45.1989,14z?hl=en","Maplink2")</f>
        <v>Maplink2</v>
      </c>
      <c r="AU2364" s="20" t="str">
        <f aca="false">HYPERLINK("http://www.bing.com/maps/?lvl=14&amp;sty=h&amp;cp=31.4002~45.1989&amp;sp=point.31.4002_45.1989","Maplink3")</f>
        <v>Maplink3</v>
      </c>
    </row>
    <row r="2365" customFormat="false" ht="15" hidden="false" customHeight="true" outlineLevel="0" collapsed="false">
      <c r="A2365" s="15" t="n">
        <v>27228</v>
      </c>
      <c r="B2365" s="16" t="s">
        <v>25</v>
      </c>
      <c r="C2365" s="16" t="s">
        <v>4577</v>
      </c>
      <c r="D2365" s="16" t="s">
        <v>4582</v>
      </c>
      <c r="E2365" s="17" t="s">
        <v>4583</v>
      </c>
      <c r="F2365" s="16" t="n">
        <v>31.462048</v>
      </c>
      <c r="G2365" s="16" t="n">
        <v>45.290692</v>
      </c>
      <c r="H2365" s="18" t="n">
        <v>13</v>
      </c>
      <c r="I2365" s="18" t="n">
        <v>78</v>
      </c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 t="n">
        <v>13</v>
      </c>
      <c r="W2365" s="19"/>
      <c r="X2365" s="19"/>
      <c r="Y2365" s="19"/>
      <c r="Z2365" s="19"/>
      <c r="AA2365" s="19"/>
      <c r="AB2365" s="19"/>
      <c r="AC2365" s="19" t="n">
        <v>4</v>
      </c>
      <c r="AD2365" s="19"/>
      <c r="AE2365" s="19"/>
      <c r="AF2365" s="19"/>
      <c r="AG2365" s="19"/>
      <c r="AH2365" s="19" t="n">
        <v>9</v>
      </c>
      <c r="AI2365" s="19"/>
      <c r="AJ2365" s="19"/>
      <c r="AK2365" s="19"/>
      <c r="AL2365" s="19"/>
      <c r="AM2365" s="19" t="n">
        <v>13</v>
      </c>
      <c r="AN2365" s="19"/>
      <c r="AO2365" s="19"/>
      <c r="AP2365" s="19"/>
      <c r="AQ2365" s="19"/>
      <c r="AR2365" s="19"/>
      <c r="AS2365" s="20" t="str">
        <f aca="false">HYPERLINK("http://www.openstreetmap.org/?mlat=31.462&amp;mlon=45.2907&amp;zoom=12#map=12/31.462/45.2907","Maplink1")</f>
        <v>Maplink1</v>
      </c>
      <c r="AT2365" s="20" t="str">
        <f aca="false">HYPERLINK("https://www.google.iq/maps/search/+31.462,45.2907/@31.462,45.2907,14z?hl=en","Maplink2")</f>
        <v>Maplink2</v>
      </c>
      <c r="AU2365" s="20" t="str">
        <f aca="false">HYPERLINK("http://www.bing.com/maps/?lvl=14&amp;sty=h&amp;cp=31.462~45.2907&amp;sp=point.31.462_45.2907","Maplink3")</f>
        <v>Maplink3</v>
      </c>
    </row>
    <row r="2366" customFormat="false" ht="15" hidden="false" customHeight="true" outlineLevel="0" collapsed="false">
      <c r="A2366" s="15" t="n">
        <v>25498</v>
      </c>
      <c r="B2366" s="16" t="s">
        <v>25</v>
      </c>
      <c r="C2366" s="16" t="s">
        <v>4577</v>
      </c>
      <c r="D2366" s="16" t="s">
        <v>4584</v>
      </c>
      <c r="E2366" s="17" t="s">
        <v>4585</v>
      </c>
      <c r="F2366" s="16" t="n">
        <v>31.468325</v>
      </c>
      <c r="G2366" s="16" t="n">
        <v>45.289367</v>
      </c>
      <c r="H2366" s="18" t="n">
        <v>30</v>
      </c>
      <c r="I2366" s="18" t="n">
        <v>180</v>
      </c>
      <c r="J2366" s="19" t="n">
        <v>10</v>
      </c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 t="n">
        <v>20</v>
      </c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9"/>
      <c r="AH2366" s="19" t="n">
        <v>30</v>
      </c>
      <c r="AI2366" s="19"/>
      <c r="AJ2366" s="19"/>
      <c r="AK2366" s="19"/>
      <c r="AL2366" s="19"/>
      <c r="AM2366" s="19" t="n">
        <v>12</v>
      </c>
      <c r="AN2366" s="19" t="n">
        <v>10</v>
      </c>
      <c r="AO2366" s="19" t="n">
        <v>8</v>
      </c>
      <c r="AP2366" s="19"/>
      <c r="AQ2366" s="19"/>
      <c r="AR2366" s="19"/>
      <c r="AS2366" s="20" t="str">
        <f aca="false">HYPERLINK("http://www.openstreetmap.org/?mlat=31.4683&amp;mlon=45.2894&amp;zoom=12#map=12/31.4683/45.2894","Maplink1")</f>
        <v>Maplink1</v>
      </c>
      <c r="AT2366" s="20" t="str">
        <f aca="false">HYPERLINK("https://www.google.iq/maps/search/+31.4683,45.2894/@31.4683,45.2894,14z?hl=en","Maplink2")</f>
        <v>Maplink2</v>
      </c>
      <c r="AU2366" s="20" t="str">
        <f aca="false">HYPERLINK("http://www.bing.com/maps/?lvl=14&amp;sty=h&amp;cp=31.4683~45.2894&amp;sp=point.31.4683_45.2894","Maplink3")</f>
        <v>Maplink3</v>
      </c>
    </row>
    <row r="2367" customFormat="false" ht="15" hidden="false" customHeight="true" outlineLevel="0" collapsed="false">
      <c r="A2367" s="15" t="n">
        <v>29680</v>
      </c>
      <c r="B2367" s="16" t="s">
        <v>25</v>
      </c>
      <c r="C2367" s="16" t="s">
        <v>4577</v>
      </c>
      <c r="D2367" s="16" t="s">
        <v>4586</v>
      </c>
      <c r="E2367" s="17" t="s">
        <v>4587</v>
      </c>
      <c r="F2367" s="16" t="n">
        <v>31.446388</v>
      </c>
      <c r="G2367" s="16" t="n">
        <v>45.288055</v>
      </c>
      <c r="H2367" s="18" t="n">
        <v>2</v>
      </c>
      <c r="I2367" s="18" t="n">
        <v>12</v>
      </c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 t="n">
        <v>2</v>
      </c>
      <c r="W2367" s="19"/>
      <c r="X2367" s="19"/>
      <c r="Y2367" s="19"/>
      <c r="Z2367" s="19"/>
      <c r="AA2367" s="19"/>
      <c r="AB2367" s="19"/>
      <c r="AC2367" s="19" t="n">
        <v>1</v>
      </c>
      <c r="AD2367" s="19"/>
      <c r="AE2367" s="19"/>
      <c r="AF2367" s="19"/>
      <c r="AG2367" s="19"/>
      <c r="AH2367" s="19" t="n">
        <v>1</v>
      </c>
      <c r="AI2367" s="19"/>
      <c r="AJ2367" s="19"/>
      <c r="AK2367" s="19"/>
      <c r="AL2367" s="19"/>
      <c r="AM2367" s="19" t="n">
        <v>2</v>
      </c>
      <c r="AN2367" s="19"/>
      <c r="AO2367" s="19"/>
      <c r="AP2367" s="19"/>
      <c r="AQ2367" s="19"/>
      <c r="AR2367" s="19"/>
      <c r="AS2367" s="20" t="str">
        <f aca="false">HYPERLINK("http://www.openstreetmap.org/?mlat=31.4464&amp;mlon=45.2881&amp;zoom=12#map=12/31.4464/45.2881","Maplink1")</f>
        <v>Maplink1</v>
      </c>
      <c r="AT2367" s="20" t="str">
        <f aca="false">HYPERLINK("https://www.google.iq/maps/search/+31.4464,45.2881/@31.4464,45.2881,14z?hl=en","Maplink2")</f>
        <v>Maplink2</v>
      </c>
      <c r="AU2367" s="20" t="str">
        <f aca="false">HYPERLINK("http://www.bing.com/maps/?lvl=14&amp;sty=h&amp;cp=31.4464~45.2881&amp;sp=point.31.4464_45.2881","Maplink3")</f>
        <v>Maplink3</v>
      </c>
    </row>
    <row r="2368" customFormat="false" ht="15" hidden="false" customHeight="true" outlineLevel="0" collapsed="false">
      <c r="A2368" s="15" t="n">
        <v>29681</v>
      </c>
      <c r="B2368" s="16" t="s">
        <v>25</v>
      </c>
      <c r="C2368" s="16" t="s">
        <v>4577</v>
      </c>
      <c r="D2368" s="16" t="s">
        <v>4588</v>
      </c>
      <c r="E2368" s="17" t="s">
        <v>4589</v>
      </c>
      <c r="F2368" s="16" t="n">
        <v>31.47833</v>
      </c>
      <c r="G2368" s="16" t="n">
        <v>45.285278</v>
      </c>
      <c r="H2368" s="18" t="n">
        <v>1</v>
      </c>
      <c r="I2368" s="18" t="n">
        <v>6</v>
      </c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 t="n">
        <v>1</v>
      </c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9"/>
      <c r="AH2368" s="19" t="n">
        <v>1</v>
      </c>
      <c r="AI2368" s="19"/>
      <c r="AJ2368" s="19"/>
      <c r="AK2368" s="19"/>
      <c r="AL2368" s="19"/>
      <c r="AM2368" s="19"/>
      <c r="AN2368" s="19" t="n">
        <v>1</v>
      </c>
      <c r="AO2368" s="19"/>
      <c r="AP2368" s="19"/>
      <c r="AQ2368" s="19"/>
      <c r="AR2368" s="19"/>
      <c r="AS2368" s="20" t="str">
        <f aca="false">HYPERLINK("http://www.openstreetmap.org/?mlat=31.4783&amp;mlon=45.2853&amp;zoom=12#map=12/31.4783/45.2853","Maplink1")</f>
        <v>Maplink1</v>
      </c>
      <c r="AT2368" s="20" t="str">
        <f aca="false">HYPERLINK("https://www.google.iq/maps/search/+31.4783,45.2853/@31.4783,45.2853,14z?hl=en","Maplink2")</f>
        <v>Maplink2</v>
      </c>
      <c r="AU2368" s="20" t="str">
        <f aca="false">HYPERLINK("http://www.bing.com/maps/?lvl=14&amp;sty=h&amp;cp=31.4783~45.2853&amp;sp=point.31.4783_45.2853","Maplink3")</f>
        <v>Maplink3</v>
      </c>
    </row>
    <row r="2369" customFormat="false" ht="15" hidden="false" customHeight="true" outlineLevel="0" collapsed="false">
      <c r="A2369" s="15" t="n">
        <v>1888</v>
      </c>
      <c r="B2369" s="16" t="s">
        <v>25</v>
      </c>
      <c r="C2369" s="16" t="s">
        <v>4577</v>
      </c>
      <c r="D2369" s="16" t="s">
        <v>4548</v>
      </c>
      <c r="E2369" s="17" t="s">
        <v>79</v>
      </c>
      <c r="F2369" s="16" t="n">
        <v>31.53042175</v>
      </c>
      <c r="G2369" s="16" t="n">
        <v>45.20625207</v>
      </c>
      <c r="H2369" s="18" t="n">
        <v>17</v>
      </c>
      <c r="I2369" s="18" t="n">
        <v>102</v>
      </c>
      <c r="J2369" s="19" t="n">
        <v>2</v>
      </c>
      <c r="K2369" s="19"/>
      <c r="L2369" s="19" t="n">
        <v>2</v>
      </c>
      <c r="M2369" s="19"/>
      <c r="N2369" s="19"/>
      <c r="O2369" s="19"/>
      <c r="P2369" s="19"/>
      <c r="Q2369" s="19"/>
      <c r="R2369" s="19"/>
      <c r="S2369" s="19"/>
      <c r="T2369" s="19"/>
      <c r="U2369" s="19"/>
      <c r="V2369" s="19" t="n">
        <v>13</v>
      </c>
      <c r="W2369" s="19"/>
      <c r="X2369" s="19"/>
      <c r="Y2369" s="19"/>
      <c r="Z2369" s="19"/>
      <c r="AA2369" s="19"/>
      <c r="AB2369" s="19"/>
      <c r="AC2369" s="19" t="n">
        <v>12</v>
      </c>
      <c r="AD2369" s="19"/>
      <c r="AE2369" s="19"/>
      <c r="AF2369" s="19"/>
      <c r="AG2369" s="19"/>
      <c r="AH2369" s="19" t="n">
        <v>5</v>
      </c>
      <c r="AI2369" s="19"/>
      <c r="AJ2369" s="19"/>
      <c r="AK2369" s="19"/>
      <c r="AL2369" s="19" t="n">
        <v>2</v>
      </c>
      <c r="AM2369" s="19" t="n">
        <v>12</v>
      </c>
      <c r="AN2369" s="19" t="n">
        <v>1</v>
      </c>
      <c r="AO2369" s="19" t="n">
        <v>1</v>
      </c>
      <c r="AP2369" s="19" t="n">
        <v>1</v>
      </c>
      <c r="AQ2369" s="19"/>
      <c r="AR2369" s="19"/>
      <c r="AS2369" s="20" t="str">
        <f aca="false">HYPERLINK("http://www.openstreetmap.org/?mlat=31.5304&amp;mlon=45.2063&amp;zoom=12#map=12/31.5304/45.2063","Maplink1")</f>
        <v>Maplink1</v>
      </c>
      <c r="AT2369" s="20" t="str">
        <f aca="false">HYPERLINK("https://www.google.iq/maps/search/+31.5304,45.2063/@31.5304,45.2063,14z?hl=en","Maplink2")</f>
        <v>Maplink2</v>
      </c>
      <c r="AU2369" s="20" t="str">
        <f aca="false">HYPERLINK("http://www.bing.com/maps/?lvl=14&amp;sty=h&amp;cp=31.5304~45.2063&amp;sp=point.31.5304_45.2063","Maplink3")</f>
        <v>Maplink3</v>
      </c>
    </row>
    <row r="2370" customFormat="false" ht="15" hidden="false" customHeight="true" outlineLevel="0" collapsed="false">
      <c r="A2370" s="15" t="n">
        <v>1991</v>
      </c>
      <c r="B2370" s="16" t="s">
        <v>25</v>
      </c>
      <c r="C2370" s="16" t="s">
        <v>4577</v>
      </c>
      <c r="D2370" s="16" t="s">
        <v>4590</v>
      </c>
      <c r="E2370" s="17" t="s">
        <v>4591</v>
      </c>
      <c r="F2370" s="16" t="n">
        <v>31.538889</v>
      </c>
      <c r="G2370" s="16" t="n">
        <v>45.183334</v>
      </c>
      <c r="H2370" s="18" t="n">
        <v>82</v>
      </c>
      <c r="I2370" s="18" t="n">
        <v>492</v>
      </c>
      <c r="J2370" s="19" t="n">
        <v>6</v>
      </c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 t="n">
        <v>75</v>
      </c>
      <c r="W2370" s="19"/>
      <c r="X2370" s="19" t="n">
        <v>1</v>
      </c>
      <c r="Y2370" s="19"/>
      <c r="Z2370" s="19"/>
      <c r="AA2370" s="19"/>
      <c r="AB2370" s="19"/>
      <c r="AC2370" s="19"/>
      <c r="AD2370" s="19"/>
      <c r="AE2370" s="19"/>
      <c r="AF2370" s="19"/>
      <c r="AG2370" s="19"/>
      <c r="AH2370" s="19"/>
      <c r="AI2370" s="19"/>
      <c r="AJ2370" s="19" t="n">
        <v>82</v>
      </c>
      <c r="AK2370" s="19"/>
      <c r="AL2370" s="19" t="n">
        <v>1</v>
      </c>
      <c r="AM2370" s="19" t="n">
        <v>42</v>
      </c>
      <c r="AN2370" s="19" t="n">
        <v>34</v>
      </c>
      <c r="AO2370" s="19" t="n">
        <v>4</v>
      </c>
      <c r="AP2370" s="19" t="n">
        <v>1</v>
      </c>
      <c r="AQ2370" s="19"/>
      <c r="AR2370" s="19"/>
      <c r="AS2370" s="20" t="str">
        <f aca="false">HYPERLINK("http://www.openstreetmap.org/?mlat=31.5389&amp;mlon=45.1833&amp;zoom=12#map=12/31.5389/45.1833","Maplink1")</f>
        <v>Maplink1</v>
      </c>
      <c r="AT2370" s="20" t="str">
        <f aca="false">HYPERLINK("https://www.google.iq/maps/search/+31.5389,45.1833/@31.5389,45.1833,14z?hl=en","Maplink2")</f>
        <v>Maplink2</v>
      </c>
      <c r="AU2370" s="20" t="str">
        <f aca="false">HYPERLINK("http://www.bing.com/maps/?lvl=14&amp;sty=h&amp;cp=31.5389~45.1833&amp;sp=point.31.5389_45.1833","Maplink3")</f>
        <v>Maplink3</v>
      </c>
    </row>
    <row r="2371" customFormat="false" ht="15" hidden="false" customHeight="true" outlineLevel="0" collapsed="false">
      <c r="A2371" s="15" t="n">
        <v>25976</v>
      </c>
      <c r="B2371" s="16" t="s">
        <v>25</v>
      </c>
      <c r="C2371" s="16" t="s">
        <v>4577</v>
      </c>
      <c r="D2371" s="16" t="s">
        <v>4592</v>
      </c>
      <c r="E2371" s="17" t="s">
        <v>85</v>
      </c>
      <c r="F2371" s="16" t="n">
        <v>31.46828222</v>
      </c>
      <c r="G2371" s="16" t="n">
        <v>45.29094039</v>
      </c>
      <c r="H2371" s="18" t="n">
        <v>36</v>
      </c>
      <c r="I2371" s="18" t="n">
        <v>216</v>
      </c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 t="n">
        <v>36</v>
      </c>
      <c r="W2371" s="19"/>
      <c r="X2371" s="19"/>
      <c r="Y2371" s="19"/>
      <c r="Z2371" s="19"/>
      <c r="AA2371" s="19"/>
      <c r="AB2371" s="19"/>
      <c r="AC2371" s="19" t="n">
        <v>11</v>
      </c>
      <c r="AD2371" s="19"/>
      <c r="AE2371" s="19"/>
      <c r="AF2371" s="19"/>
      <c r="AG2371" s="19" t="n">
        <v>3</v>
      </c>
      <c r="AH2371" s="19" t="n">
        <v>22</v>
      </c>
      <c r="AI2371" s="19"/>
      <c r="AJ2371" s="19"/>
      <c r="AK2371" s="19"/>
      <c r="AL2371" s="19"/>
      <c r="AM2371" s="19" t="n">
        <v>36</v>
      </c>
      <c r="AN2371" s="19"/>
      <c r="AO2371" s="19"/>
      <c r="AP2371" s="19"/>
      <c r="AQ2371" s="19"/>
      <c r="AR2371" s="19"/>
      <c r="AS2371" s="20" t="str">
        <f aca="false">HYPERLINK("http://www.openstreetmap.org/?mlat=31.4683&amp;mlon=45.2909&amp;zoom=12#map=12/31.4683/45.2909","Maplink1")</f>
        <v>Maplink1</v>
      </c>
      <c r="AT2371" s="20" t="str">
        <f aca="false">HYPERLINK("https://www.google.iq/maps/search/+31.4683,45.2909/@31.4683,45.2909,14z?hl=en","Maplink2")</f>
        <v>Maplink2</v>
      </c>
      <c r="AU2371" s="20" t="str">
        <f aca="false">HYPERLINK("http://www.bing.com/maps/?lvl=14&amp;sty=h&amp;cp=31.4683~45.2909&amp;sp=point.31.4683_45.2909","Maplink3")</f>
        <v>Maplink3</v>
      </c>
    </row>
    <row r="2372" customFormat="false" ht="15" hidden="false" customHeight="true" outlineLevel="0" collapsed="false">
      <c r="A2372" s="15" t="n">
        <v>1787</v>
      </c>
      <c r="B2372" s="16" t="s">
        <v>25</v>
      </c>
      <c r="C2372" s="16" t="s">
        <v>4577</v>
      </c>
      <c r="D2372" s="16" t="s">
        <v>4593</v>
      </c>
      <c r="E2372" s="17" t="s">
        <v>79</v>
      </c>
      <c r="F2372" s="16" t="n">
        <v>31.46139</v>
      </c>
      <c r="G2372" s="16" t="n">
        <v>45.293335</v>
      </c>
      <c r="H2372" s="18" t="n">
        <v>5</v>
      </c>
      <c r="I2372" s="18" t="n">
        <v>30</v>
      </c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 t="n">
        <v>5</v>
      </c>
      <c r="W2372" s="19"/>
      <c r="X2372" s="19"/>
      <c r="Y2372" s="19"/>
      <c r="Z2372" s="19"/>
      <c r="AA2372" s="19"/>
      <c r="AB2372" s="19"/>
      <c r="AC2372" s="19" t="n">
        <v>3</v>
      </c>
      <c r="AD2372" s="19"/>
      <c r="AE2372" s="19"/>
      <c r="AF2372" s="19"/>
      <c r="AG2372" s="19"/>
      <c r="AH2372" s="19" t="n">
        <v>2</v>
      </c>
      <c r="AI2372" s="19"/>
      <c r="AJ2372" s="19"/>
      <c r="AK2372" s="19"/>
      <c r="AL2372" s="19"/>
      <c r="AM2372" s="19" t="n">
        <v>4</v>
      </c>
      <c r="AN2372" s="19" t="n">
        <v>1</v>
      </c>
      <c r="AO2372" s="19"/>
      <c r="AP2372" s="19"/>
      <c r="AQ2372" s="19"/>
      <c r="AR2372" s="19"/>
      <c r="AS2372" s="20" t="str">
        <f aca="false">HYPERLINK("http://www.openstreetmap.org/?mlat=31.4614&amp;mlon=45.2933&amp;zoom=12#map=12/31.4614/45.2933","Maplink1")</f>
        <v>Maplink1</v>
      </c>
      <c r="AT2372" s="20" t="str">
        <f aca="false">HYPERLINK("https://www.google.iq/maps/search/+31.4614,45.2933/@31.4614,45.2933,14z?hl=en","Maplink2")</f>
        <v>Maplink2</v>
      </c>
      <c r="AU2372" s="20" t="str">
        <f aca="false">HYPERLINK("http://www.bing.com/maps/?lvl=14&amp;sty=h&amp;cp=31.4614~45.2933&amp;sp=point.31.4614_45.2933","Maplink3")</f>
        <v>Maplink3</v>
      </c>
    </row>
    <row r="2373" customFormat="false" ht="15" hidden="false" customHeight="true" outlineLevel="0" collapsed="false">
      <c r="A2373" s="15" t="n">
        <v>1885</v>
      </c>
      <c r="B2373" s="16" t="s">
        <v>25</v>
      </c>
      <c r="C2373" s="16" t="s">
        <v>4577</v>
      </c>
      <c r="D2373" s="16" t="s">
        <v>4594</v>
      </c>
      <c r="E2373" s="17" t="s">
        <v>572</v>
      </c>
      <c r="F2373" s="16" t="n">
        <v>31.52805562</v>
      </c>
      <c r="G2373" s="16" t="n">
        <v>45.2046585</v>
      </c>
      <c r="H2373" s="18" t="n">
        <v>8</v>
      </c>
      <c r="I2373" s="18" t="n">
        <v>48</v>
      </c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 t="n">
        <v>8</v>
      </c>
      <c r="W2373" s="19"/>
      <c r="X2373" s="19"/>
      <c r="Y2373" s="19"/>
      <c r="Z2373" s="19"/>
      <c r="AA2373" s="19"/>
      <c r="AB2373" s="19"/>
      <c r="AC2373" s="19" t="n">
        <v>7</v>
      </c>
      <c r="AD2373" s="19"/>
      <c r="AE2373" s="19"/>
      <c r="AF2373" s="19"/>
      <c r="AG2373" s="19"/>
      <c r="AH2373" s="19" t="n">
        <v>1</v>
      </c>
      <c r="AI2373" s="19"/>
      <c r="AJ2373" s="19"/>
      <c r="AK2373" s="19"/>
      <c r="AL2373" s="19"/>
      <c r="AM2373" s="19" t="n">
        <v>6</v>
      </c>
      <c r="AN2373" s="19" t="n">
        <v>2</v>
      </c>
      <c r="AO2373" s="19"/>
      <c r="AP2373" s="19"/>
      <c r="AQ2373" s="19"/>
      <c r="AR2373" s="19"/>
      <c r="AS2373" s="20" t="str">
        <f aca="false">HYPERLINK("http://www.openstreetmap.org/?mlat=31.5281&amp;mlon=45.2047&amp;zoom=12#map=12/31.5281/45.2047","Maplink1")</f>
        <v>Maplink1</v>
      </c>
      <c r="AT2373" s="20" t="str">
        <f aca="false">HYPERLINK("https://www.google.iq/maps/search/+31.5281,45.2047/@31.5281,45.2047,14z?hl=en","Maplink2")</f>
        <v>Maplink2</v>
      </c>
      <c r="AU2373" s="20" t="str">
        <f aca="false">HYPERLINK("http://www.bing.com/maps/?lvl=14&amp;sty=h&amp;cp=31.5281~45.2047&amp;sp=point.31.5281_45.2047","Maplink3")</f>
        <v>Maplink3</v>
      </c>
    </row>
    <row r="2374" customFormat="false" ht="15" hidden="false" customHeight="true" outlineLevel="0" collapsed="false">
      <c r="A2374" s="15" t="n">
        <v>1587</v>
      </c>
      <c r="B2374" s="16" t="s">
        <v>25</v>
      </c>
      <c r="C2374" s="16" t="s">
        <v>4595</v>
      </c>
      <c r="D2374" s="16" t="s">
        <v>4596</v>
      </c>
      <c r="E2374" s="17" t="s">
        <v>4597</v>
      </c>
      <c r="F2374" s="16" t="n">
        <v>31.31634677</v>
      </c>
      <c r="G2374" s="16" t="n">
        <v>45.30273959</v>
      </c>
      <c r="H2374" s="18" t="n">
        <v>12</v>
      </c>
      <c r="I2374" s="18" t="n">
        <v>72</v>
      </c>
      <c r="J2374" s="19" t="n">
        <v>3</v>
      </c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 t="n">
        <v>8</v>
      </c>
      <c r="W2374" s="19"/>
      <c r="X2374" s="19" t="n">
        <v>1</v>
      </c>
      <c r="Y2374" s="19"/>
      <c r="Z2374" s="19"/>
      <c r="AA2374" s="19"/>
      <c r="AB2374" s="19"/>
      <c r="AC2374" s="19" t="n">
        <v>6</v>
      </c>
      <c r="AD2374" s="19"/>
      <c r="AE2374" s="19"/>
      <c r="AF2374" s="19"/>
      <c r="AG2374" s="19" t="n">
        <v>4</v>
      </c>
      <c r="AH2374" s="19" t="n">
        <v>2</v>
      </c>
      <c r="AI2374" s="19"/>
      <c r="AJ2374" s="19"/>
      <c r="AK2374" s="19"/>
      <c r="AL2374" s="19"/>
      <c r="AM2374" s="19"/>
      <c r="AN2374" s="19" t="n">
        <v>9</v>
      </c>
      <c r="AO2374" s="19" t="n">
        <v>1</v>
      </c>
      <c r="AP2374" s="19" t="n">
        <v>2</v>
      </c>
      <c r="AQ2374" s="19"/>
      <c r="AR2374" s="19"/>
      <c r="AS2374" s="20" t="str">
        <f aca="false">HYPERLINK("http://www.openstreetmap.org/?mlat=31.3163&amp;mlon=45.3027&amp;zoom=12#map=12/31.3163/45.3027","Maplink1")</f>
        <v>Maplink1</v>
      </c>
      <c r="AT2374" s="20" t="str">
        <f aca="false">HYPERLINK("https://www.google.iq/maps/search/+31.3163,45.3027/@31.3163,45.3027,14z?hl=en","Maplink2")</f>
        <v>Maplink2</v>
      </c>
      <c r="AU2374" s="20" t="str">
        <f aca="false">HYPERLINK("http://www.bing.com/maps/?lvl=14&amp;sty=h&amp;cp=31.3163~45.3027&amp;sp=point.31.3163_45.3027","Maplink3")</f>
        <v>Maplink3</v>
      </c>
    </row>
    <row r="2375" customFormat="false" ht="15" hidden="false" customHeight="true" outlineLevel="0" collapsed="false">
      <c r="A2375" s="15" t="n">
        <v>28421</v>
      </c>
      <c r="B2375" s="16" t="s">
        <v>25</v>
      </c>
      <c r="C2375" s="16" t="s">
        <v>4595</v>
      </c>
      <c r="D2375" s="16" t="s">
        <v>4598</v>
      </c>
      <c r="E2375" s="17" t="s">
        <v>4599</v>
      </c>
      <c r="F2375" s="16" t="n">
        <v>31.38489255</v>
      </c>
      <c r="G2375" s="16" t="n">
        <v>45.24696792</v>
      </c>
      <c r="H2375" s="18" t="n">
        <v>12</v>
      </c>
      <c r="I2375" s="18" t="n">
        <v>72</v>
      </c>
      <c r="J2375" s="19" t="n">
        <v>8</v>
      </c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 t="n">
        <v>4</v>
      </c>
      <c r="W2375" s="19"/>
      <c r="X2375" s="19"/>
      <c r="Y2375" s="19"/>
      <c r="Z2375" s="19"/>
      <c r="AA2375" s="19"/>
      <c r="AB2375" s="19"/>
      <c r="AC2375" s="19" t="n">
        <v>2</v>
      </c>
      <c r="AD2375" s="19"/>
      <c r="AE2375" s="19"/>
      <c r="AF2375" s="19"/>
      <c r="AG2375" s="19"/>
      <c r="AH2375" s="19" t="n">
        <v>10</v>
      </c>
      <c r="AI2375" s="19"/>
      <c r="AJ2375" s="19"/>
      <c r="AK2375" s="19"/>
      <c r="AL2375" s="19"/>
      <c r="AM2375" s="19" t="n">
        <v>4</v>
      </c>
      <c r="AN2375" s="19" t="n">
        <v>2</v>
      </c>
      <c r="AO2375" s="19"/>
      <c r="AP2375" s="19" t="n">
        <v>6</v>
      </c>
      <c r="AQ2375" s="19"/>
      <c r="AR2375" s="19"/>
      <c r="AS2375" s="20" t="str">
        <f aca="false">HYPERLINK("http://www.openstreetmap.org/?mlat=31.3849&amp;mlon=45.247&amp;zoom=12#map=12/31.3849/45.247","Maplink1")</f>
        <v>Maplink1</v>
      </c>
      <c r="AT2375" s="20" t="str">
        <f aca="false">HYPERLINK("https://www.google.iq/maps/search/+31.3849,45.247/@31.3849,45.247,14z?hl=en","Maplink2")</f>
        <v>Maplink2</v>
      </c>
      <c r="AU2375" s="20" t="str">
        <f aca="false">HYPERLINK("http://www.bing.com/maps/?lvl=14&amp;sty=h&amp;cp=31.3849~45.247&amp;sp=point.31.3849_45.247","Maplink3")</f>
        <v>Maplink3</v>
      </c>
    </row>
    <row r="2376" customFormat="false" ht="15" hidden="false" customHeight="true" outlineLevel="0" collapsed="false">
      <c r="A2376" s="15" t="n">
        <v>25497</v>
      </c>
      <c r="B2376" s="16" t="s">
        <v>25</v>
      </c>
      <c r="C2376" s="16" t="s">
        <v>4595</v>
      </c>
      <c r="D2376" s="16" t="s">
        <v>4600</v>
      </c>
      <c r="E2376" s="17" t="s">
        <v>4601</v>
      </c>
      <c r="F2376" s="16" t="n">
        <v>31.3085933</v>
      </c>
      <c r="G2376" s="16" t="n">
        <v>45.22046895</v>
      </c>
      <c r="H2376" s="18" t="n">
        <v>12</v>
      </c>
      <c r="I2376" s="18" t="n">
        <v>72</v>
      </c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 t="n">
        <v>12</v>
      </c>
      <c r="W2376" s="19"/>
      <c r="X2376" s="19"/>
      <c r="Y2376" s="19"/>
      <c r="Z2376" s="19"/>
      <c r="AA2376" s="19"/>
      <c r="AB2376" s="19"/>
      <c r="AC2376" s="19" t="n">
        <v>2</v>
      </c>
      <c r="AD2376" s="19"/>
      <c r="AE2376" s="19"/>
      <c r="AF2376" s="19"/>
      <c r="AG2376" s="19"/>
      <c r="AH2376" s="19"/>
      <c r="AI2376" s="19"/>
      <c r="AJ2376" s="19" t="n">
        <v>10</v>
      </c>
      <c r="AK2376" s="19"/>
      <c r="AL2376" s="19"/>
      <c r="AM2376" s="19"/>
      <c r="AN2376" s="19" t="n">
        <v>2</v>
      </c>
      <c r="AO2376" s="19" t="n">
        <v>10</v>
      </c>
      <c r="AP2376" s="19"/>
      <c r="AQ2376" s="19"/>
      <c r="AR2376" s="19"/>
      <c r="AS2376" s="20" t="str">
        <f aca="false">HYPERLINK("http://www.openstreetmap.org/?mlat=31.3086&amp;mlon=45.2205&amp;zoom=12#map=12/31.3086/45.2205","Maplink1")</f>
        <v>Maplink1</v>
      </c>
      <c r="AT2376" s="20" t="str">
        <f aca="false">HYPERLINK("https://www.google.iq/maps/search/+31.3086,45.2205/@31.3086,45.2205,14z?hl=en","Maplink2")</f>
        <v>Maplink2</v>
      </c>
      <c r="AU2376" s="20" t="str">
        <f aca="false">HYPERLINK("http://www.bing.com/maps/?lvl=14&amp;sty=h&amp;cp=31.3086~45.2205&amp;sp=point.31.3086_45.2205","Maplink3")</f>
        <v>Maplink3</v>
      </c>
    </row>
    <row r="2377" customFormat="false" ht="15" hidden="false" customHeight="true" outlineLevel="0" collapsed="false">
      <c r="A2377" s="15" t="n">
        <v>26083</v>
      </c>
      <c r="B2377" s="16" t="s">
        <v>25</v>
      </c>
      <c r="C2377" s="16" t="s">
        <v>4595</v>
      </c>
      <c r="D2377" s="16" t="s">
        <v>4602</v>
      </c>
      <c r="E2377" s="17" t="s">
        <v>4603</v>
      </c>
      <c r="F2377" s="16" t="n">
        <v>31.2643506</v>
      </c>
      <c r="G2377" s="16" t="n">
        <v>45.06789132</v>
      </c>
      <c r="H2377" s="18" t="n">
        <v>6</v>
      </c>
      <c r="I2377" s="18" t="n">
        <v>36</v>
      </c>
      <c r="J2377" s="19" t="n">
        <v>6</v>
      </c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 t="n">
        <v>5</v>
      </c>
      <c r="AD2377" s="19"/>
      <c r="AE2377" s="19"/>
      <c r="AF2377" s="19"/>
      <c r="AG2377" s="19"/>
      <c r="AH2377" s="19" t="n">
        <v>1</v>
      </c>
      <c r="AI2377" s="19"/>
      <c r="AJ2377" s="19"/>
      <c r="AK2377" s="19"/>
      <c r="AL2377" s="19" t="n">
        <v>5</v>
      </c>
      <c r="AM2377" s="19"/>
      <c r="AN2377" s="19"/>
      <c r="AO2377" s="19"/>
      <c r="AP2377" s="19" t="n">
        <v>1</v>
      </c>
      <c r="AQ2377" s="19"/>
      <c r="AR2377" s="19"/>
      <c r="AS2377" s="20" t="str">
        <f aca="false">HYPERLINK("http://www.openstreetmap.org/?mlat=31.2644&amp;mlon=45.0679&amp;zoom=12#map=12/31.2644/45.0679","Maplink1")</f>
        <v>Maplink1</v>
      </c>
      <c r="AT2377" s="20" t="str">
        <f aca="false">HYPERLINK("https://www.google.iq/maps/search/+31.2644,45.0679/@31.2644,45.0679,14z?hl=en","Maplink2")</f>
        <v>Maplink2</v>
      </c>
      <c r="AU2377" s="20" t="str">
        <f aca="false">HYPERLINK("http://www.bing.com/maps/?lvl=14&amp;sty=h&amp;cp=31.2644~45.0679&amp;sp=point.31.2644_45.0679","Maplink3")</f>
        <v>Maplink3</v>
      </c>
    </row>
    <row r="2378" customFormat="false" ht="15" hidden="false" customHeight="true" outlineLevel="0" collapsed="false">
      <c r="A2378" s="15" t="n">
        <v>25496</v>
      </c>
      <c r="B2378" s="16" t="s">
        <v>25</v>
      </c>
      <c r="C2378" s="16" t="s">
        <v>4595</v>
      </c>
      <c r="D2378" s="16" t="s">
        <v>4604</v>
      </c>
      <c r="E2378" s="17" t="s">
        <v>4605</v>
      </c>
      <c r="F2378" s="16" t="n">
        <v>31.28498617</v>
      </c>
      <c r="G2378" s="16" t="n">
        <v>45.29714366</v>
      </c>
      <c r="H2378" s="18" t="n">
        <v>8</v>
      </c>
      <c r="I2378" s="18" t="n">
        <v>48</v>
      </c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 t="n">
        <v>8</v>
      </c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9" t="n">
        <v>8</v>
      </c>
      <c r="AH2378" s="19"/>
      <c r="AI2378" s="19"/>
      <c r="AJ2378" s="19"/>
      <c r="AK2378" s="19"/>
      <c r="AL2378" s="19"/>
      <c r="AM2378" s="19"/>
      <c r="AN2378" s="19" t="n">
        <v>8</v>
      </c>
      <c r="AO2378" s="19"/>
      <c r="AP2378" s="19"/>
      <c r="AQ2378" s="19"/>
      <c r="AR2378" s="19"/>
      <c r="AS2378" s="20" t="str">
        <f aca="false">HYPERLINK("http://www.openstreetmap.org/?mlat=31.285&amp;mlon=45.2971&amp;zoom=12#map=12/31.285/45.2971","Maplink1")</f>
        <v>Maplink1</v>
      </c>
      <c r="AT2378" s="20" t="str">
        <f aca="false">HYPERLINK("https://www.google.iq/maps/search/+31.285,45.2971/@31.285,45.2971,14z?hl=en","Maplink2")</f>
        <v>Maplink2</v>
      </c>
      <c r="AU2378" s="20" t="str">
        <f aca="false">HYPERLINK("http://www.bing.com/maps/?lvl=14&amp;sty=h&amp;cp=31.285~45.2971&amp;sp=point.31.285_45.2971","Maplink3")</f>
        <v>Maplink3</v>
      </c>
    </row>
    <row r="2379" customFormat="false" ht="15" hidden="false" customHeight="true" outlineLevel="0" collapsed="false">
      <c r="A2379" s="15" t="n">
        <v>25495</v>
      </c>
      <c r="B2379" s="16" t="s">
        <v>25</v>
      </c>
      <c r="C2379" s="16" t="s">
        <v>4595</v>
      </c>
      <c r="D2379" s="16" t="s">
        <v>4606</v>
      </c>
      <c r="E2379" s="17" t="s">
        <v>4607</v>
      </c>
      <c r="F2379" s="16" t="n">
        <v>31.27625093</v>
      </c>
      <c r="G2379" s="16" t="n">
        <v>45.31669227</v>
      </c>
      <c r="H2379" s="18" t="n">
        <v>5</v>
      </c>
      <c r="I2379" s="18" t="n">
        <v>30</v>
      </c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 t="n">
        <v>5</v>
      </c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9" t="n">
        <v>5</v>
      </c>
      <c r="AH2379" s="19"/>
      <c r="AI2379" s="19"/>
      <c r="AJ2379" s="19"/>
      <c r="AK2379" s="19"/>
      <c r="AL2379" s="19"/>
      <c r="AM2379" s="19"/>
      <c r="AN2379" s="19" t="n">
        <v>5</v>
      </c>
      <c r="AO2379" s="19"/>
      <c r="AP2379" s="19"/>
      <c r="AQ2379" s="19"/>
      <c r="AR2379" s="19"/>
      <c r="AS2379" s="20" t="str">
        <f aca="false">HYPERLINK("http://www.openstreetmap.org/?mlat=31.2763&amp;mlon=45.3167&amp;zoom=12#map=12/31.2763/45.3167","Maplink1")</f>
        <v>Maplink1</v>
      </c>
      <c r="AT2379" s="20" t="str">
        <f aca="false">HYPERLINK("https://www.google.iq/maps/search/+31.2763,45.3167/@31.2763,45.3167,14z?hl=en","Maplink2")</f>
        <v>Maplink2</v>
      </c>
      <c r="AU2379" s="20" t="str">
        <f aca="false">HYPERLINK("http://www.bing.com/maps/?lvl=14&amp;sty=h&amp;cp=31.2763~45.3167&amp;sp=point.31.2763_45.3167","Maplink3")</f>
        <v>Maplink3</v>
      </c>
    </row>
    <row r="2380" customFormat="false" ht="15" hidden="false" customHeight="true" outlineLevel="0" collapsed="false">
      <c r="A2380" s="15" t="n">
        <v>21434</v>
      </c>
      <c r="B2380" s="16" t="s">
        <v>25</v>
      </c>
      <c r="C2380" s="16" t="s">
        <v>4595</v>
      </c>
      <c r="D2380" s="16" t="s">
        <v>4608</v>
      </c>
      <c r="E2380" s="17" t="s">
        <v>4609</v>
      </c>
      <c r="F2380" s="16" t="n">
        <v>31.2698047</v>
      </c>
      <c r="G2380" s="16" t="n">
        <v>45.25620234</v>
      </c>
      <c r="H2380" s="18" t="n">
        <v>16</v>
      </c>
      <c r="I2380" s="18" t="n">
        <v>96</v>
      </c>
      <c r="J2380" s="19" t="n">
        <v>4</v>
      </c>
      <c r="K2380" s="19"/>
      <c r="L2380" s="19"/>
      <c r="M2380" s="19"/>
      <c r="N2380" s="19"/>
      <c r="O2380" s="19" t="n">
        <v>1</v>
      </c>
      <c r="P2380" s="19"/>
      <c r="Q2380" s="19"/>
      <c r="R2380" s="19"/>
      <c r="S2380" s="19"/>
      <c r="T2380" s="19"/>
      <c r="U2380" s="19"/>
      <c r="V2380" s="19" t="n">
        <v>11</v>
      </c>
      <c r="W2380" s="19"/>
      <c r="X2380" s="19"/>
      <c r="Y2380" s="19"/>
      <c r="Z2380" s="19"/>
      <c r="AA2380" s="19"/>
      <c r="AB2380" s="19"/>
      <c r="AC2380" s="19" t="n">
        <v>1</v>
      </c>
      <c r="AD2380" s="19"/>
      <c r="AE2380" s="19"/>
      <c r="AF2380" s="19"/>
      <c r="AG2380" s="19"/>
      <c r="AH2380" s="19" t="n">
        <v>15</v>
      </c>
      <c r="AI2380" s="19"/>
      <c r="AJ2380" s="19"/>
      <c r="AK2380" s="19"/>
      <c r="AL2380" s="19"/>
      <c r="AM2380" s="19" t="n">
        <v>11</v>
      </c>
      <c r="AN2380" s="19" t="n">
        <v>2</v>
      </c>
      <c r="AO2380" s="19" t="n">
        <v>2</v>
      </c>
      <c r="AP2380" s="19" t="n">
        <v>1</v>
      </c>
      <c r="AQ2380" s="19"/>
      <c r="AR2380" s="19"/>
      <c r="AS2380" s="20" t="str">
        <f aca="false">HYPERLINK("http://www.openstreetmap.org/?mlat=31.2698&amp;mlon=45.2562&amp;zoom=12#map=12/31.2698/45.2562","Maplink1")</f>
        <v>Maplink1</v>
      </c>
      <c r="AT2380" s="20" t="str">
        <f aca="false">HYPERLINK("https://www.google.iq/maps/search/+31.2698,45.2562/@31.2698,45.2562,14z?hl=en","Maplink2")</f>
        <v>Maplink2</v>
      </c>
      <c r="AU2380" s="20" t="str">
        <f aca="false">HYPERLINK("http://www.bing.com/maps/?lvl=14&amp;sty=h&amp;cp=31.2698~45.2562&amp;sp=point.31.2698_45.2562","Maplink3")</f>
        <v>Maplink3</v>
      </c>
    </row>
    <row r="2381" customFormat="false" ht="15" hidden="false" customHeight="true" outlineLevel="0" collapsed="false">
      <c r="A2381" s="15" t="n">
        <v>25430</v>
      </c>
      <c r="B2381" s="16" t="s">
        <v>25</v>
      </c>
      <c r="C2381" s="16" t="s">
        <v>4595</v>
      </c>
      <c r="D2381" s="16" t="s">
        <v>4584</v>
      </c>
      <c r="E2381" s="17" t="s">
        <v>4585</v>
      </c>
      <c r="F2381" s="16" t="n">
        <v>31.34463598</v>
      </c>
      <c r="G2381" s="16" t="n">
        <v>45.29342595</v>
      </c>
      <c r="H2381" s="18" t="n">
        <v>31</v>
      </c>
      <c r="I2381" s="18" t="n">
        <v>186</v>
      </c>
      <c r="J2381" s="19" t="n">
        <v>6</v>
      </c>
      <c r="K2381" s="19"/>
      <c r="L2381" s="19"/>
      <c r="M2381" s="19"/>
      <c r="N2381" s="19"/>
      <c r="O2381" s="19" t="n">
        <v>3</v>
      </c>
      <c r="P2381" s="19"/>
      <c r="Q2381" s="19"/>
      <c r="R2381" s="19"/>
      <c r="S2381" s="19"/>
      <c r="T2381" s="19"/>
      <c r="U2381" s="19"/>
      <c r="V2381" s="19" t="n">
        <v>21</v>
      </c>
      <c r="W2381" s="19"/>
      <c r="X2381" s="19" t="n">
        <v>1</v>
      </c>
      <c r="Y2381" s="19"/>
      <c r="Z2381" s="19"/>
      <c r="AA2381" s="19"/>
      <c r="AB2381" s="19"/>
      <c r="AC2381" s="19" t="n">
        <v>18</v>
      </c>
      <c r="AD2381" s="19"/>
      <c r="AE2381" s="19"/>
      <c r="AF2381" s="19"/>
      <c r="AG2381" s="19"/>
      <c r="AH2381" s="19" t="n">
        <v>13</v>
      </c>
      <c r="AI2381" s="19"/>
      <c r="AJ2381" s="19"/>
      <c r="AK2381" s="19"/>
      <c r="AL2381" s="19"/>
      <c r="AM2381" s="19" t="n">
        <v>6</v>
      </c>
      <c r="AN2381" s="19" t="n">
        <v>15</v>
      </c>
      <c r="AO2381" s="19" t="n">
        <v>6</v>
      </c>
      <c r="AP2381" s="19" t="n">
        <v>4</v>
      </c>
      <c r="AQ2381" s="19"/>
      <c r="AR2381" s="19"/>
      <c r="AS2381" s="20" t="str">
        <f aca="false">HYPERLINK("http://www.openstreetmap.org/?mlat=31.3446&amp;mlon=45.2934&amp;zoom=12#map=12/31.3446/45.2934","Maplink1")</f>
        <v>Maplink1</v>
      </c>
      <c r="AT2381" s="20" t="str">
        <f aca="false">HYPERLINK("https://www.google.iq/maps/search/+31.3446,45.2934/@31.3446,45.2934,14z?hl=en","Maplink2")</f>
        <v>Maplink2</v>
      </c>
      <c r="AU2381" s="20" t="str">
        <f aca="false">HYPERLINK("http://www.bing.com/maps/?lvl=14&amp;sty=h&amp;cp=31.3446~45.2934&amp;sp=point.31.3446_45.2934","Maplink3")</f>
        <v>Maplink3</v>
      </c>
    </row>
    <row r="2382" customFormat="false" ht="15" hidden="false" customHeight="true" outlineLevel="0" collapsed="false">
      <c r="A2382" s="15" t="n">
        <v>1492</v>
      </c>
      <c r="B2382" s="16" t="s">
        <v>25</v>
      </c>
      <c r="C2382" s="16" t="s">
        <v>4595</v>
      </c>
      <c r="D2382" s="16" t="s">
        <v>4610</v>
      </c>
      <c r="E2382" s="17" t="s">
        <v>4611</v>
      </c>
      <c r="F2382" s="16" t="n">
        <v>31.3050537</v>
      </c>
      <c r="G2382" s="16" t="n">
        <v>45.27817827</v>
      </c>
      <c r="H2382" s="18" t="n">
        <v>25</v>
      </c>
      <c r="I2382" s="18" t="n">
        <v>150</v>
      </c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 t="n">
        <v>25</v>
      </c>
      <c r="W2382" s="19"/>
      <c r="X2382" s="19"/>
      <c r="Y2382" s="19"/>
      <c r="Z2382" s="19"/>
      <c r="AA2382" s="19"/>
      <c r="AB2382" s="19"/>
      <c r="AC2382" s="19" t="n">
        <v>8</v>
      </c>
      <c r="AD2382" s="19"/>
      <c r="AE2382" s="19"/>
      <c r="AF2382" s="19"/>
      <c r="AG2382" s="19"/>
      <c r="AH2382" s="19" t="n">
        <v>4</v>
      </c>
      <c r="AI2382" s="19" t="n">
        <v>13</v>
      </c>
      <c r="AJ2382" s="19"/>
      <c r="AK2382" s="19"/>
      <c r="AL2382" s="19"/>
      <c r="AM2382" s="19" t="n">
        <v>6</v>
      </c>
      <c r="AN2382" s="19" t="n">
        <v>19</v>
      </c>
      <c r="AO2382" s="19"/>
      <c r="AP2382" s="19"/>
      <c r="AQ2382" s="19"/>
      <c r="AR2382" s="19"/>
      <c r="AS2382" s="20" t="str">
        <f aca="false">HYPERLINK("http://www.openstreetmap.org/?mlat=31.3051&amp;mlon=45.2782&amp;zoom=12#map=12/31.3051/45.2782","Maplink1")</f>
        <v>Maplink1</v>
      </c>
      <c r="AT2382" s="20" t="str">
        <f aca="false">HYPERLINK("https://www.google.iq/maps/search/+31.3051,45.2782/@31.3051,45.2782,14z?hl=en","Maplink2")</f>
        <v>Maplink2</v>
      </c>
      <c r="AU2382" s="20" t="str">
        <f aca="false">HYPERLINK("http://www.bing.com/maps/?lvl=14&amp;sty=h&amp;cp=31.3051~45.2782&amp;sp=point.31.3051_45.2782","Maplink3")</f>
        <v>Maplink3</v>
      </c>
    </row>
    <row r="2383" customFormat="false" ht="15" hidden="false" customHeight="true" outlineLevel="0" collapsed="false">
      <c r="A2383" s="15" t="n">
        <v>1596</v>
      </c>
      <c r="B2383" s="16" t="s">
        <v>25</v>
      </c>
      <c r="C2383" s="16" t="s">
        <v>4595</v>
      </c>
      <c r="D2383" s="16" t="s">
        <v>4612</v>
      </c>
      <c r="E2383" s="17" t="s">
        <v>4613</v>
      </c>
      <c r="F2383" s="16" t="n">
        <v>31.31780191</v>
      </c>
      <c r="G2383" s="16" t="n">
        <v>45.29204152</v>
      </c>
      <c r="H2383" s="18" t="n">
        <v>17</v>
      </c>
      <c r="I2383" s="18" t="n">
        <v>102</v>
      </c>
      <c r="J2383" s="19" t="n">
        <v>1</v>
      </c>
      <c r="K2383" s="19"/>
      <c r="L2383" s="19" t="n">
        <v>4</v>
      </c>
      <c r="M2383" s="19"/>
      <c r="N2383" s="19"/>
      <c r="O2383" s="19"/>
      <c r="P2383" s="19"/>
      <c r="Q2383" s="19"/>
      <c r="R2383" s="19"/>
      <c r="S2383" s="19"/>
      <c r="T2383" s="19"/>
      <c r="U2383" s="19"/>
      <c r="V2383" s="19" t="n">
        <v>10</v>
      </c>
      <c r="W2383" s="19"/>
      <c r="X2383" s="19" t="n">
        <v>2</v>
      </c>
      <c r="Y2383" s="19"/>
      <c r="Z2383" s="19"/>
      <c r="AA2383" s="19"/>
      <c r="AB2383" s="19"/>
      <c r="AC2383" s="19" t="n">
        <v>5</v>
      </c>
      <c r="AD2383" s="19"/>
      <c r="AE2383" s="19"/>
      <c r="AF2383" s="19"/>
      <c r="AG2383" s="19"/>
      <c r="AH2383" s="19" t="n">
        <v>12</v>
      </c>
      <c r="AI2383" s="19"/>
      <c r="AJ2383" s="19"/>
      <c r="AK2383" s="19"/>
      <c r="AL2383" s="19" t="n">
        <v>5</v>
      </c>
      <c r="AM2383" s="19" t="n">
        <v>2</v>
      </c>
      <c r="AN2383" s="19" t="n">
        <v>10</v>
      </c>
      <c r="AO2383" s="19"/>
      <c r="AP2383" s="19"/>
      <c r="AQ2383" s="19"/>
      <c r="AR2383" s="19"/>
      <c r="AS2383" s="20" t="str">
        <f aca="false">HYPERLINK("http://www.openstreetmap.org/?mlat=31.3178&amp;mlon=45.292&amp;zoom=12#map=12/31.3178/45.292","Maplink1")</f>
        <v>Maplink1</v>
      </c>
      <c r="AT2383" s="20" t="str">
        <f aca="false">HYPERLINK("https://www.google.iq/maps/search/+31.3178,45.292/@31.3178,45.292,14z?hl=en","Maplink2")</f>
        <v>Maplink2</v>
      </c>
      <c r="AU2383" s="20" t="str">
        <f aca="false">HYPERLINK("http://www.bing.com/maps/?lvl=14&amp;sty=h&amp;cp=31.3178~45.292&amp;sp=point.31.3178_45.292","Maplink3")</f>
        <v>Maplink3</v>
      </c>
    </row>
    <row r="2384" customFormat="false" ht="15" hidden="false" customHeight="true" outlineLevel="0" collapsed="false">
      <c r="A2384" s="15" t="n">
        <v>2033</v>
      </c>
      <c r="B2384" s="16" t="s">
        <v>25</v>
      </c>
      <c r="C2384" s="16" t="s">
        <v>4595</v>
      </c>
      <c r="D2384" s="16" t="s">
        <v>4614</v>
      </c>
      <c r="E2384" s="17" t="s">
        <v>4615</v>
      </c>
      <c r="F2384" s="16" t="n">
        <v>31.27260945</v>
      </c>
      <c r="G2384" s="16" t="n">
        <v>45.2673408</v>
      </c>
      <c r="H2384" s="18" t="n">
        <v>18</v>
      </c>
      <c r="I2384" s="18" t="n">
        <v>108</v>
      </c>
      <c r="J2384" s="19" t="n">
        <v>6</v>
      </c>
      <c r="K2384" s="19"/>
      <c r="L2384" s="19"/>
      <c r="M2384" s="19"/>
      <c r="N2384" s="19"/>
      <c r="O2384" s="19"/>
      <c r="P2384" s="19"/>
      <c r="Q2384" s="19"/>
      <c r="R2384" s="19" t="n">
        <v>1</v>
      </c>
      <c r="S2384" s="19"/>
      <c r="T2384" s="19"/>
      <c r="U2384" s="19"/>
      <c r="V2384" s="19" t="n">
        <v>9</v>
      </c>
      <c r="W2384" s="19"/>
      <c r="X2384" s="19" t="n">
        <v>2</v>
      </c>
      <c r="Y2384" s="19"/>
      <c r="Z2384" s="19"/>
      <c r="AA2384" s="19"/>
      <c r="AB2384" s="19"/>
      <c r="AC2384" s="19" t="n">
        <v>3</v>
      </c>
      <c r="AD2384" s="19"/>
      <c r="AE2384" s="19"/>
      <c r="AF2384" s="19"/>
      <c r="AG2384" s="19"/>
      <c r="AH2384" s="19" t="n">
        <v>15</v>
      </c>
      <c r="AI2384" s="19"/>
      <c r="AJ2384" s="19"/>
      <c r="AK2384" s="19"/>
      <c r="AL2384" s="19" t="n">
        <v>2</v>
      </c>
      <c r="AM2384" s="19" t="n">
        <v>3</v>
      </c>
      <c r="AN2384" s="19" t="n">
        <v>4</v>
      </c>
      <c r="AO2384" s="19" t="n">
        <v>3</v>
      </c>
      <c r="AP2384" s="19" t="n">
        <v>6</v>
      </c>
      <c r="AQ2384" s="19"/>
      <c r="AR2384" s="19"/>
      <c r="AS2384" s="20" t="str">
        <f aca="false">HYPERLINK("http://www.openstreetmap.org/?mlat=31.2726&amp;mlon=45.2673&amp;zoom=12#map=12/31.2726/45.2673","Maplink1")</f>
        <v>Maplink1</v>
      </c>
      <c r="AT2384" s="20" t="str">
        <f aca="false">HYPERLINK("https://www.google.iq/maps/search/+31.2726,45.2673/@31.2726,45.2673,14z?hl=en","Maplink2")</f>
        <v>Maplink2</v>
      </c>
      <c r="AU2384" s="20" t="str">
        <f aca="false">HYPERLINK("http://www.bing.com/maps/?lvl=14&amp;sty=h&amp;cp=31.2726~45.2673&amp;sp=point.31.2726_45.2673","Maplink3")</f>
        <v>Maplink3</v>
      </c>
    </row>
    <row r="2385" customFormat="false" ht="15" hidden="false" customHeight="true" outlineLevel="0" collapsed="false">
      <c r="A2385" s="15" t="n">
        <v>1480</v>
      </c>
      <c r="B2385" s="16" t="s">
        <v>25</v>
      </c>
      <c r="C2385" s="16" t="s">
        <v>4595</v>
      </c>
      <c r="D2385" s="16" t="s">
        <v>4616</v>
      </c>
      <c r="E2385" s="17" t="s">
        <v>79</v>
      </c>
      <c r="F2385" s="16" t="n">
        <v>31.30334375</v>
      </c>
      <c r="G2385" s="16" t="n">
        <v>45.25945284</v>
      </c>
      <c r="H2385" s="18" t="n">
        <v>22</v>
      </c>
      <c r="I2385" s="18" t="n">
        <v>132</v>
      </c>
      <c r="J2385" s="19" t="n">
        <v>20</v>
      </c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 t="n">
        <v>1</v>
      </c>
      <c r="W2385" s="19"/>
      <c r="X2385" s="19" t="n">
        <v>1</v>
      </c>
      <c r="Y2385" s="19"/>
      <c r="Z2385" s="19"/>
      <c r="AA2385" s="19"/>
      <c r="AB2385" s="19"/>
      <c r="AC2385" s="19" t="n">
        <v>7</v>
      </c>
      <c r="AD2385" s="19"/>
      <c r="AE2385" s="19"/>
      <c r="AF2385" s="19"/>
      <c r="AG2385" s="19" t="n">
        <v>1</v>
      </c>
      <c r="AH2385" s="19" t="n">
        <v>14</v>
      </c>
      <c r="AI2385" s="19"/>
      <c r="AJ2385" s="19"/>
      <c r="AK2385" s="19"/>
      <c r="AL2385" s="19" t="n">
        <v>1</v>
      </c>
      <c r="AM2385" s="19" t="n">
        <v>2</v>
      </c>
      <c r="AN2385" s="19" t="n">
        <v>2</v>
      </c>
      <c r="AO2385" s="19" t="n">
        <v>12</v>
      </c>
      <c r="AP2385" s="19" t="n">
        <v>5</v>
      </c>
      <c r="AQ2385" s="19"/>
      <c r="AR2385" s="19"/>
      <c r="AS2385" s="20" t="str">
        <f aca="false">HYPERLINK("http://www.openstreetmap.org/?mlat=31.3033&amp;mlon=45.2595&amp;zoom=12#map=12/31.3033/45.2595","Maplink1")</f>
        <v>Maplink1</v>
      </c>
      <c r="AT2385" s="20" t="str">
        <f aca="false">HYPERLINK("https://www.google.iq/maps/search/+31.3033,45.2595/@31.3033,45.2595,14z?hl=en","Maplink2")</f>
        <v>Maplink2</v>
      </c>
      <c r="AU2385" s="20" t="str">
        <f aca="false">HYPERLINK("http://www.bing.com/maps/?lvl=14&amp;sty=h&amp;cp=31.3033~45.2595&amp;sp=point.31.3033_45.2595","Maplink3")</f>
        <v>Maplink3</v>
      </c>
    </row>
    <row r="2386" customFormat="false" ht="15" hidden="false" customHeight="true" outlineLevel="0" collapsed="false">
      <c r="A2386" s="15" t="n">
        <v>25784</v>
      </c>
      <c r="B2386" s="16" t="s">
        <v>25</v>
      </c>
      <c r="C2386" s="16" t="s">
        <v>4595</v>
      </c>
      <c r="D2386" s="16" t="s">
        <v>4617</v>
      </c>
      <c r="E2386" s="17" t="s">
        <v>4618</v>
      </c>
      <c r="F2386" s="16" t="n">
        <v>31.30014556</v>
      </c>
      <c r="G2386" s="16" t="n">
        <v>45.27365942</v>
      </c>
      <c r="H2386" s="18" t="n">
        <v>14</v>
      </c>
      <c r="I2386" s="18" t="n">
        <v>84</v>
      </c>
      <c r="J2386" s="19" t="n">
        <v>4</v>
      </c>
      <c r="K2386" s="19"/>
      <c r="L2386" s="19" t="n">
        <v>1</v>
      </c>
      <c r="M2386" s="19"/>
      <c r="N2386" s="19"/>
      <c r="O2386" s="19"/>
      <c r="P2386" s="19"/>
      <c r="Q2386" s="19"/>
      <c r="R2386" s="19" t="n">
        <v>1</v>
      </c>
      <c r="S2386" s="19"/>
      <c r="T2386" s="19"/>
      <c r="U2386" s="19"/>
      <c r="V2386" s="19" t="n">
        <v>8</v>
      </c>
      <c r="W2386" s="19"/>
      <c r="X2386" s="19"/>
      <c r="Y2386" s="19"/>
      <c r="Z2386" s="19"/>
      <c r="AA2386" s="19"/>
      <c r="AB2386" s="19"/>
      <c r="AC2386" s="19" t="n">
        <v>2</v>
      </c>
      <c r="AD2386" s="19"/>
      <c r="AE2386" s="19"/>
      <c r="AF2386" s="19"/>
      <c r="AG2386" s="19"/>
      <c r="AH2386" s="19" t="n">
        <v>12</v>
      </c>
      <c r="AI2386" s="19"/>
      <c r="AJ2386" s="19"/>
      <c r="AK2386" s="19"/>
      <c r="AL2386" s="19"/>
      <c r="AM2386" s="19" t="n">
        <v>2</v>
      </c>
      <c r="AN2386" s="19" t="n">
        <v>5</v>
      </c>
      <c r="AO2386" s="19" t="n">
        <v>4</v>
      </c>
      <c r="AP2386" s="19" t="n">
        <v>2</v>
      </c>
      <c r="AQ2386" s="19" t="n">
        <v>1</v>
      </c>
      <c r="AR2386" s="19"/>
      <c r="AS2386" s="20" t="str">
        <f aca="false">HYPERLINK("http://www.openstreetmap.org/?mlat=31.3001&amp;mlon=45.2737&amp;zoom=12#map=12/31.3001/45.2737","Maplink1")</f>
        <v>Maplink1</v>
      </c>
      <c r="AT2386" s="20" t="str">
        <f aca="false">HYPERLINK("https://www.google.iq/maps/search/+31.3001,45.2737/@31.3001,45.2737,14z?hl=en","Maplink2")</f>
        <v>Maplink2</v>
      </c>
      <c r="AU2386" s="20" t="str">
        <f aca="false">HYPERLINK("http://www.bing.com/maps/?lvl=14&amp;sty=h&amp;cp=31.3001~45.2737&amp;sp=point.31.3001_45.2737","Maplink3")</f>
        <v>Maplink3</v>
      </c>
    </row>
    <row r="2387" customFormat="false" ht="15" hidden="false" customHeight="true" outlineLevel="0" collapsed="false">
      <c r="A2387" s="15" t="n">
        <v>21433</v>
      </c>
      <c r="B2387" s="16" t="s">
        <v>25</v>
      </c>
      <c r="C2387" s="16" t="s">
        <v>4595</v>
      </c>
      <c r="D2387" s="16" t="s">
        <v>4619</v>
      </c>
      <c r="E2387" s="17" t="s">
        <v>85</v>
      </c>
      <c r="F2387" s="16" t="n">
        <v>31.30727336</v>
      </c>
      <c r="G2387" s="16" t="n">
        <v>45.29917502</v>
      </c>
      <c r="H2387" s="18" t="n">
        <v>9</v>
      </c>
      <c r="I2387" s="18" t="n">
        <v>54</v>
      </c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 t="n">
        <v>9</v>
      </c>
      <c r="W2387" s="19"/>
      <c r="X2387" s="19"/>
      <c r="Y2387" s="19"/>
      <c r="Z2387" s="19"/>
      <c r="AA2387" s="19"/>
      <c r="AB2387" s="19"/>
      <c r="AC2387" s="19" t="n">
        <v>3</v>
      </c>
      <c r="AD2387" s="19"/>
      <c r="AE2387" s="19"/>
      <c r="AF2387" s="19"/>
      <c r="AG2387" s="19" t="n">
        <v>2</v>
      </c>
      <c r="AH2387" s="19" t="n">
        <v>4</v>
      </c>
      <c r="AI2387" s="19"/>
      <c r="AJ2387" s="19"/>
      <c r="AK2387" s="19"/>
      <c r="AL2387" s="19"/>
      <c r="AM2387" s="19"/>
      <c r="AN2387" s="19" t="n">
        <v>9</v>
      </c>
      <c r="AO2387" s="19"/>
      <c r="AP2387" s="19"/>
      <c r="AQ2387" s="19"/>
      <c r="AR2387" s="19"/>
      <c r="AS2387" s="20" t="str">
        <f aca="false">HYPERLINK("http://www.openstreetmap.org/?mlat=31.3073&amp;mlon=45.2992&amp;zoom=12#map=12/31.3073/45.2992","Maplink1")</f>
        <v>Maplink1</v>
      </c>
      <c r="AT2387" s="20" t="str">
        <f aca="false">HYPERLINK("https://www.google.iq/maps/search/+31.3073,45.2992/@31.3073,45.2992,14z?hl=en","Maplink2")</f>
        <v>Maplink2</v>
      </c>
      <c r="AU2387" s="20" t="str">
        <f aca="false">HYPERLINK("http://www.bing.com/maps/?lvl=14&amp;sty=h&amp;cp=31.3073~45.2992&amp;sp=point.31.3073_45.2992","Maplink3")</f>
        <v>Maplink3</v>
      </c>
    </row>
    <row r="2388" customFormat="false" ht="15" hidden="false" customHeight="true" outlineLevel="0" collapsed="false">
      <c r="A2388" s="15" t="n">
        <v>1562</v>
      </c>
      <c r="B2388" s="16" t="s">
        <v>25</v>
      </c>
      <c r="C2388" s="16" t="s">
        <v>4595</v>
      </c>
      <c r="D2388" s="16" t="s">
        <v>4620</v>
      </c>
      <c r="E2388" s="16" t="s">
        <v>4621</v>
      </c>
      <c r="F2388" s="16" t="n">
        <v>31.29768568</v>
      </c>
      <c r="G2388" s="16" t="n">
        <v>45.26506696</v>
      </c>
      <c r="H2388" s="18" t="n">
        <v>5</v>
      </c>
      <c r="I2388" s="18" t="n">
        <v>30</v>
      </c>
      <c r="J2388" s="19" t="n">
        <v>2</v>
      </c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 t="n">
        <v>3</v>
      </c>
      <c r="W2388" s="19"/>
      <c r="X2388" s="19"/>
      <c r="Y2388" s="19"/>
      <c r="Z2388" s="19"/>
      <c r="AA2388" s="19"/>
      <c r="AB2388" s="19"/>
      <c r="AC2388" s="19" t="n">
        <v>2</v>
      </c>
      <c r="AD2388" s="19"/>
      <c r="AE2388" s="19"/>
      <c r="AF2388" s="19"/>
      <c r="AG2388" s="19"/>
      <c r="AH2388" s="19" t="n">
        <v>3</v>
      </c>
      <c r="AI2388" s="19"/>
      <c r="AJ2388" s="19"/>
      <c r="AK2388" s="19"/>
      <c r="AL2388" s="19" t="n">
        <v>1</v>
      </c>
      <c r="AM2388" s="19"/>
      <c r="AN2388" s="19" t="n">
        <v>3</v>
      </c>
      <c r="AO2388" s="19"/>
      <c r="AP2388" s="19" t="n">
        <v>1</v>
      </c>
      <c r="AQ2388" s="19"/>
      <c r="AR2388" s="19"/>
      <c r="AS2388" s="20" t="str">
        <f aca="false">HYPERLINK("http://www.openstreetmap.org/?mlat=31.2977&amp;mlon=45.2651&amp;zoom=12#map=12/31.2977/45.2651","Maplink1")</f>
        <v>Maplink1</v>
      </c>
      <c r="AT2388" s="20" t="str">
        <f aca="false">HYPERLINK("https://www.google.iq/maps/search/+31.2977,45.2651/@31.2977,45.2651,14z?hl=en","Maplink2")</f>
        <v>Maplink2</v>
      </c>
      <c r="AU2388" s="20" t="str">
        <f aca="false">HYPERLINK("http://www.bing.com/maps/?lvl=14&amp;sty=h&amp;cp=31.2977~45.2651&amp;sp=point.31.2977_45.2651","Maplink3")</f>
        <v>Maplink3</v>
      </c>
    </row>
    <row r="2389" customFormat="false" ht="15" hidden="false" customHeight="true" outlineLevel="0" collapsed="false">
      <c r="A2389" s="15" t="n">
        <v>2045</v>
      </c>
      <c r="B2389" s="16" t="s">
        <v>25</v>
      </c>
      <c r="C2389" s="16" t="s">
        <v>4595</v>
      </c>
      <c r="D2389" s="16" t="s">
        <v>4622</v>
      </c>
      <c r="E2389" s="17" t="s">
        <v>4623</v>
      </c>
      <c r="F2389" s="16" t="n">
        <v>31.30598213</v>
      </c>
      <c r="G2389" s="16" t="n">
        <v>45.3054772</v>
      </c>
      <c r="H2389" s="18" t="n">
        <v>12</v>
      </c>
      <c r="I2389" s="18" t="n">
        <v>72</v>
      </c>
      <c r="J2389" s="19" t="n">
        <v>10</v>
      </c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 t="n">
        <v>2</v>
      </c>
      <c r="W2389" s="19"/>
      <c r="X2389" s="19"/>
      <c r="Y2389" s="19"/>
      <c r="Z2389" s="19"/>
      <c r="AA2389" s="19"/>
      <c r="AB2389" s="19"/>
      <c r="AC2389" s="19" t="n">
        <v>3</v>
      </c>
      <c r="AD2389" s="19"/>
      <c r="AE2389" s="19"/>
      <c r="AF2389" s="19"/>
      <c r="AG2389" s="19"/>
      <c r="AH2389" s="19" t="n">
        <v>2</v>
      </c>
      <c r="AI2389" s="19" t="n">
        <v>7</v>
      </c>
      <c r="AJ2389" s="19"/>
      <c r="AK2389" s="19"/>
      <c r="AL2389" s="19"/>
      <c r="AM2389" s="19"/>
      <c r="AN2389" s="19"/>
      <c r="AO2389" s="19" t="n">
        <v>8</v>
      </c>
      <c r="AP2389" s="19" t="n">
        <v>4</v>
      </c>
      <c r="AQ2389" s="19"/>
      <c r="AR2389" s="19"/>
      <c r="AS2389" s="20" t="str">
        <f aca="false">HYPERLINK("http://www.openstreetmap.org/?mlat=31.306&amp;mlon=45.3055&amp;zoom=12#map=12/31.306/45.3055","Maplink1")</f>
        <v>Maplink1</v>
      </c>
      <c r="AT2389" s="20" t="str">
        <f aca="false">HYPERLINK("https://www.google.iq/maps/search/+31.306,45.3055/@31.306,45.3055,14z?hl=en","Maplink2")</f>
        <v>Maplink2</v>
      </c>
      <c r="AU2389" s="20" t="str">
        <f aca="false">HYPERLINK("http://www.bing.com/maps/?lvl=14&amp;sty=h&amp;cp=31.306~45.3055&amp;sp=point.31.306_45.3055","Maplink3")</f>
        <v>Maplink3</v>
      </c>
    </row>
    <row r="2390" customFormat="false" ht="15" hidden="false" customHeight="true" outlineLevel="0" collapsed="false">
      <c r="A2390" s="15" t="n">
        <v>1570</v>
      </c>
      <c r="B2390" s="16" t="s">
        <v>25</v>
      </c>
      <c r="C2390" s="16" t="s">
        <v>4595</v>
      </c>
      <c r="D2390" s="16" t="s">
        <v>4624</v>
      </c>
      <c r="E2390" s="17" t="s">
        <v>4625</v>
      </c>
      <c r="F2390" s="16" t="n">
        <v>31.30968424</v>
      </c>
      <c r="G2390" s="16" t="n">
        <v>45.27557602</v>
      </c>
      <c r="H2390" s="18" t="n">
        <v>13</v>
      </c>
      <c r="I2390" s="18" t="n">
        <v>78</v>
      </c>
      <c r="J2390" s="19" t="n">
        <v>2</v>
      </c>
      <c r="K2390" s="19"/>
      <c r="L2390" s="19"/>
      <c r="M2390" s="19"/>
      <c r="N2390" s="19"/>
      <c r="O2390" s="19"/>
      <c r="P2390" s="19"/>
      <c r="Q2390" s="19"/>
      <c r="R2390" s="19" t="n">
        <v>1</v>
      </c>
      <c r="S2390" s="19"/>
      <c r="T2390" s="19"/>
      <c r="U2390" s="19"/>
      <c r="V2390" s="19" t="n">
        <v>10</v>
      </c>
      <c r="W2390" s="19"/>
      <c r="X2390" s="19"/>
      <c r="Y2390" s="19"/>
      <c r="Z2390" s="19"/>
      <c r="AA2390" s="19"/>
      <c r="AB2390" s="19"/>
      <c r="AC2390" s="19" t="n">
        <v>3</v>
      </c>
      <c r="AD2390" s="19"/>
      <c r="AE2390" s="19"/>
      <c r="AF2390" s="19"/>
      <c r="AG2390" s="19"/>
      <c r="AH2390" s="19" t="n">
        <v>10</v>
      </c>
      <c r="AI2390" s="19"/>
      <c r="AJ2390" s="19"/>
      <c r="AK2390" s="19"/>
      <c r="AL2390" s="19" t="n">
        <v>3</v>
      </c>
      <c r="AM2390" s="19"/>
      <c r="AN2390" s="19" t="n">
        <v>10</v>
      </c>
      <c r="AO2390" s="19"/>
      <c r="AP2390" s="19"/>
      <c r="AQ2390" s="19"/>
      <c r="AR2390" s="19"/>
      <c r="AS2390" s="20" t="str">
        <f aca="false">HYPERLINK("http://www.openstreetmap.org/?mlat=31.3097&amp;mlon=45.2756&amp;zoom=12#map=12/31.3097/45.2756","Maplink1")</f>
        <v>Maplink1</v>
      </c>
      <c r="AT2390" s="20" t="str">
        <f aca="false">HYPERLINK("https://www.google.iq/maps/search/+31.3097,45.2756/@31.3097,45.2756,14z?hl=en","Maplink2")</f>
        <v>Maplink2</v>
      </c>
      <c r="AU2390" s="20" t="str">
        <f aca="false">HYPERLINK("http://www.bing.com/maps/?lvl=14&amp;sty=h&amp;cp=31.3097~45.2756&amp;sp=point.31.3097_45.2756","Maplink3")</f>
        <v>Maplink3</v>
      </c>
    </row>
    <row r="2391" customFormat="false" ht="15" hidden="false" customHeight="true" outlineLevel="0" collapsed="false">
      <c r="A2391" s="15" t="n">
        <v>29574</v>
      </c>
      <c r="B2391" s="16" t="s">
        <v>25</v>
      </c>
      <c r="C2391" s="16" t="s">
        <v>4595</v>
      </c>
      <c r="D2391" s="16" t="s">
        <v>4626</v>
      </c>
      <c r="E2391" s="17" t="s">
        <v>106</v>
      </c>
      <c r="F2391" s="16" t="n">
        <v>31.33778466</v>
      </c>
      <c r="G2391" s="16" t="n">
        <v>45.273358</v>
      </c>
      <c r="H2391" s="18" t="n">
        <v>4</v>
      </c>
      <c r="I2391" s="18" t="n">
        <v>24</v>
      </c>
      <c r="J2391" s="19" t="n">
        <v>2</v>
      </c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 t="n">
        <v>2</v>
      </c>
      <c r="W2391" s="19"/>
      <c r="X2391" s="19"/>
      <c r="Y2391" s="19"/>
      <c r="Z2391" s="19"/>
      <c r="AA2391" s="19"/>
      <c r="AB2391" s="19"/>
      <c r="AC2391" s="19" t="n">
        <v>2</v>
      </c>
      <c r="AD2391" s="19"/>
      <c r="AE2391" s="19"/>
      <c r="AF2391" s="19"/>
      <c r="AG2391" s="19"/>
      <c r="AH2391" s="19" t="n">
        <v>2</v>
      </c>
      <c r="AI2391" s="19"/>
      <c r="AJ2391" s="19"/>
      <c r="AK2391" s="19"/>
      <c r="AL2391" s="19"/>
      <c r="AM2391" s="19"/>
      <c r="AN2391" s="19" t="n">
        <v>2</v>
      </c>
      <c r="AO2391" s="19"/>
      <c r="AP2391" s="19" t="n">
        <v>2</v>
      </c>
      <c r="AQ2391" s="19"/>
      <c r="AR2391" s="19"/>
      <c r="AS2391" s="20" t="str">
        <f aca="false">HYPERLINK("http://www.openstreetmap.org/?mlat=31.3378&amp;mlon=45.2734&amp;zoom=12#map=12/31.3378/45.2734","Maplink1")</f>
        <v>Maplink1</v>
      </c>
      <c r="AT2391" s="20" t="str">
        <f aca="false">HYPERLINK("https://www.google.iq/maps/search/+31.3378,45.2734/@31.3378,45.2734,14z?hl=en","Maplink2")</f>
        <v>Maplink2</v>
      </c>
      <c r="AU2391" s="20" t="str">
        <f aca="false">HYPERLINK("http://www.bing.com/maps/?lvl=14&amp;sty=h&amp;cp=31.3378~45.2734&amp;sp=point.31.3378_45.2734","Maplink3")</f>
        <v>Maplink3</v>
      </c>
    </row>
    <row r="2392" customFormat="false" ht="15" hidden="false" customHeight="true" outlineLevel="0" collapsed="false">
      <c r="A2392" s="15" t="n">
        <v>2060</v>
      </c>
      <c r="B2392" s="16" t="s">
        <v>25</v>
      </c>
      <c r="C2392" s="16" t="s">
        <v>4595</v>
      </c>
      <c r="D2392" s="16" t="s">
        <v>4627</v>
      </c>
      <c r="E2392" s="17" t="s">
        <v>4628</v>
      </c>
      <c r="F2392" s="16" t="n">
        <v>31.31403693</v>
      </c>
      <c r="G2392" s="16" t="n">
        <v>45.2806065</v>
      </c>
      <c r="H2392" s="18" t="n">
        <v>29</v>
      </c>
      <c r="I2392" s="18" t="n">
        <v>174</v>
      </c>
      <c r="J2392" s="19" t="n">
        <v>14</v>
      </c>
      <c r="K2392" s="19"/>
      <c r="L2392" s="19"/>
      <c r="M2392" s="19"/>
      <c r="N2392" s="19"/>
      <c r="O2392" s="19" t="n">
        <v>1</v>
      </c>
      <c r="P2392" s="19"/>
      <c r="Q2392" s="19"/>
      <c r="R2392" s="19" t="n">
        <v>1</v>
      </c>
      <c r="S2392" s="19"/>
      <c r="T2392" s="19"/>
      <c r="U2392" s="19"/>
      <c r="V2392" s="19" t="n">
        <v>13</v>
      </c>
      <c r="W2392" s="19"/>
      <c r="X2392" s="19"/>
      <c r="Y2392" s="19"/>
      <c r="Z2392" s="19"/>
      <c r="AA2392" s="19"/>
      <c r="AB2392" s="19"/>
      <c r="AC2392" s="19" t="n">
        <v>16</v>
      </c>
      <c r="AD2392" s="19"/>
      <c r="AE2392" s="19"/>
      <c r="AF2392" s="19"/>
      <c r="AG2392" s="19"/>
      <c r="AH2392" s="19" t="n">
        <v>13</v>
      </c>
      <c r="AI2392" s="19"/>
      <c r="AJ2392" s="19"/>
      <c r="AK2392" s="19"/>
      <c r="AL2392" s="19"/>
      <c r="AM2392" s="19" t="n">
        <v>1</v>
      </c>
      <c r="AN2392" s="19" t="n">
        <v>9</v>
      </c>
      <c r="AO2392" s="19" t="n">
        <v>15</v>
      </c>
      <c r="AP2392" s="19" t="n">
        <v>4</v>
      </c>
      <c r="AQ2392" s="19"/>
      <c r="AR2392" s="19"/>
      <c r="AS2392" s="20" t="str">
        <f aca="false">HYPERLINK("http://www.openstreetmap.org/?mlat=31.314&amp;mlon=45.2806&amp;zoom=12#map=12/31.314/45.2806","Maplink1")</f>
        <v>Maplink1</v>
      </c>
      <c r="AT2392" s="20" t="str">
        <f aca="false">HYPERLINK("https://www.google.iq/maps/search/+31.314,45.2806/@31.314,45.2806,14z?hl=en","Maplink2")</f>
        <v>Maplink2</v>
      </c>
      <c r="AU2392" s="20" t="str">
        <f aca="false">HYPERLINK("http://www.bing.com/maps/?lvl=14&amp;sty=h&amp;cp=31.314~45.2806&amp;sp=point.31.314_45.2806","Maplink3")</f>
        <v>Maplink3</v>
      </c>
    </row>
    <row r="2393" customFormat="false" ht="15" hidden="false" customHeight="true" outlineLevel="0" collapsed="false">
      <c r="A2393" s="15" t="n">
        <v>27380</v>
      </c>
      <c r="B2393" s="16" t="s">
        <v>25</v>
      </c>
      <c r="C2393" s="16" t="s">
        <v>4595</v>
      </c>
      <c r="D2393" s="16" t="s">
        <v>4629</v>
      </c>
      <c r="E2393" s="17" t="s">
        <v>4630</v>
      </c>
      <c r="F2393" s="16" t="n">
        <v>31.30991479</v>
      </c>
      <c r="G2393" s="16" t="n">
        <v>45.26817405</v>
      </c>
      <c r="H2393" s="18" t="n">
        <v>26</v>
      </c>
      <c r="I2393" s="18" t="n">
        <v>156</v>
      </c>
      <c r="J2393" s="19" t="n">
        <v>6</v>
      </c>
      <c r="K2393" s="19"/>
      <c r="L2393" s="19"/>
      <c r="M2393" s="19"/>
      <c r="N2393" s="19"/>
      <c r="O2393" s="19" t="n">
        <v>2</v>
      </c>
      <c r="P2393" s="19"/>
      <c r="Q2393" s="19"/>
      <c r="R2393" s="19" t="n">
        <v>2</v>
      </c>
      <c r="S2393" s="19"/>
      <c r="T2393" s="19"/>
      <c r="U2393" s="19"/>
      <c r="V2393" s="19" t="n">
        <v>12</v>
      </c>
      <c r="W2393" s="19"/>
      <c r="X2393" s="19" t="n">
        <v>4</v>
      </c>
      <c r="Y2393" s="19"/>
      <c r="Z2393" s="19"/>
      <c r="AA2393" s="19"/>
      <c r="AB2393" s="19"/>
      <c r="AC2393" s="19" t="n">
        <v>6</v>
      </c>
      <c r="AD2393" s="19"/>
      <c r="AE2393" s="19"/>
      <c r="AF2393" s="19"/>
      <c r="AG2393" s="19"/>
      <c r="AH2393" s="19" t="n">
        <v>20</v>
      </c>
      <c r="AI2393" s="19"/>
      <c r="AJ2393" s="19"/>
      <c r="AK2393" s="19"/>
      <c r="AL2393" s="19" t="n">
        <v>3</v>
      </c>
      <c r="AM2393" s="19" t="n">
        <v>18</v>
      </c>
      <c r="AN2393" s="19"/>
      <c r="AO2393" s="19"/>
      <c r="AP2393" s="19" t="n">
        <v>5</v>
      </c>
      <c r="AQ2393" s="19"/>
      <c r="AR2393" s="19"/>
      <c r="AS2393" s="20" t="str">
        <f aca="false">HYPERLINK("http://www.openstreetmap.org/?mlat=31.3099&amp;mlon=45.2682&amp;zoom=12#map=12/31.3099/45.2682","Maplink1")</f>
        <v>Maplink1</v>
      </c>
      <c r="AT2393" s="20" t="str">
        <f aca="false">HYPERLINK("https://www.google.iq/maps/search/+31.3099,45.2682/@31.3099,45.2682,14z?hl=en","Maplink2")</f>
        <v>Maplink2</v>
      </c>
      <c r="AU2393" s="20" t="str">
        <f aca="false">HYPERLINK("http://www.bing.com/maps/?lvl=14&amp;sty=h&amp;cp=31.3099~45.2682&amp;sp=point.31.3099_45.2682","Maplink3")</f>
        <v>Maplink3</v>
      </c>
    </row>
    <row r="2394" customFormat="false" ht="15" hidden="false" customHeight="true" outlineLevel="0" collapsed="false">
      <c r="A2394" s="15" t="n">
        <v>2010</v>
      </c>
      <c r="B2394" s="16" t="s">
        <v>25</v>
      </c>
      <c r="C2394" s="16" t="s">
        <v>4595</v>
      </c>
      <c r="D2394" s="16" t="s">
        <v>4631</v>
      </c>
      <c r="E2394" s="17" t="s">
        <v>4632</v>
      </c>
      <c r="F2394" s="16" t="n">
        <v>31.34209493</v>
      </c>
      <c r="G2394" s="16" t="n">
        <v>45.26466094</v>
      </c>
      <c r="H2394" s="18" t="n">
        <v>12</v>
      </c>
      <c r="I2394" s="18" t="n">
        <v>72</v>
      </c>
      <c r="J2394" s="19" t="n">
        <v>2</v>
      </c>
      <c r="K2394" s="19"/>
      <c r="L2394" s="19"/>
      <c r="M2394" s="19"/>
      <c r="N2394" s="19"/>
      <c r="O2394" s="19" t="n">
        <v>1</v>
      </c>
      <c r="P2394" s="19"/>
      <c r="Q2394" s="19"/>
      <c r="R2394" s="19"/>
      <c r="S2394" s="19"/>
      <c r="T2394" s="19"/>
      <c r="U2394" s="19"/>
      <c r="V2394" s="19" t="n">
        <v>6</v>
      </c>
      <c r="W2394" s="19"/>
      <c r="X2394" s="19" t="n">
        <v>3</v>
      </c>
      <c r="Y2394" s="19"/>
      <c r="Z2394" s="19"/>
      <c r="AA2394" s="19"/>
      <c r="AB2394" s="19"/>
      <c r="AC2394" s="19" t="n">
        <v>6</v>
      </c>
      <c r="AD2394" s="19"/>
      <c r="AE2394" s="19"/>
      <c r="AF2394" s="19"/>
      <c r="AG2394" s="19"/>
      <c r="AH2394" s="19" t="n">
        <v>6</v>
      </c>
      <c r="AI2394" s="19"/>
      <c r="AJ2394" s="19"/>
      <c r="AK2394" s="19"/>
      <c r="AL2394" s="19"/>
      <c r="AM2394" s="19" t="n">
        <v>3</v>
      </c>
      <c r="AN2394" s="19" t="n">
        <v>3</v>
      </c>
      <c r="AO2394" s="19" t="n">
        <v>4</v>
      </c>
      <c r="AP2394" s="19" t="n">
        <v>2</v>
      </c>
      <c r="AQ2394" s="19"/>
      <c r="AR2394" s="19"/>
      <c r="AS2394" s="20" t="str">
        <f aca="false">HYPERLINK("http://www.openstreetmap.org/?mlat=31.3421&amp;mlon=45.2647&amp;zoom=12#map=12/31.3421/45.2647","Maplink1")</f>
        <v>Maplink1</v>
      </c>
      <c r="AT2394" s="20" t="str">
        <f aca="false">HYPERLINK("https://www.google.iq/maps/search/+31.3421,45.2647/@31.3421,45.2647,14z?hl=en","Maplink2")</f>
        <v>Maplink2</v>
      </c>
      <c r="AU2394" s="20" t="str">
        <f aca="false">HYPERLINK("http://www.bing.com/maps/?lvl=14&amp;sty=h&amp;cp=31.3421~45.2647&amp;sp=point.31.3421_45.2647","Maplink3")</f>
        <v>Maplink3</v>
      </c>
    </row>
    <row r="2395" customFormat="false" ht="15" hidden="false" customHeight="true" outlineLevel="0" collapsed="false">
      <c r="A2395" s="15" t="n">
        <v>27232</v>
      </c>
      <c r="B2395" s="16" t="s">
        <v>25</v>
      </c>
      <c r="C2395" s="16" t="s">
        <v>4595</v>
      </c>
      <c r="D2395" s="16" t="s">
        <v>4633</v>
      </c>
      <c r="E2395" s="17" t="s">
        <v>4563</v>
      </c>
      <c r="F2395" s="16" t="n">
        <v>31.32316809</v>
      </c>
      <c r="G2395" s="16" t="n">
        <v>45.41468812</v>
      </c>
      <c r="H2395" s="18" t="n">
        <v>9</v>
      </c>
      <c r="I2395" s="18" t="n">
        <v>54</v>
      </c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 t="n">
        <v>9</v>
      </c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 t="n">
        <v>8</v>
      </c>
      <c r="AG2395" s="19"/>
      <c r="AH2395" s="19" t="n">
        <v>1</v>
      </c>
      <c r="AI2395" s="19"/>
      <c r="AJ2395" s="19"/>
      <c r="AK2395" s="19"/>
      <c r="AL2395" s="19"/>
      <c r="AM2395" s="19"/>
      <c r="AN2395" s="19" t="n">
        <v>9</v>
      </c>
      <c r="AO2395" s="19"/>
      <c r="AP2395" s="19"/>
      <c r="AQ2395" s="19"/>
      <c r="AR2395" s="19"/>
      <c r="AS2395" s="20" t="str">
        <f aca="false">HYPERLINK("http://www.openstreetmap.org/?mlat=31.3232&amp;mlon=45.4147&amp;zoom=12#map=12/31.3232/45.4147","Maplink1")</f>
        <v>Maplink1</v>
      </c>
      <c r="AT2395" s="20" t="str">
        <f aca="false">HYPERLINK("https://www.google.iq/maps/search/+31.3232,45.4147/@31.3232,45.4147,14z?hl=en","Maplink2")</f>
        <v>Maplink2</v>
      </c>
      <c r="AU2395" s="20" t="str">
        <f aca="false">HYPERLINK("http://www.bing.com/maps/?lvl=14&amp;sty=h&amp;cp=31.3232~45.4147&amp;sp=point.31.3232_45.4147","Maplink3")</f>
        <v>Maplink3</v>
      </c>
    </row>
    <row r="2396" customFormat="false" ht="15" hidden="false" customHeight="true" outlineLevel="0" collapsed="false">
      <c r="A2396" s="15" t="n">
        <v>1586</v>
      </c>
      <c r="B2396" s="16" t="s">
        <v>25</v>
      </c>
      <c r="C2396" s="16" t="s">
        <v>4595</v>
      </c>
      <c r="D2396" s="16" t="s">
        <v>4634</v>
      </c>
      <c r="E2396" s="17" t="s">
        <v>241</v>
      </c>
      <c r="F2396" s="16" t="n">
        <v>31.31555133</v>
      </c>
      <c r="G2396" s="16" t="n">
        <v>45.27533001</v>
      </c>
      <c r="H2396" s="18" t="n">
        <v>5</v>
      </c>
      <c r="I2396" s="18" t="n">
        <v>30</v>
      </c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 t="n">
        <v>5</v>
      </c>
      <c r="W2396" s="19"/>
      <c r="X2396" s="19"/>
      <c r="Y2396" s="19"/>
      <c r="Z2396" s="19"/>
      <c r="AA2396" s="19"/>
      <c r="AB2396" s="19"/>
      <c r="AC2396" s="19" t="n">
        <v>3</v>
      </c>
      <c r="AD2396" s="19"/>
      <c r="AE2396" s="19"/>
      <c r="AF2396" s="19"/>
      <c r="AG2396" s="19"/>
      <c r="AH2396" s="19" t="n">
        <v>2</v>
      </c>
      <c r="AI2396" s="19"/>
      <c r="AJ2396" s="19"/>
      <c r="AK2396" s="19"/>
      <c r="AL2396" s="19"/>
      <c r="AM2396" s="19"/>
      <c r="AN2396" s="19" t="n">
        <v>5</v>
      </c>
      <c r="AO2396" s="19"/>
      <c r="AP2396" s="19"/>
      <c r="AQ2396" s="19"/>
      <c r="AR2396" s="19"/>
      <c r="AS2396" s="20" t="str">
        <f aca="false">HYPERLINK("http://www.openstreetmap.org/?mlat=31.3156&amp;mlon=45.2753&amp;zoom=12#map=12/31.3156/45.2753","Maplink1")</f>
        <v>Maplink1</v>
      </c>
      <c r="AT2396" s="20" t="str">
        <f aca="false">HYPERLINK("https://www.google.iq/maps/search/+31.3156,45.2753/@31.3156,45.2753,14z?hl=en","Maplink2")</f>
        <v>Maplink2</v>
      </c>
      <c r="AU2396" s="20" t="str">
        <f aca="false">HYPERLINK("http://www.bing.com/maps/?lvl=14&amp;sty=h&amp;cp=31.3156~45.2753&amp;sp=point.31.3156_45.2753","Maplink3")</f>
        <v>Maplink3</v>
      </c>
    </row>
    <row r="2397" customFormat="false" ht="15" hidden="false" customHeight="true" outlineLevel="0" collapsed="false">
      <c r="A2397" s="15" t="n">
        <v>27268</v>
      </c>
      <c r="B2397" s="16" t="s">
        <v>25</v>
      </c>
      <c r="C2397" s="16" t="s">
        <v>4595</v>
      </c>
      <c r="D2397" s="16" t="s">
        <v>4635</v>
      </c>
      <c r="E2397" s="17" t="s">
        <v>593</v>
      </c>
      <c r="F2397" s="16" t="n">
        <v>31.31137865</v>
      </c>
      <c r="G2397" s="16" t="n">
        <v>45.26601202</v>
      </c>
      <c r="H2397" s="18" t="n">
        <v>15</v>
      </c>
      <c r="I2397" s="18" t="n">
        <v>90</v>
      </c>
      <c r="J2397" s="19" t="n">
        <v>2</v>
      </c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 t="n">
        <v>7</v>
      </c>
      <c r="W2397" s="19"/>
      <c r="X2397" s="19" t="n">
        <v>6</v>
      </c>
      <c r="Y2397" s="19"/>
      <c r="Z2397" s="19"/>
      <c r="AA2397" s="19"/>
      <c r="AB2397" s="19"/>
      <c r="AC2397" s="19" t="n">
        <v>9</v>
      </c>
      <c r="AD2397" s="19"/>
      <c r="AE2397" s="19"/>
      <c r="AF2397" s="19"/>
      <c r="AG2397" s="19"/>
      <c r="AH2397" s="19" t="n">
        <v>6</v>
      </c>
      <c r="AI2397" s="19"/>
      <c r="AJ2397" s="19"/>
      <c r="AK2397" s="19"/>
      <c r="AL2397" s="19"/>
      <c r="AM2397" s="19" t="n">
        <v>1</v>
      </c>
      <c r="AN2397" s="19" t="n">
        <v>6</v>
      </c>
      <c r="AO2397" s="19" t="n">
        <v>7</v>
      </c>
      <c r="AP2397" s="19" t="n">
        <v>1</v>
      </c>
      <c r="AQ2397" s="19"/>
      <c r="AR2397" s="19"/>
      <c r="AS2397" s="20" t="str">
        <f aca="false">HYPERLINK("http://www.openstreetmap.org/?mlat=31.3114&amp;mlon=45.266&amp;zoom=12#map=12/31.3114/45.266","Maplink1")</f>
        <v>Maplink1</v>
      </c>
      <c r="AT2397" s="20" t="str">
        <f aca="false">HYPERLINK("https://www.google.iq/maps/search/+31.3114,45.266/@31.3114,45.266,14z?hl=en","Maplink2")</f>
        <v>Maplink2</v>
      </c>
      <c r="AU2397" s="20" t="str">
        <f aca="false">HYPERLINK("http://www.bing.com/maps/?lvl=14&amp;sty=h&amp;cp=31.3114~45.266&amp;sp=point.31.3114_45.266","Maplink3")</f>
        <v>Maplink3</v>
      </c>
    </row>
    <row r="2398" customFormat="false" ht="15" hidden="false" customHeight="true" outlineLevel="0" collapsed="false">
      <c r="A2398" s="15" t="n">
        <v>1478</v>
      </c>
      <c r="B2398" s="16" t="s">
        <v>25</v>
      </c>
      <c r="C2398" s="16" t="s">
        <v>4595</v>
      </c>
      <c r="D2398" s="16" t="s">
        <v>4636</v>
      </c>
      <c r="E2398" s="17" t="s">
        <v>230</v>
      </c>
      <c r="F2398" s="16" t="n">
        <v>31.30192629</v>
      </c>
      <c r="G2398" s="16" t="n">
        <v>45.27957469</v>
      </c>
      <c r="H2398" s="18" t="n">
        <v>2</v>
      </c>
      <c r="I2398" s="18" t="n">
        <v>12</v>
      </c>
      <c r="J2398" s="19" t="n">
        <v>1</v>
      </c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 t="n">
        <v>1</v>
      </c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9"/>
      <c r="AH2398" s="19" t="n">
        <v>2</v>
      </c>
      <c r="AI2398" s="19"/>
      <c r="AJ2398" s="19"/>
      <c r="AK2398" s="19"/>
      <c r="AL2398" s="19"/>
      <c r="AM2398" s="19"/>
      <c r="AN2398" s="19"/>
      <c r="AO2398" s="19" t="n">
        <v>1</v>
      </c>
      <c r="AP2398" s="19" t="n">
        <v>1</v>
      </c>
      <c r="AQ2398" s="19"/>
      <c r="AR2398" s="19"/>
      <c r="AS2398" s="20" t="str">
        <f aca="false">HYPERLINK("http://www.openstreetmap.org/?mlat=31.3019&amp;mlon=45.2796&amp;zoom=12#map=12/31.3019/45.2796","Maplink1")</f>
        <v>Maplink1</v>
      </c>
      <c r="AT2398" s="20" t="str">
        <f aca="false">HYPERLINK("https://www.google.iq/maps/search/+31.3019,45.2796/@31.3019,45.2796,14z?hl=en","Maplink2")</f>
        <v>Maplink2</v>
      </c>
      <c r="AU2398" s="20" t="str">
        <f aca="false">HYPERLINK("http://www.bing.com/maps/?lvl=14&amp;sty=h&amp;cp=31.3019~45.2796&amp;sp=point.31.3019_45.2796","Maplink3")</f>
        <v>Maplink3</v>
      </c>
    </row>
    <row r="2399" customFormat="false" ht="15" hidden="false" customHeight="true" outlineLevel="0" collapsed="false">
      <c r="A2399" s="15" t="n">
        <v>2061</v>
      </c>
      <c r="B2399" s="16" t="s">
        <v>25</v>
      </c>
      <c r="C2399" s="16" t="s">
        <v>4595</v>
      </c>
      <c r="D2399" s="16" t="s">
        <v>4637</v>
      </c>
      <c r="E2399" s="17" t="s">
        <v>4638</v>
      </c>
      <c r="F2399" s="16" t="n">
        <v>31.33274873</v>
      </c>
      <c r="G2399" s="16" t="n">
        <v>45.27179335</v>
      </c>
      <c r="H2399" s="18" t="n">
        <v>8</v>
      </c>
      <c r="I2399" s="18" t="n">
        <v>48</v>
      </c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 t="n">
        <v>8</v>
      </c>
      <c r="W2399" s="19"/>
      <c r="X2399" s="19"/>
      <c r="Y2399" s="19"/>
      <c r="Z2399" s="19"/>
      <c r="AA2399" s="19"/>
      <c r="AB2399" s="19"/>
      <c r="AC2399" s="19" t="n">
        <v>4</v>
      </c>
      <c r="AD2399" s="19"/>
      <c r="AE2399" s="19"/>
      <c r="AF2399" s="19" t="n">
        <v>2</v>
      </c>
      <c r="AG2399" s="19"/>
      <c r="AH2399" s="19" t="n">
        <v>2</v>
      </c>
      <c r="AI2399" s="19"/>
      <c r="AJ2399" s="19"/>
      <c r="AK2399" s="19"/>
      <c r="AL2399" s="19"/>
      <c r="AM2399" s="19" t="n">
        <v>1</v>
      </c>
      <c r="AN2399" s="19" t="n">
        <v>7</v>
      </c>
      <c r="AO2399" s="19"/>
      <c r="AP2399" s="19"/>
      <c r="AQ2399" s="19"/>
      <c r="AR2399" s="19"/>
      <c r="AS2399" s="20" t="str">
        <f aca="false">HYPERLINK("http://www.openstreetmap.org/?mlat=31.3327&amp;mlon=45.2718&amp;zoom=12#map=12/31.3327/45.2718","Maplink1")</f>
        <v>Maplink1</v>
      </c>
      <c r="AT2399" s="20" t="str">
        <f aca="false">HYPERLINK("https://www.google.iq/maps/search/+31.3327,45.2718/@31.3327,45.2718,14z?hl=en","Maplink2")</f>
        <v>Maplink2</v>
      </c>
      <c r="AU2399" s="20" t="str">
        <f aca="false">HYPERLINK("http://www.bing.com/maps/?lvl=14&amp;sty=h&amp;cp=31.3327~45.2718&amp;sp=point.31.3327_45.2718","Maplink3")</f>
        <v>Maplink3</v>
      </c>
    </row>
    <row r="2400" customFormat="false" ht="15" hidden="false" customHeight="true" outlineLevel="0" collapsed="false">
      <c r="A2400" s="15" t="n">
        <v>1611</v>
      </c>
      <c r="B2400" s="16" t="s">
        <v>25</v>
      </c>
      <c r="C2400" s="16" t="s">
        <v>4595</v>
      </c>
      <c r="D2400" s="16" t="s">
        <v>4639</v>
      </c>
      <c r="E2400" s="17" t="s">
        <v>4640</v>
      </c>
      <c r="F2400" s="16" t="n">
        <v>31.33062999</v>
      </c>
      <c r="G2400" s="16" t="n">
        <v>45.29314617</v>
      </c>
      <c r="H2400" s="18" t="n">
        <v>25</v>
      </c>
      <c r="I2400" s="18" t="n">
        <v>150</v>
      </c>
      <c r="J2400" s="19" t="n">
        <v>6</v>
      </c>
      <c r="K2400" s="19"/>
      <c r="L2400" s="19"/>
      <c r="M2400" s="19"/>
      <c r="N2400" s="19"/>
      <c r="O2400" s="19" t="n">
        <v>3</v>
      </c>
      <c r="P2400" s="19"/>
      <c r="Q2400" s="19"/>
      <c r="R2400" s="19" t="n">
        <v>3</v>
      </c>
      <c r="S2400" s="19"/>
      <c r="T2400" s="19"/>
      <c r="U2400" s="19"/>
      <c r="V2400" s="19" t="n">
        <v>13</v>
      </c>
      <c r="W2400" s="19"/>
      <c r="X2400" s="19"/>
      <c r="Y2400" s="19"/>
      <c r="Z2400" s="19"/>
      <c r="AA2400" s="19"/>
      <c r="AB2400" s="19"/>
      <c r="AC2400" s="19" t="n">
        <v>6</v>
      </c>
      <c r="AD2400" s="19"/>
      <c r="AE2400" s="19"/>
      <c r="AF2400" s="19"/>
      <c r="AG2400" s="19"/>
      <c r="AH2400" s="19" t="n">
        <v>19</v>
      </c>
      <c r="AI2400" s="19"/>
      <c r="AJ2400" s="19"/>
      <c r="AK2400" s="19"/>
      <c r="AL2400" s="19"/>
      <c r="AM2400" s="19" t="n">
        <v>12</v>
      </c>
      <c r="AN2400" s="19" t="n">
        <v>3</v>
      </c>
      <c r="AO2400" s="19" t="n">
        <v>4</v>
      </c>
      <c r="AP2400" s="19" t="n">
        <v>6</v>
      </c>
      <c r="AQ2400" s="19"/>
      <c r="AR2400" s="19"/>
      <c r="AS2400" s="20" t="str">
        <f aca="false">HYPERLINK("http://www.openstreetmap.org/?mlat=31.3306&amp;mlon=45.2931&amp;zoom=12#map=12/31.3306/45.2931","Maplink1")</f>
        <v>Maplink1</v>
      </c>
      <c r="AT2400" s="20" t="str">
        <f aca="false">HYPERLINK("https://www.google.iq/maps/search/+31.3306,45.2931/@31.3306,45.2931,14z?hl=en","Maplink2")</f>
        <v>Maplink2</v>
      </c>
      <c r="AU2400" s="20" t="str">
        <f aca="false">HYPERLINK("http://www.bing.com/maps/?lvl=14&amp;sty=h&amp;cp=31.3306~45.2931&amp;sp=point.31.3306_45.2931","Maplink3")</f>
        <v>Maplink3</v>
      </c>
    </row>
    <row r="2401" customFormat="false" ht="15" hidden="false" customHeight="true" outlineLevel="0" collapsed="false">
      <c r="A2401" s="15" t="n">
        <v>27233</v>
      </c>
      <c r="B2401" s="16" t="s">
        <v>25</v>
      </c>
      <c r="C2401" s="16" t="s">
        <v>4595</v>
      </c>
      <c r="D2401" s="16" t="s">
        <v>2026</v>
      </c>
      <c r="E2401" s="17" t="s">
        <v>2027</v>
      </c>
      <c r="F2401" s="16" t="n">
        <v>31.33095311</v>
      </c>
      <c r="G2401" s="16" t="n">
        <v>45.4163645</v>
      </c>
      <c r="H2401" s="18" t="n">
        <v>6</v>
      </c>
      <c r="I2401" s="18" t="n">
        <v>36</v>
      </c>
      <c r="J2401" s="19" t="n">
        <v>1</v>
      </c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 t="n">
        <v>5</v>
      </c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 t="n">
        <v>5</v>
      </c>
      <c r="AG2401" s="19"/>
      <c r="AH2401" s="19" t="n">
        <v>1</v>
      </c>
      <c r="AI2401" s="19"/>
      <c r="AJ2401" s="19"/>
      <c r="AK2401" s="19"/>
      <c r="AL2401" s="19"/>
      <c r="AM2401" s="19"/>
      <c r="AN2401" s="19" t="n">
        <v>5</v>
      </c>
      <c r="AO2401" s="19" t="n">
        <v>1</v>
      </c>
      <c r="AP2401" s="19"/>
      <c r="AQ2401" s="19"/>
      <c r="AR2401" s="19"/>
      <c r="AS2401" s="20" t="str">
        <f aca="false">HYPERLINK("http://www.openstreetmap.org/?mlat=31.331&amp;mlon=45.4164&amp;zoom=12#map=12/31.331/45.4164","Maplink1")</f>
        <v>Maplink1</v>
      </c>
      <c r="AT2401" s="20" t="str">
        <f aca="false">HYPERLINK("https://www.google.iq/maps/search/+31.331,45.4164/@31.331,45.4164,14z?hl=en","Maplink2")</f>
        <v>Maplink2</v>
      </c>
      <c r="AU2401" s="20" t="str">
        <f aca="false">HYPERLINK("http://www.bing.com/maps/?lvl=14&amp;sty=h&amp;cp=31.331~45.4164&amp;sp=point.31.331_45.4164","Maplink3")</f>
        <v>Maplink3</v>
      </c>
    </row>
    <row r="2402" customFormat="false" ht="15" hidden="false" customHeight="true" outlineLevel="0" collapsed="false">
      <c r="A2402" s="15" t="n">
        <v>1485</v>
      </c>
      <c r="B2402" s="16" t="s">
        <v>25</v>
      </c>
      <c r="C2402" s="16" t="s">
        <v>4595</v>
      </c>
      <c r="D2402" s="16" t="s">
        <v>4641</v>
      </c>
      <c r="E2402" s="17" t="s">
        <v>4434</v>
      </c>
      <c r="F2402" s="16" t="n">
        <v>31.30695472</v>
      </c>
      <c r="G2402" s="16" t="n">
        <v>45.26712396</v>
      </c>
      <c r="H2402" s="18" t="n">
        <v>4</v>
      </c>
      <c r="I2402" s="18" t="n">
        <v>24</v>
      </c>
      <c r="J2402" s="19" t="n">
        <v>2</v>
      </c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 t="n">
        <v>2</v>
      </c>
      <c r="W2402" s="19"/>
      <c r="X2402" s="19"/>
      <c r="Y2402" s="19"/>
      <c r="Z2402" s="19"/>
      <c r="AA2402" s="19"/>
      <c r="AB2402" s="19"/>
      <c r="AC2402" s="19" t="n">
        <v>1</v>
      </c>
      <c r="AD2402" s="19"/>
      <c r="AE2402" s="19"/>
      <c r="AF2402" s="19"/>
      <c r="AG2402" s="19"/>
      <c r="AH2402" s="19" t="n">
        <v>3</v>
      </c>
      <c r="AI2402" s="19"/>
      <c r="AJ2402" s="19"/>
      <c r="AK2402" s="19"/>
      <c r="AL2402" s="19"/>
      <c r="AM2402" s="19"/>
      <c r="AN2402" s="19" t="n">
        <v>1</v>
      </c>
      <c r="AO2402" s="19" t="n">
        <v>1</v>
      </c>
      <c r="AP2402" s="19" t="n">
        <v>2</v>
      </c>
      <c r="AQ2402" s="19"/>
      <c r="AR2402" s="19"/>
      <c r="AS2402" s="20" t="str">
        <f aca="false">HYPERLINK("http://www.openstreetmap.org/?mlat=31.307&amp;mlon=45.2671&amp;zoom=12#map=12/31.307/45.2671","Maplink1")</f>
        <v>Maplink1</v>
      </c>
      <c r="AT2402" s="20" t="str">
        <f aca="false">HYPERLINK("https://www.google.iq/maps/search/+31.307,45.2671/@31.307,45.2671,14z?hl=en","Maplink2")</f>
        <v>Maplink2</v>
      </c>
      <c r="AU2402" s="20" t="str">
        <f aca="false">HYPERLINK("http://www.bing.com/maps/?lvl=14&amp;sty=h&amp;cp=31.307~45.2671&amp;sp=point.31.307_45.2671","Maplink3")</f>
        <v>Maplink3</v>
      </c>
    </row>
    <row r="2403" customFormat="false" ht="15" hidden="false" customHeight="true" outlineLevel="0" collapsed="false">
      <c r="A2403" s="15" t="n">
        <v>29573</v>
      </c>
      <c r="B2403" s="16" t="s">
        <v>25</v>
      </c>
      <c r="C2403" s="16" t="s">
        <v>4595</v>
      </c>
      <c r="D2403" s="16" t="s">
        <v>4642</v>
      </c>
      <c r="E2403" s="17" t="s">
        <v>4643</v>
      </c>
      <c r="F2403" s="16" t="n">
        <v>31.31913668</v>
      </c>
      <c r="G2403" s="16" t="n">
        <v>45.29538942</v>
      </c>
      <c r="H2403" s="18" t="n">
        <v>1</v>
      </c>
      <c r="I2403" s="18" t="n">
        <v>6</v>
      </c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 t="n">
        <v>1</v>
      </c>
      <c r="W2403" s="19"/>
      <c r="X2403" s="19"/>
      <c r="Y2403" s="19"/>
      <c r="Z2403" s="19"/>
      <c r="AA2403" s="19"/>
      <c r="AB2403" s="19"/>
      <c r="AC2403" s="19" t="n">
        <v>1</v>
      </c>
      <c r="AD2403" s="19"/>
      <c r="AE2403" s="19"/>
      <c r="AF2403" s="19"/>
      <c r="AG2403" s="19"/>
      <c r="AH2403" s="19"/>
      <c r="AI2403" s="19"/>
      <c r="AJ2403" s="19"/>
      <c r="AK2403" s="19"/>
      <c r="AL2403" s="19"/>
      <c r="AM2403" s="19"/>
      <c r="AN2403" s="19" t="n">
        <v>1</v>
      </c>
      <c r="AO2403" s="19"/>
      <c r="AP2403" s="19"/>
      <c r="AQ2403" s="19"/>
      <c r="AR2403" s="19"/>
      <c r="AS2403" s="20" t="str">
        <f aca="false">HYPERLINK("http://www.openstreetmap.org/?mlat=31.3191&amp;mlon=45.2954&amp;zoom=12#map=12/31.3191/45.2954","Maplink1")</f>
        <v>Maplink1</v>
      </c>
      <c r="AT2403" s="20" t="str">
        <f aca="false">HYPERLINK("https://www.google.iq/maps/search/+31.3191,45.2954/@31.3191,45.2954,14z?hl=en","Maplink2")</f>
        <v>Maplink2</v>
      </c>
      <c r="AU2403" s="20" t="str">
        <f aca="false">HYPERLINK("http://www.bing.com/maps/?lvl=14&amp;sty=h&amp;cp=31.3191~45.2954&amp;sp=point.31.3191_45.2954","Maplink3")</f>
        <v>Maplink3</v>
      </c>
    </row>
    <row r="2404" customFormat="false" ht="15" hidden="false" customHeight="true" outlineLevel="0" collapsed="false">
      <c r="A2404" s="15" t="n">
        <v>21317</v>
      </c>
      <c r="B2404" s="16" t="s">
        <v>25</v>
      </c>
      <c r="C2404" s="16" t="s">
        <v>4595</v>
      </c>
      <c r="D2404" s="16" t="s">
        <v>4644</v>
      </c>
      <c r="E2404" s="17" t="s">
        <v>572</v>
      </c>
      <c r="F2404" s="16" t="n">
        <v>31.31747476</v>
      </c>
      <c r="G2404" s="16" t="n">
        <v>45.26526226</v>
      </c>
      <c r="H2404" s="18" t="n">
        <v>25</v>
      </c>
      <c r="I2404" s="18" t="n">
        <v>150</v>
      </c>
      <c r="J2404" s="19" t="n">
        <v>7</v>
      </c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 t="n">
        <v>17</v>
      </c>
      <c r="W2404" s="19"/>
      <c r="X2404" s="19" t="n">
        <v>1</v>
      </c>
      <c r="Y2404" s="19"/>
      <c r="Z2404" s="19"/>
      <c r="AA2404" s="19"/>
      <c r="AB2404" s="19"/>
      <c r="AC2404" s="19" t="n">
        <v>13</v>
      </c>
      <c r="AD2404" s="19"/>
      <c r="AE2404" s="19"/>
      <c r="AF2404" s="19"/>
      <c r="AG2404" s="19"/>
      <c r="AH2404" s="19" t="n">
        <v>12</v>
      </c>
      <c r="AI2404" s="19"/>
      <c r="AJ2404" s="19"/>
      <c r="AK2404" s="19"/>
      <c r="AL2404" s="19"/>
      <c r="AM2404" s="19"/>
      <c r="AN2404" s="19" t="n">
        <v>18</v>
      </c>
      <c r="AO2404" s="19" t="n">
        <v>1</v>
      </c>
      <c r="AP2404" s="19" t="n">
        <v>6</v>
      </c>
      <c r="AQ2404" s="19"/>
      <c r="AR2404" s="19"/>
      <c r="AS2404" s="20" t="str">
        <f aca="false">HYPERLINK("http://www.openstreetmap.org/?mlat=31.3175&amp;mlon=45.2653&amp;zoom=12#map=12/31.3175/45.2653","Maplink1")</f>
        <v>Maplink1</v>
      </c>
      <c r="AT2404" s="20" t="str">
        <f aca="false">HYPERLINK("https://www.google.iq/maps/search/+31.3175,45.2653/@31.3175,45.2653,14z?hl=en","Maplink2")</f>
        <v>Maplink2</v>
      </c>
      <c r="AU2404" s="20" t="str">
        <f aca="false">HYPERLINK("http://www.bing.com/maps/?lvl=14&amp;sty=h&amp;cp=31.3175~45.2653&amp;sp=point.31.3175_45.2653","Maplink3")</f>
        <v>Maplink3</v>
      </c>
    </row>
    <row r="2405" customFormat="false" ht="15" hidden="false" customHeight="true" outlineLevel="0" collapsed="false">
      <c r="A2405" s="15" t="n">
        <v>2076</v>
      </c>
      <c r="B2405" s="16" t="s">
        <v>25</v>
      </c>
      <c r="C2405" s="16" t="s">
        <v>4595</v>
      </c>
      <c r="D2405" s="16" t="s">
        <v>4645</v>
      </c>
      <c r="E2405" s="17" t="s">
        <v>4646</v>
      </c>
      <c r="F2405" s="16" t="n">
        <v>31.31206483</v>
      </c>
      <c r="G2405" s="16" t="n">
        <v>45.24772086</v>
      </c>
      <c r="H2405" s="18" t="n">
        <v>2</v>
      </c>
      <c r="I2405" s="18" t="n">
        <v>12</v>
      </c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 t="n">
        <v>2</v>
      </c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9" t="n">
        <v>2</v>
      </c>
      <c r="AH2405" s="19"/>
      <c r="AI2405" s="19"/>
      <c r="AJ2405" s="19"/>
      <c r="AK2405" s="19"/>
      <c r="AL2405" s="19"/>
      <c r="AM2405" s="19"/>
      <c r="AN2405" s="19" t="n">
        <v>2</v>
      </c>
      <c r="AO2405" s="19"/>
      <c r="AP2405" s="19"/>
      <c r="AQ2405" s="19"/>
      <c r="AR2405" s="19"/>
      <c r="AS2405" s="20" t="str">
        <f aca="false">HYPERLINK("http://www.openstreetmap.org/?mlat=31.3121&amp;mlon=45.2477&amp;zoom=12#map=12/31.3121/45.2477","Maplink1")</f>
        <v>Maplink1</v>
      </c>
      <c r="AT2405" s="20" t="str">
        <f aca="false">HYPERLINK("https://www.google.iq/maps/search/+31.3121,45.2477/@31.3121,45.2477,14z?hl=en","Maplink2")</f>
        <v>Maplink2</v>
      </c>
      <c r="AU2405" s="20" t="str">
        <f aca="false">HYPERLINK("http://www.bing.com/maps/?lvl=14&amp;sty=h&amp;cp=31.3121~45.2477&amp;sp=point.31.3121_45.2477","Maplink3")</f>
        <v>Maplink3</v>
      </c>
    </row>
    <row r="2406" customFormat="false" ht="15" hidden="false" customHeight="true" outlineLevel="0" collapsed="false">
      <c r="A2406" s="15" t="n">
        <v>29575</v>
      </c>
      <c r="B2406" s="16" t="s">
        <v>25</v>
      </c>
      <c r="C2406" s="16" t="s">
        <v>4595</v>
      </c>
      <c r="D2406" s="16" t="s">
        <v>4647</v>
      </c>
      <c r="E2406" s="17" t="s">
        <v>4648</v>
      </c>
      <c r="F2406" s="16" t="n">
        <v>31.30337422</v>
      </c>
      <c r="G2406" s="16" t="n">
        <v>45.30052333</v>
      </c>
      <c r="H2406" s="18" t="n">
        <v>1</v>
      </c>
      <c r="I2406" s="18" t="n">
        <v>6</v>
      </c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 t="n">
        <v>1</v>
      </c>
      <c r="W2406" s="19"/>
      <c r="X2406" s="19"/>
      <c r="Y2406" s="19"/>
      <c r="Z2406" s="19"/>
      <c r="AA2406" s="19"/>
      <c r="AB2406" s="19"/>
      <c r="AC2406" s="19" t="n">
        <v>1</v>
      </c>
      <c r="AD2406" s="19"/>
      <c r="AE2406" s="19"/>
      <c r="AF2406" s="19"/>
      <c r="AG2406" s="19"/>
      <c r="AH2406" s="19"/>
      <c r="AI2406" s="19"/>
      <c r="AJ2406" s="19"/>
      <c r="AK2406" s="19"/>
      <c r="AL2406" s="19"/>
      <c r="AM2406" s="19"/>
      <c r="AN2406" s="19" t="n">
        <v>1</v>
      </c>
      <c r="AO2406" s="19"/>
      <c r="AP2406" s="19"/>
      <c r="AQ2406" s="19"/>
      <c r="AR2406" s="19"/>
      <c r="AS2406" s="20" t="str">
        <f aca="false">HYPERLINK("http://www.openstreetmap.org/?mlat=31.3034&amp;mlon=45.3005&amp;zoom=12#map=12/31.3034/45.3005","Maplink1")</f>
        <v>Maplink1</v>
      </c>
      <c r="AT2406" s="20" t="str">
        <f aca="false">HYPERLINK("https://www.google.iq/maps/search/+31.3034,45.3005/@31.3034,45.3005,14z?hl=en","Maplink2")</f>
        <v>Maplink2</v>
      </c>
      <c r="AU2406" s="20" t="str">
        <f aca="false">HYPERLINK("http://www.bing.com/maps/?lvl=14&amp;sty=h&amp;cp=31.3034~45.3005&amp;sp=point.31.3034_45.3005","Maplink3")</f>
        <v>Maplink3</v>
      </c>
    </row>
    <row r="2407" customFormat="false" ht="15" hidden="false" customHeight="true" outlineLevel="0" collapsed="false">
      <c r="A2407" s="15" t="n">
        <v>1573</v>
      </c>
      <c r="B2407" s="16" t="s">
        <v>25</v>
      </c>
      <c r="C2407" s="16" t="s">
        <v>4595</v>
      </c>
      <c r="D2407" s="16" t="s">
        <v>4649</v>
      </c>
      <c r="E2407" s="17" t="s">
        <v>4650</v>
      </c>
      <c r="F2407" s="16" t="n">
        <v>31.30759807</v>
      </c>
      <c r="G2407" s="16" t="n">
        <v>45.31254382</v>
      </c>
      <c r="H2407" s="18" t="n">
        <v>13</v>
      </c>
      <c r="I2407" s="18" t="n">
        <v>78</v>
      </c>
      <c r="J2407" s="19" t="n">
        <v>1</v>
      </c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 t="n">
        <v>12</v>
      </c>
      <c r="W2407" s="19"/>
      <c r="X2407" s="19"/>
      <c r="Y2407" s="19"/>
      <c r="Z2407" s="19"/>
      <c r="AA2407" s="19"/>
      <c r="AB2407" s="19"/>
      <c r="AC2407" s="19" t="n">
        <v>4</v>
      </c>
      <c r="AD2407" s="19"/>
      <c r="AE2407" s="19"/>
      <c r="AF2407" s="19"/>
      <c r="AG2407" s="19"/>
      <c r="AH2407" s="19" t="n">
        <v>9</v>
      </c>
      <c r="AI2407" s="19"/>
      <c r="AJ2407" s="19"/>
      <c r="AK2407" s="19"/>
      <c r="AL2407" s="19"/>
      <c r="AM2407" s="19"/>
      <c r="AN2407" s="19" t="n">
        <v>12</v>
      </c>
      <c r="AO2407" s="19"/>
      <c r="AP2407" s="19" t="n">
        <v>1</v>
      </c>
      <c r="AQ2407" s="19"/>
      <c r="AR2407" s="19"/>
      <c r="AS2407" s="20" t="str">
        <f aca="false">HYPERLINK("http://www.openstreetmap.org/?mlat=31.3076&amp;mlon=45.3125&amp;zoom=12#map=12/31.3076/45.3125","Maplink1")</f>
        <v>Maplink1</v>
      </c>
      <c r="AT2407" s="20" t="str">
        <f aca="false">HYPERLINK("https://www.google.iq/maps/search/+31.3076,45.3125/@31.3076,45.3125,14z?hl=en","Maplink2")</f>
        <v>Maplink2</v>
      </c>
      <c r="AU2407" s="20" t="str">
        <f aca="false">HYPERLINK("http://www.bing.com/maps/?lvl=14&amp;sty=h&amp;cp=31.3076~45.3125&amp;sp=point.31.3076_45.3125","Maplink3")</f>
        <v>Maplink3</v>
      </c>
    </row>
    <row r="2408" customFormat="false" ht="15" hidden="false" customHeight="true" outlineLevel="0" collapsed="false">
      <c r="A2408" s="15" t="n">
        <v>29543</v>
      </c>
      <c r="B2408" s="16" t="s">
        <v>25</v>
      </c>
      <c r="C2408" s="16" t="s">
        <v>4595</v>
      </c>
      <c r="D2408" s="16" t="s">
        <v>4651</v>
      </c>
      <c r="E2408" s="17" t="s">
        <v>4652</v>
      </c>
      <c r="F2408" s="16" t="n">
        <v>31.335556</v>
      </c>
      <c r="G2408" s="16" t="n">
        <v>45.412498</v>
      </c>
      <c r="H2408" s="18" t="n">
        <v>3</v>
      </c>
      <c r="I2408" s="18" t="n">
        <v>18</v>
      </c>
      <c r="J2408" s="19" t="n">
        <v>3</v>
      </c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 t="n">
        <v>2</v>
      </c>
      <c r="AD2408" s="19"/>
      <c r="AE2408" s="19"/>
      <c r="AF2408" s="19"/>
      <c r="AG2408" s="19"/>
      <c r="AH2408" s="19" t="n">
        <v>1</v>
      </c>
      <c r="AI2408" s="19"/>
      <c r="AJ2408" s="19"/>
      <c r="AK2408" s="19"/>
      <c r="AL2408" s="19"/>
      <c r="AM2408" s="19"/>
      <c r="AN2408" s="19"/>
      <c r="AO2408" s="19" t="n">
        <v>3</v>
      </c>
      <c r="AP2408" s="19"/>
      <c r="AQ2408" s="19"/>
      <c r="AR2408" s="19"/>
      <c r="AS2408" s="20" t="str">
        <f aca="false">HYPERLINK("http://www.openstreetmap.org/?mlat=31.3356&amp;mlon=45.4125&amp;zoom=12#map=12/31.3356/45.4125","Maplink1")</f>
        <v>Maplink1</v>
      </c>
      <c r="AT2408" s="20" t="str">
        <f aca="false">HYPERLINK("https://www.google.iq/maps/search/+31.3356,45.4125/@31.3356,45.4125,14z?hl=en","Maplink2")</f>
        <v>Maplink2</v>
      </c>
      <c r="AU2408" s="20" t="str">
        <f aca="false">HYPERLINK("http://www.bing.com/maps/?lvl=14&amp;sty=h&amp;cp=31.3356~45.4125&amp;sp=point.31.3356_45.4125","Maplink3")</f>
        <v>Maplink3</v>
      </c>
    </row>
    <row r="2409" customFormat="false" ht="15" hidden="false" customHeight="true" outlineLevel="0" collapsed="false">
      <c r="A2409" s="15" t="n">
        <v>19905</v>
      </c>
      <c r="B2409" s="16" t="s">
        <v>26</v>
      </c>
      <c r="C2409" s="16" t="s">
        <v>4653</v>
      </c>
      <c r="D2409" s="16" t="s">
        <v>4654</v>
      </c>
      <c r="E2409" s="17" t="s">
        <v>4655</v>
      </c>
      <c r="F2409" s="16" t="n">
        <v>31.91471</v>
      </c>
      <c r="G2409" s="16" t="n">
        <v>44.47125</v>
      </c>
      <c r="H2409" s="18" t="n">
        <v>26</v>
      </c>
      <c r="I2409" s="18" t="n">
        <v>156</v>
      </c>
      <c r="J2409" s="19" t="n">
        <v>1</v>
      </c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 t="n">
        <v>25</v>
      </c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9" t="n">
        <v>2</v>
      </c>
      <c r="AH2409" s="19" t="n">
        <v>24</v>
      </c>
      <c r="AI2409" s="19"/>
      <c r="AJ2409" s="19"/>
      <c r="AK2409" s="19"/>
      <c r="AL2409" s="19"/>
      <c r="AM2409" s="19" t="n">
        <v>25</v>
      </c>
      <c r="AN2409" s="19"/>
      <c r="AO2409" s="19"/>
      <c r="AP2409" s="19" t="n">
        <v>1</v>
      </c>
      <c r="AQ2409" s="19"/>
      <c r="AR2409" s="19"/>
      <c r="AS2409" s="20" t="str">
        <f aca="false">HYPERLINK("http://www.openstreetmap.org/?mlat=31.9147&amp;mlon=44.4712&amp;zoom=12#map=12/31.9147/44.4712","Maplink1")</f>
        <v>Maplink1</v>
      </c>
      <c r="AT2409" s="20" t="str">
        <f aca="false">HYPERLINK("https://www.google.iq/maps/search/+31.9147,44.4712/@31.9147,44.4712,14z?hl=en","Maplink2")</f>
        <v>Maplink2</v>
      </c>
      <c r="AU2409" s="20" t="str">
        <f aca="false">HYPERLINK("http://www.bing.com/maps/?lvl=14&amp;sty=h&amp;cp=31.9147~44.4712&amp;sp=point.31.9147_44.4712","Maplink3")</f>
        <v>Maplink3</v>
      </c>
    </row>
    <row r="2410" customFormat="false" ht="15" hidden="false" customHeight="true" outlineLevel="0" collapsed="false">
      <c r="A2410" s="15" t="n">
        <v>19588</v>
      </c>
      <c r="B2410" s="16" t="s">
        <v>26</v>
      </c>
      <c r="C2410" s="16" t="s">
        <v>4653</v>
      </c>
      <c r="D2410" s="16" t="s">
        <v>4656</v>
      </c>
      <c r="E2410" s="17" t="s">
        <v>4657</v>
      </c>
      <c r="F2410" s="16" t="n">
        <v>31.80532</v>
      </c>
      <c r="G2410" s="16" t="n">
        <v>44.493613</v>
      </c>
      <c r="H2410" s="18" t="n">
        <v>150</v>
      </c>
      <c r="I2410" s="18" t="n">
        <v>900</v>
      </c>
      <c r="J2410" s="19"/>
      <c r="K2410" s="19"/>
      <c r="L2410" s="19" t="n">
        <v>6</v>
      </c>
      <c r="M2410" s="19"/>
      <c r="N2410" s="19"/>
      <c r="O2410" s="19"/>
      <c r="P2410" s="19"/>
      <c r="Q2410" s="19"/>
      <c r="R2410" s="19"/>
      <c r="S2410" s="19"/>
      <c r="T2410" s="19"/>
      <c r="U2410" s="19"/>
      <c r="V2410" s="19" t="n">
        <v>144</v>
      </c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9" t="n">
        <v>50</v>
      </c>
      <c r="AH2410" s="19" t="n">
        <v>100</v>
      </c>
      <c r="AI2410" s="19"/>
      <c r="AJ2410" s="19"/>
      <c r="AK2410" s="19"/>
      <c r="AL2410" s="19" t="n">
        <v>6</v>
      </c>
      <c r="AM2410" s="19" t="n">
        <v>84</v>
      </c>
      <c r="AN2410" s="19"/>
      <c r="AO2410" s="19" t="n">
        <v>60</v>
      </c>
      <c r="AP2410" s="19"/>
      <c r="AQ2410" s="19"/>
      <c r="AR2410" s="19"/>
      <c r="AS2410" s="20" t="str">
        <f aca="false">HYPERLINK("http://www.openstreetmap.org/?mlat=31.8053&amp;mlon=44.4936&amp;zoom=12#map=12/31.8053/44.4936","Maplink1")</f>
        <v>Maplink1</v>
      </c>
      <c r="AT2410" s="20" t="str">
        <f aca="false">HYPERLINK("https://www.google.iq/maps/search/+31.8053,44.4936/@31.8053,44.4936,14z?hl=en","Maplink2")</f>
        <v>Maplink2</v>
      </c>
      <c r="AU2410" s="20" t="str">
        <f aca="false">HYPERLINK("http://www.bing.com/maps/?lvl=14&amp;sty=h&amp;cp=31.8053~44.4936&amp;sp=point.31.8053_44.4936","Maplink3")</f>
        <v>Maplink3</v>
      </c>
    </row>
    <row r="2411" customFormat="false" ht="15" hidden="false" customHeight="true" outlineLevel="0" collapsed="false">
      <c r="A2411" s="15" t="n">
        <v>24525</v>
      </c>
      <c r="B2411" s="16" t="s">
        <v>26</v>
      </c>
      <c r="C2411" s="16" t="s">
        <v>4653</v>
      </c>
      <c r="D2411" s="16" t="s">
        <v>4658</v>
      </c>
      <c r="E2411" s="17" t="s">
        <v>4659</v>
      </c>
      <c r="F2411" s="16" t="n">
        <v>31.80404</v>
      </c>
      <c r="G2411" s="16" t="n">
        <v>44.483823</v>
      </c>
      <c r="H2411" s="18" t="n">
        <v>18</v>
      </c>
      <c r="I2411" s="18" t="n">
        <v>108</v>
      </c>
      <c r="J2411" s="19" t="n">
        <v>7</v>
      </c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 t="n">
        <v>11</v>
      </c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9"/>
      <c r="AH2411" s="19" t="n">
        <v>18</v>
      </c>
      <c r="AI2411" s="19"/>
      <c r="AJ2411" s="19"/>
      <c r="AK2411" s="19"/>
      <c r="AL2411" s="19"/>
      <c r="AM2411" s="19" t="n">
        <v>11</v>
      </c>
      <c r="AN2411" s="19"/>
      <c r="AO2411" s="19"/>
      <c r="AP2411" s="19" t="n">
        <v>7</v>
      </c>
      <c r="AQ2411" s="19"/>
      <c r="AR2411" s="19"/>
      <c r="AS2411" s="20" t="str">
        <f aca="false">HYPERLINK("http://www.openstreetmap.org/?mlat=31.804&amp;mlon=44.4838&amp;zoom=12#map=12/31.804/44.4838","Maplink1")</f>
        <v>Maplink1</v>
      </c>
      <c r="AT2411" s="20" t="str">
        <f aca="false">HYPERLINK("https://www.google.iq/maps/search/+31.804,44.4838/@31.804,44.4838,14z?hl=en","Maplink2")</f>
        <v>Maplink2</v>
      </c>
      <c r="AU2411" s="20" t="str">
        <f aca="false">HYPERLINK("http://www.bing.com/maps/?lvl=14&amp;sty=h&amp;cp=31.804~44.4838&amp;sp=point.31.804_44.4838","Maplink3")</f>
        <v>Maplink3</v>
      </c>
    </row>
    <row r="2412" customFormat="false" ht="15" hidden="false" customHeight="true" outlineLevel="0" collapsed="false">
      <c r="A2412" s="15" t="n">
        <v>25907</v>
      </c>
      <c r="B2412" s="16" t="s">
        <v>26</v>
      </c>
      <c r="C2412" s="16" t="s">
        <v>4653</v>
      </c>
      <c r="D2412" s="16" t="s">
        <v>4660</v>
      </c>
      <c r="E2412" s="17" t="s">
        <v>4661</v>
      </c>
      <c r="F2412" s="16" t="n">
        <v>31.92295</v>
      </c>
      <c r="G2412" s="16" t="n">
        <v>44.54786</v>
      </c>
      <c r="H2412" s="18" t="n">
        <v>8</v>
      </c>
      <c r="I2412" s="18" t="n">
        <v>48</v>
      </c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 t="n">
        <v>8</v>
      </c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9"/>
      <c r="AH2412" s="19" t="n">
        <v>8</v>
      </c>
      <c r="AI2412" s="19"/>
      <c r="AJ2412" s="19"/>
      <c r="AK2412" s="19"/>
      <c r="AL2412" s="19"/>
      <c r="AM2412" s="19"/>
      <c r="AN2412" s="19" t="n">
        <v>8</v>
      </c>
      <c r="AO2412" s="19"/>
      <c r="AP2412" s="19"/>
      <c r="AQ2412" s="19"/>
      <c r="AR2412" s="19"/>
      <c r="AS2412" s="20" t="str">
        <f aca="false">HYPERLINK("http://www.openstreetmap.org/?mlat=31.923&amp;mlon=44.5479&amp;zoom=12#map=12/31.923/44.5479","Maplink1")</f>
        <v>Maplink1</v>
      </c>
      <c r="AT2412" s="20" t="str">
        <f aca="false">HYPERLINK("https://www.google.iq/maps/search/+31.923,44.5479/@31.923,44.5479,14z?hl=en","Maplink2")</f>
        <v>Maplink2</v>
      </c>
      <c r="AU2412" s="20" t="str">
        <f aca="false">HYPERLINK("http://www.bing.com/maps/?lvl=14&amp;sty=h&amp;cp=31.923~44.5479&amp;sp=point.31.923_44.5479","Maplink3")</f>
        <v>Maplink3</v>
      </c>
    </row>
    <row r="2413" customFormat="false" ht="15" hidden="false" customHeight="true" outlineLevel="0" collapsed="false">
      <c r="A2413" s="15" t="n">
        <v>25433</v>
      </c>
      <c r="B2413" s="16" t="s">
        <v>26</v>
      </c>
      <c r="C2413" s="16" t="s">
        <v>4653</v>
      </c>
      <c r="D2413" s="16" t="s">
        <v>4622</v>
      </c>
      <c r="E2413" s="17" t="s">
        <v>4623</v>
      </c>
      <c r="F2413" s="16" t="n">
        <v>31.7057</v>
      </c>
      <c r="G2413" s="16" t="n">
        <v>44.47443</v>
      </c>
      <c r="H2413" s="18" t="n">
        <v>15</v>
      </c>
      <c r="I2413" s="18" t="n">
        <v>90</v>
      </c>
      <c r="J2413" s="19" t="n">
        <v>7</v>
      </c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 t="n">
        <v>8</v>
      </c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9"/>
      <c r="AH2413" s="19" t="n">
        <v>15</v>
      </c>
      <c r="AI2413" s="19"/>
      <c r="AJ2413" s="19"/>
      <c r="AK2413" s="19"/>
      <c r="AL2413" s="19"/>
      <c r="AM2413" s="19"/>
      <c r="AN2413" s="19" t="n">
        <v>8</v>
      </c>
      <c r="AO2413" s="19"/>
      <c r="AP2413" s="19" t="n">
        <v>7</v>
      </c>
      <c r="AQ2413" s="19"/>
      <c r="AR2413" s="19"/>
      <c r="AS2413" s="20" t="str">
        <f aca="false">HYPERLINK("http://www.openstreetmap.org/?mlat=31.7057&amp;mlon=44.4744&amp;zoom=12#map=12/31.7057/44.4744","Maplink1")</f>
        <v>Maplink1</v>
      </c>
      <c r="AT2413" s="20" t="str">
        <f aca="false">HYPERLINK("https://www.google.iq/maps/search/+31.7057,44.4744/@31.7057,44.4744,14z?hl=en","Maplink2")</f>
        <v>Maplink2</v>
      </c>
      <c r="AU2413" s="20" t="str">
        <f aca="false">HYPERLINK("http://www.bing.com/maps/?lvl=14&amp;sty=h&amp;cp=31.7057~44.4744&amp;sp=point.31.7057_44.4744","Maplink3")</f>
        <v>Maplink3</v>
      </c>
    </row>
    <row r="2414" customFormat="false" ht="15" hidden="false" customHeight="true" outlineLevel="0" collapsed="false">
      <c r="A2414" s="15" t="n">
        <v>25366</v>
      </c>
      <c r="B2414" s="16" t="s">
        <v>26</v>
      </c>
      <c r="C2414" s="16" t="s">
        <v>4653</v>
      </c>
      <c r="D2414" s="16" t="s">
        <v>4662</v>
      </c>
      <c r="E2414" s="17" t="s">
        <v>4663</v>
      </c>
      <c r="F2414" s="16" t="n">
        <v>31.89052</v>
      </c>
      <c r="G2414" s="16" t="n">
        <v>44.4816</v>
      </c>
      <c r="H2414" s="18" t="n">
        <v>19</v>
      </c>
      <c r="I2414" s="18" t="n">
        <v>114</v>
      </c>
      <c r="J2414" s="19" t="n">
        <v>8</v>
      </c>
      <c r="K2414" s="19"/>
      <c r="L2414" s="19"/>
      <c r="M2414" s="19"/>
      <c r="N2414" s="19"/>
      <c r="O2414" s="19" t="n">
        <v>3</v>
      </c>
      <c r="P2414" s="19"/>
      <c r="Q2414" s="19"/>
      <c r="R2414" s="19"/>
      <c r="S2414" s="19"/>
      <c r="T2414" s="19"/>
      <c r="U2414" s="19"/>
      <c r="V2414" s="19" t="n">
        <v>8</v>
      </c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9"/>
      <c r="AH2414" s="19" t="n">
        <v>19</v>
      </c>
      <c r="AI2414" s="19"/>
      <c r="AJ2414" s="19"/>
      <c r="AK2414" s="19"/>
      <c r="AL2414" s="19" t="n">
        <v>4</v>
      </c>
      <c r="AM2414" s="19" t="n">
        <v>5</v>
      </c>
      <c r="AN2414" s="19"/>
      <c r="AO2414" s="19" t="n">
        <v>10</v>
      </c>
      <c r="AP2414" s="19"/>
      <c r="AQ2414" s="19"/>
      <c r="AR2414" s="19"/>
      <c r="AS2414" s="20" t="str">
        <f aca="false">HYPERLINK("http://www.openstreetmap.org/?mlat=31.8905&amp;mlon=44.4816&amp;zoom=12#map=12/31.8905/44.4816","Maplink1")</f>
        <v>Maplink1</v>
      </c>
      <c r="AT2414" s="20" t="str">
        <f aca="false">HYPERLINK("https://www.google.iq/maps/search/+31.8905,44.4816/@31.8905,44.4816,14z?hl=en","Maplink2")</f>
        <v>Maplink2</v>
      </c>
      <c r="AU2414" s="20" t="str">
        <f aca="false">HYPERLINK("http://www.bing.com/maps/?lvl=14&amp;sty=h&amp;cp=31.8905~44.4816&amp;sp=point.31.8905_44.4816","Maplink3")</f>
        <v>Maplink3</v>
      </c>
    </row>
    <row r="2415" customFormat="false" ht="15" hidden="false" customHeight="true" outlineLevel="0" collapsed="false">
      <c r="A2415" s="15" t="n">
        <v>19911</v>
      </c>
      <c r="B2415" s="16" t="s">
        <v>26</v>
      </c>
      <c r="C2415" s="16" t="s">
        <v>4653</v>
      </c>
      <c r="D2415" s="16" t="s">
        <v>4664</v>
      </c>
      <c r="E2415" s="17" t="s">
        <v>4665</v>
      </c>
      <c r="F2415" s="16" t="n">
        <v>31.91478</v>
      </c>
      <c r="G2415" s="16" t="n">
        <v>44.48088</v>
      </c>
      <c r="H2415" s="18" t="n">
        <v>121</v>
      </c>
      <c r="I2415" s="18" t="n">
        <v>726</v>
      </c>
      <c r="J2415" s="19" t="n">
        <v>18</v>
      </c>
      <c r="K2415" s="19"/>
      <c r="L2415" s="19"/>
      <c r="M2415" s="19"/>
      <c r="N2415" s="19"/>
      <c r="O2415" s="19" t="n">
        <v>5</v>
      </c>
      <c r="P2415" s="19"/>
      <c r="Q2415" s="19"/>
      <c r="R2415" s="19"/>
      <c r="S2415" s="19"/>
      <c r="T2415" s="19"/>
      <c r="U2415" s="19"/>
      <c r="V2415" s="19" t="n">
        <v>98</v>
      </c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9" t="n">
        <v>61</v>
      </c>
      <c r="AH2415" s="19" t="n">
        <v>60</v>
      </c>
      <c r="AI2415" s="19"/>
      <c r="AJ2415" s="19"/>
      <c r="AK2415" s="19"/>
      <c r="AL2415" s="19"/>
      <c r="AM2415" s="19" t="n">
        <v>98</v>
      </c>
      <c r="AN2415" s="19"/>
      <c r="AO2415" s="19" t="n">
        <v>5</v>
      </c>
      <c r="AP2415" s="19" t="n">
        <v>18</v>
      </c>
      <c r="AQ2415" s="19"/>
      <c r="AR2415" s="19"/>
      <c r="AS2415" s="20" t="str">
        <f aca="false">HYPERLINK("http://www.openstreetmap.org/?mlat=31.9148&amp;mlon=44.4809&amp;zoom=12#map=12/31.9148/44.4809","Maplink1")</f>
        <v>Maplink1</v>
      </c>
      <c r="AT2415" s="20" t="str">
        <f aca="false">HYPERLINK("https://www.google.iq/maps/search/+31.9148,44.4809/@31.9148,44.4809,14z?hl=en","Maplink2")</f>
        <v>Maplink2</v>
      </c>
      <c r="AU2415" s="20" t="str">
        <f aca="false">HYPERLINK("http://www.bing.com/maps/?lvl=14&amp;sty=h&amp;cp=31.9148~44.4809&amp;sp=point.31.9148_44.4809","Maplink3")</f>
        <v>Maplink3</v>
      </c>
    </row>
    <row r="2416" customFormat="false" ht="15" hidden="false" customHeight="true" outlineLevel="0" collapsed="false">
      <c r="A2416" s="15" t="n">
        <v>19816</v>
      </c>
      <c r="B2416" s="16" t="s">
        <v>26</v>
      </c>
      <c r="C2416" s="16" t="s">
        <v>4653</v>
      </c>
      <c r="D2416" s="16" t="s">
        <v>4666</v>
      </c>
      <c r="E2416" s="17" t="s">
        <v>226</v>
      </c>
      <c r="F2416" s="16" t="n">
        <v>31.904</v>
      </c>
      <c r="G2416" s="16" t="n">
        <v>44.4908</v>
      </c>
      <c r="H2416" s="18" t="n">
        <v>12</v>
      </c>
      <c r="I2416" s="18" t="n">
        <v>72</v>
      </c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 t="n">
        <v>12</v>
      </c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9"/>
      <c r="AH2416" s="19" t="n">
        <v>12</v>
      </c>
      <c r="AI2416" s="19"/>
      <c r="AJ2416" s="19"/>
      <c r="AK2416" s="19"/>
      <c r="AL2416" s="19"/>
      <c r="AM2416" s="19" t="n">
        <v>12</v>
      </c>
      <c r="AN2416" s="19"/>
      <c r="AO2416" s="19"/>
      <c r="AP2416" s="19"/>
      <c r="AQ2416" s="19"/>
      <c r="AR2416" s="19"/>
      <c r="AS2416" s="20" t="str">
        <f aca="false">HYPERLINK("http://www.openstreetmap.org/?mlat=31.904&amp;mlon=44.4908&amp;zoom=12#map=12/31.904/44.4908","Maplink1")</f>
        <v>Maplink1</v>
      </c>
      <c r="AT2416" s="20" t="str">
        <f aca="false">HYPERLINK("https://www.google.iq/maps/search/+31.904,44.4908/@31.904,44.4908,14z?hl=en","Maplink2")</f>
        <v>Maplink2</v>
      </c>
      <c r="AU2416" s="20" t="str">
        <f aca="false">HYPERLINK("http://www.bing.com/maps/?lvl=14&amp;sty=h&amp;cp=31.904~44.4908&amp;sp=point.31.904_44.4908","Maplink3")</f>
        <v>Maplink3</v>
      </c>
    </row>
    <row r="2417" customFormat="false" ht="15" hidden="false" customHeight="true" outlineLevel="0" collapsed="false">
      <c r="A2417" s="15" t="n">
        <v>19847</v>
      </c>
      <c r="B2417" s="16" t="s">
        <v>26</v>
      </c>
      <c r="C2417" s="16" t="s">
        <v>4653</v>
      </c>
      <c r="D2417" s="16" t="s">
        <v>4667</v>
      </c>
      <c r="E2417" s="17" t="s">
        <v>4668</v>
      </c>
      <c r="F2417" s="16" t="n">
        <v>31.889401</v>
      </c>
      <c r="G2417" s="16" t="n">
        <v>44.476594</v>
      </c>
      <c r="H2417" s="18" t="n">
        <v>43</v>
      </c>
      <c r="I2417" s="18" t="n">
        <v>258</v>
      </c>
      <c r="J2417" s="19" t="n">
        <v>18</v>
      </c>
      <c r="K2417" s="19"/>
      <c r="L2417" s="19" t="n">
        <v>3</v>
      </c>
      <c r="M2417" s="19"/>
      <c r="N2417" s="19"/>
      <c r="O2417" s="19" t="n">
        <v>1</v>
      </c>
      <c r="P2417" s="19"/>
      <c r="Q2417" s="19"/>
      <c r="R2417" s="19"/>
      <c r="S2417" s="19"/>
      <c r="T2417" s="19"/>
      <c r="U2417" s="19"/>
      <c r="V2417" s="19" t="n">
        <v>15</v>
      </c>
      <c r="W2417" s="19"/>
      <c r="X2417" s="19" t="n">
        <v>6</v>
      </c>
      <c r="Y2417" s="19"/>
      <c r="Z2417" s="19"/>
      <c r="AA2417" s="19"/>
      <c r="AB2417" s="19"/>
      <c r="AC2417" s="19"/>
      <c r="AD2417" s="19"/>
      <c r="AE2417" s="19"/>
      <c r="AF2417" s="19"/>
      <c r="AG2417" s="19" t="n">
        <v>12</v>
      </c>
      <c r="AH2417" s="19" t="n">
        <v>31</v>
      </c>
      <c r="AI2417" s="19"/>
      <c r="AJ2417" s="19"/>
      <c r="AK2417" s="19"/>
      <c r="AL2417" s="19" t="n">
        <v>1</v>
      </c>
      <c r="AM2417" s="19" t="n">
        <v>3</v>
      </c>
      <c r="AN2417" s="19" t="n">
        <v>21</v>
      </c>
      <c r="AO2417" s="19" t="n">
        <v>18</v>
      </c>
      <c r="AP2417" s="19"/>
      <c r="AQ2417" s="19"/>
      <c r="AR2417" s="19"/>
      <c r="AS2417" s="20" t="str">
        <f aca="false">HYPERLINK("http://www.openstreetmap.org/?mlat=31.8894&amp;mlon=44.4766&amp;zoom=12#map=12/31.8894/44.4766","Maplink1")</f>
        <v>Maplink1</v>
      </c>
      <c r="AT2417" s="20" t="str">
        <f aca="false">HYPERLINK("https://www.google.iq/maps/search/+31.8894,44.4766/@31.8894,44.4766,14z?hl=en","Maplink2")</f>
        <v>Maplink2</v>
      </c>
      <c r="AU2417" s="20" t="str">
        <f aca="false">HYPERLINK("http://www.bing.com/maps/?lvl=14&amp;sty=h&amp;cp=31.8894~44.4766&amp;sp=point.31.8894_44.4766","Maplink3")</f>
        <v>Maplink3</v>
      </c>
    </row>
    <row r="2418" customFormat="false" ht="15" hidden="false" customHeight="true" outlineLevel="0" collapsed="false">
      <c r="A2418" s="15" t="n">
        <v>27146</v>
      </c>
      <c r="B2418" s="16" t="s">
        <v>26</v>
      </c>
      <c r="C2418" s="16" t="s">
        <v>4653</v>
      </c>
      <c r="D2418" s="16" t="s">
        <v>4669</v>
      </c>
      <c r="E2418" s="17" t="s">
        <v>4670</v>
      </c>
      <c r="F2418" s="16" t="n">
        <v>31.76</v>
      </c>
      <c r="G2418" s="16" t="n">
        <v>44.5192</v>
      </c>
      <c r="H2418" s="18" t="n">
        <v>25</v>
      </c>
      <c r="I2418" s="18" t="n">
        <v>150</v>
      </c>
      <c r="J2418" s="19"/>
      <c r="K2418" s="19"/>
      <c r="L2418" s="19"/>
      <c r="M2418" s="19"/>
      <c r="N2418" s="19"/>
      <c r="O2418" s="19" t="n">
        <v>5</v>
      </c>
      <c r="P2418" s="19"/>
      <c r="Q2418" s="19"/>
      <c r="R2418" s="19"/>
      <c r="S2418" s="19"/>
      <c r="T2418" s="19"/>
      <c r="U2418" s="19"/>
      <c r="V2418" s="19" t="n">
        <v>20</v>
      </c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9" t="n">
        <v>15</v>
      </c>
      <c r="AH2418" s="19" t="n">
        <v>10</v>
      </c>
      <c r="AI2418" s="19"/>
      <c r="AJ2418" s="19"/>
      <c r="AK2418" s="19"/>
      <c r="AL2418" s="19" t="n">
        <v>5</v>
      </c>
      <c r="AM2418" s="19" t="n">
        <v>20</v>
      </c>
      <c r="AN2418" s="19"/>
      <c r="AO2418" s="19"/>
      <c r="AP2418" s="19"/>
      <c r="AQ2418" s="19"/>
      <c r="AR2418" s="19"/>
      <c r="AS2418" s="20" t="str">
        <f aca="false">HYPERLINK("http://www.openstreetmap.org/?mlat=31.76&amp;mlon=44.5192&amp;zoom=12#map=12/31.76/44.5192","Maplink1")</f>
        <v>Maplink1</v>
      </c>
      <c r="AT2418" s="20" t="str">
        <f aca="false">HYPERLINK("https://www.google.iq/maps/search/+31.76,44.5192/@31.76,44.5192,14z?hl=en","Maplink2")</f>
        <v>Maplink2</v>
      </c>
      <c r="AU2418" s="20" t="str">
        <f aca="false">HYPERLINK("http://www.bing.com/maps/?lvl=14&amp;sty=h&amp;cp=31.76~44.5192&amp;sp=point.31.76_44.5192","Maplink3")</f>
        <v>Maplink3</v>
      </c>
    </row>
    <row r="2419" customFormat="false" ht="15" hidden="false" customHeight="true" outlineLevel="0" collapsed="false">
      <c r="A2419" s="15" t="n">
        <v>24720</v>
      </c>
      <c r="B2419" s="16" t="s">
        <v>26</v>
      </c>
      <c r="C2419" s="16" t="s">
        <v>4671</v>
      </c>
      <c r="D2419" s="16" t="s">
        <v>4672</v>
      </c>
      <c r="E2419" s="17" t="s">
        <v>4673</v>
      </c>
      <c r="F2419" s="16" t="n">
        <v>32.137152</v>
      </c>
      <c r="G2419" s="16" t="n">
        <v>44.404403</v>
      </c>
      <c r="H2419" s="18" t="n">
        <v>44</v>
      </c>
      <c r="I2419" s="18" t="n">
        <v>264</v>
      </c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 t="n">
        <v>44</v>
      </c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9" t="n">
        <v>39</v>
      </c>
      <c r="AH2419" s="19" t="n">
        <v>5</v>
      </c>
      <c r="AI2419" s="19"/>
      <c r="AJ2419" s="19"/>
      <c r="AK2419" s="19"/>
      <c r="AL2419" s="19"/>
      <c r="AM2419" s="19" t="n">
        <v>22</v>
      </c>
      <c r="AN2419" s="19"/>
      <c r="AO2419" s="19" t="n">
        <v>22</v>
      </c>
      <c r="AP2419" s="19"/>
      <c r="AQ2419" s="19"/>
      <c r="AR2419" s="19"/>
      <c r="AS2419" s="20" t="str">
        <f aca="false">HYPERLINK("http://www.openstreetmap.org/?mlat=32.1372&amp;mlon=44.4044&amp;zoom=12#map=12/32.1372/44.4044","Maplink1")</f>
        <v>Maplink1</v>
      </c>
      <c r="AT2419" s="20" t="str">
        <f aca="false">HYPERLINK("https://www.google.iq/maps/search/+32.1372,44.4044/@32.1372,44.4044,14z?hl=en","Maplink2")</f>
        <v>Maplink2</v>
      </c>
      <c r="AU2419" s="20" t="str">
        <f aca="false">HYPERLINK("http://www.bing.com/maps/?lvl=14&amp;sty=h&amp;cp=32.1372~44.4044&amp;sp=point.32.1372_44.4044","Maplink3")</f>
        <v>Maplink3</v>
      </c>
    </row>
    <row r="2420" customFormat="false" ht="15" hidden="false" customHeight="true" outlineLevel="0" collapsed="false">
      <c r="A2420" s="15" t="n">
        <v>24614</v>
      </c>
      <c r="B2420" s="16" t="s">
        <v>26</v>
      </c>
      <c r="C2420" s="16" t="s">
        <v>4671</v>
      </c>
      <c r="D2420" s="16" t="s">
        <v>4674</v>
      </c>
      <c r="E2420" s="17" t="s">
        <v>4675</v>
      </c>
      <c r="F2420" s="16" t="n">
        <v>32.07431</v>
      </c>
      <c r="G2420" s="16" t="n">
        <v>44.43451</v>
      </c>
      <c r="H2420" s="18" t="n">
        <v>51</v>
      </c>
      <c r="I2420" s="18" t="n">
        <v>306</v>
      </c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 t="n">
        <v>51</v>
      </c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9" t="n">
        <v>45</v>
      </c>
      <c r="AH2420" s="19" t="n">
        <v>6</v>
      </c>
      <c r="AI2420" s="19"/>
      <c r="AJ2420" s="19"/>
      <c r="AK2420" s="19"/>
      <c r="AL2420" s="19"/>
      <c r="AM2420" s="19"/>
      <c r="AN2420" s="19"/>
      <c r="AO2420" s="19" t="n">
        <v>51</v>
      </c>
      <c r="AP2420" s="19"/>
      <c r="AQ2420" s="19"/>
      <c r="AR2420" s="19"/>
      <c r="AS2420" s="20" t="str">
        <f aca="false">HYPERLINK("http://www.openstreetmap.org/?mlat=32.0743&amp;mlon=44.4345&amp;zoom=12#map=12/32.0743/44.4345","Maplink1")</f>
        <v>Maplink1</v>
      </c>
      <c r="AT2420" s="20" t="str">
        <f aca="false">HYPERLINK("https://www.google.iq/maps/search/+32.0743,44.4345/@32.0743,44.4345,14z?hl=en","Maplink2")</f>
        <v>Maplink2</v>
      </c>
      <c r="AU2420" s="20" t="str">
        <f aca="false">HYPERLINK("http://www.bing.com/maps/?lvl=14&amp;sty=h&amp;cp=32.0743~44.4345&amp;sp=point.32.0743_44.4345","Maplink3")</f>
        <v>Maplink3</v>
      </c>
    </row>
    <row r="2421" customFormat="false" ht="15" hidden="false" customHeight="true" outlineLevel="0" collapsed="false">
      <c r="A2421" s="15" t="n">
        <v>25635</v>
      </c>
      <c r="B2421" s="16" t="s">
        <v>26</v>
      </c>
      <c r="C2421" s="16" t="s">
        <v>4671</v>
      </c>
      <c r="D2421" s="16" t="s">
        <v>4676</v>
      </c>
      <c r="E2421" s="17" t="s">
        <v>4677</v>
      </c>
      <c r="F2421" s="16" t="n">
        <v>32.07398</v>
      </c>
      <c r="G2421" s="16" t="n">
        <v>44.44575</v>
      </c>
      <c r="H2421" s="18" t="n">
        <v>37</v>
      </c>
      <c r="I2421" s="18" t="n">
        <v>222</v>
      </c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 t="n">
        <v>37</v>
      </c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9" t="n">
        <v>31</v>
      </c>
      <c r="AH2421" s="19" t="n">
        <v>6</v>
      </c>
      <c r="AI2421" s="19"/>
      <c r="AJ2421" s="19"/>
      <c r="AK2421" s="19"/>
      <c r="AL2421" s="19"/>
      <c r="AM2421" s="19" t="n">
        <v>37</v>
      </c>
      <c r="AN2421" s="19"/>
      <c r="AO2421" s="19"/>
      <c r="AP2421" s="19"/>
      <c r="AQ2421" s="19"/>
      <c r="AR2421" s="19"/>
      <c r="AS2421" s="20" t="str">
        <f aca="false">HYPERLINK("http://www.openstreetmap.org/?mlat=32.074&amp;mlon=44.4457&amp;zoom=12#map=12/32.074/44.4457","Maplink1")</f>
        <v>Maplink1</v>
      </c>
      <c r="AT2421" s="20" t="str">
        <f aca="false">HYPERLINK("https://www.google.iq/maps/search/+32.074,44.4457/@32.074,44.4457,14z?hl=en","Maplink2")</f>
        <v>Maplink2</v>
      </c>
      <c r="AU2421" s="20" t="str">
        <f aca="false">HYPERLINK("http://www.bing.com/maps/?lvl=14&amp;sty=h&amp;cp=32.074~44.4457&amp;sp=point.32.074_44.4457","Maplink3")</f>
        <v>Maplink3</v>
      </c>
    </row>
    <row r="2422" customFormat="false" ht="15" hidden="false" customHeight="true" outlineLevel="0" collapsed="false">
      <c r="A2422" s="15" t="n">
        <v>25636</v>
      </c>
      <c r="B2422" s="16" t="s">
        <v>26</v>
      </c>
      <c r="C2422" s="16" t="s">
        <v>4671</v>
      </c>
      <c r="D2422" s="16" t="s">
        <v>4678</v>
      </c>
      <c r="E2422" s="17" t="s">
        <v>4679</v>
      </c>
      <c r="F2422" s="16" t="n">
        <v>32.079307</v>
      </c>
      <c r="G2422" s="16" t="n">
        <v>44.453724</v>
      </c>
      <c r="H2422" s="18" t="n">
        <v>36</v>
      </c>
      <c r="I2422" s="18" t="n">
        <v>216</v>
      </c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 t="n">
        <v>36</v>
      </c>
      <c r="W2422" s="19"/>
      <c r="X2422" s="19"/>
      <c r="Y2422" s="19"/>
      <c r="Z2422" s="19"/>
      <c r="AA2422" s="19"/>
      <c r="AB2422" s="19"/>
      <c r="AC2422" s="19" t="n">
        <v>22</v>
      </c>
      <c r="AD2422" s="19"/>
      <c r="AE2422" s="19"/>
      <c r="AF2422" s="19"/>
      <c r="AG2422" s="19"/>
      <c r="AH2422" s="19" t="n">
        <v>14</v>
      </c>
      <c r="AI2422" s="19"/>
      <c r="AJ2422" s="19"/>
      <c r="AK2422" s="19"/>
      <c r="AL2422" s="19"/>
      <c r="AM2422" s="19" t="n">
        <v>36</v>
      </c>
      <c r="AN2422" s="19"/>
      <c r="AO2422" s="19"/>
      <c r="AP2422" s="19"/>
      <c r="AQ2422" s="19"/>
      <c r="AR2422" s="19"/>
      <c r="AS2422" s="20" t="str">
        <f aca="false">HYPERLINK("http://www.openstreetmap.org/?mlat=32.0793&amp;mlon=44.4537&amp;zoom=12#map=12/32.0793/44.4537","Maplink1")</f>
        <v>Maplink1</v>
      </c>
      <c r="AT2422" s="20" t="str">
        <f aca="false">HYPERLINK("https://www.google.iq/maps/search/+32.0793,44.4537/@32.0793,44.4537,14z?hl=en","Maplink2")</f>
        <v>Maplink2</v>
      </c>
      <c r="AU2422" s="20" t="str">
        <f aca="false">HYPERLINK("http://www.bing.com/maps/?lvl=14&amp;sty=h&amp;cp=32.0793~44.4537&amp;sp=point.32.0793_44.4537","Maplink3")</f>
        <v>Maplink3</v>
      </c>
    </row>
    <row r="2423" customFormat="false" ht="15" hidden="false" customHeight="true" outlineLevel="0" collapsed="false">
      <c r="A2423" s="15" t="n">
        <v>20173</v>
      </c>
      <c r="B2423" s="16" t="s">
        <v>26</v>
      </c>
      <c r="C2423" s="16" t="s">
        <v>4671</v>
      </c>
      <c r="D2423" s="16" t="s">
        <v>4680</v>
      </c>
      <c r="E2423" s="17" t="s">
        <v>4681</v>
      </c>
      <c r="F2423" s="16" t="n">
        <v>32.0733</v>
      </c>
      <c r="G2423" s="16" t="n">
        <v>44.4357</v>
      </c>
      <c r="H2423" s="18" t="n">
        <v>45</v>
      </c>
      <c r="I2423" s="18" t="n">
        <v>270</v>
      </c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 t="n">
        <v>45</v>
      </c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9" t="n">
        <v>18</v>
      </c>
      <c r="AH2423" s="19" t="n">
        <v>27</v>
      </c>
      <c r="AI2423" s="19"/>
      <c r="AJ2423" s="19"/>
      <c r="AK2423" s="19"/>
      <c r="AL2423" s="19"/>
      <c r="AM2423" s="19" t="n">
        <v>45</v>
      </c>
      <c r="AN2423" s="19"/>
      <c r="AO2423" s="19"/>
      <c r="AP2423" s="19"/>
      <c r="AQ2423" s="19"/>
      <c r="AR2423" s="19"/>
      <c r="AS2423" s="20" t="str">
        <f aca="false">HYPERLINK("http://www.openstreetmap.org/?mlat=32.0733&amp;mlon=44.4357&amp;zoom=12#map=12/32.0733/44.4357","Maplink1")</f>
        <v>Maplink1</v>
      </c>
      <c r="AT2423" s="20" t="str">
        <f aca="false">HYPERLINK("https://www.google.iq/maps/search/+32.0733,44.4357/@32.0733,44.4357,14z?hl=en","Maplink2")</f>
        <v>Maplink2</v>
      </c>
      <c r="AU2423" s="20" t="str">
        <f aca="false">HYPERLINK("http://www.bing.com/maps/?lvl=14&amp;sty=h&amp;cp=32.0733~44.4357&amp;sp=point.32.0733_44.4357","Maplink3")</f>
        <v>Maplink3</v>
      </c>
    </row>
    <row r="2424" customFormat="false" ht="15" hidden="false" customHeight="true" outlineLevel="0" collapsed="false">
      <c r="A2424" s="15" t="n">
        <v>24613</v>
      </c>
      <c r="B2424" s="16" t="s">
        <v>26</v>
      </c>
      <c r="C2424" s="16" t="s">
        <v>4671</v>
      </c>
      <c r="D2424" s="16" t="s">
        <v>4682</v>
      </c>
      <c r="E2424" s="17" t="s">
        <v>4683</v>
      </c>
      <c r="F2424" s="16" t="n">
        <v>32.07538</v>
      </c>
      <c r="G2424" s="16" t="n">
        <v>44.43757</v>
      </c>
      <c r="H2424" s="18" t="n">
        <v>67</v>
      </c>
      <c r="I2424" s="18" t="n">
        <v>402</v>
      </c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 t="n">
        <v>67</v>
      </c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9" t="n">
        <v>41</v>
      </c>
      <c r="AH2424" s="19" t="n">
        <v>26</v>
      </c>
      <c r="AI2424" s="19"/>
      <c r="AJ2424" s="19"/>
      <c r="AK2424" s="19"/>
      <c r="AL2424" s="19"/>
      <c r="AM2424" s="19" t="n">
        <v>26</v>
      </c>
      <c r="AN2424" s="19"/>
      <c r="AO2424" s="19" t="n">
        <v>41</v>
      </c>
      <c r="AP2424" s="19"/>
      <c r="AQ2424" s="19"/>
      <c r="AR2424" s="19"/>
      <c r="AS2424" s="20" t="str">
        <f aca="false">HYPERLINK("http://www.openstreetmap.org/?mlat=32.0754&amp;mlon=44.4376&amp;zoom=12#map=12/32.0754/44.4376","Maplink1")</f>
        <v>Maplink1</v>
      </c>
      <c r="AT2424" s="20" t="str">
        <f aca="false">HYPERLINK("https://www.google.iq/maps/search/+32.0754,44.4376/@32.0754,44.4376,14z?hl=en","Maplink2")</f>
        <v>Maplink2</v>
      </c>
      <c r="AU2424" s="20" t="str">
        <f aca="false">HYPERLINK("http://www.bing.com/maps/?lvl=14&amp;sty=h&amp;cp=32.0754~44.4376&amp;sp=point.32.0754_44.4376","Maplink3")</f>
        <v>Maplink3</v>
      </c>
    </row>
    <row r="2425" customFormat="false" ht="15" hidden="false" customHeight="true" outlineLevel="0" collapsed="false">
      <c r="A2425" s="15" t="n">
        <v>25634</v>
      </c>
      <c r="B2425" s="16" t="s">
        <v>26</v>
      </c>
      <c r="C2425" s="16" t="s">
        <v>4671</v>
      </c>
      <c r="D2425" s="16" t="s">
        <v>4684</v>
      </c>
      <c r="E2425" s="17" t="s">
        <v>4685</v>
      </c>
      <c r="F2425" s="16" t="n">
        <v>32.046633</v>
      </c>
      <c r="G2425" s="16" t="n">
        <v>44.427093</v>
      </c>
      <c r="H2425" s="18" t="n">
        <v>43</v>
      </c>
      <c r="I2425" s="18" t="n">
        <v>258</v>
      </c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 t="n">
        <v>43</v>
      </c>
      <c r="W2425" s="19"/>
      <c r="X2425" s="19"/>
      <c r="Y2425" s="19"/>
      <c r="Z2425" s="19"/>
      <c r="AA2425" s="19"/>
      <c r="AB2425" s="19"/>
      <c r="AC2425" s="19" t="n">
        <v>3</v>
      </c>
      <c r="AD2425" s="19"/>
      <c r="AE2425" s="19"/>
      <c r="AF2425" s="19"/>
      <c r="AG2425" s="19" t="n">
        <v>40</v>
      </c>
      <c r="AH2425" s="19"/>
      <c r="AI2425" s="19"/>
      <c r="AJ2425" s="19"/>
      <c r="AK2425" s="19"/>
      <c r="AL2425" s="19"/>
      <c r="AM2425" s="19"/>
      <c r="AN2425" s="19" t="n">
        <v>43</v>
      </c>
      <c r="AO2425" s="19"/>
      <c r="AP2425" s="19"/>
      <c r="AQ2425" s="19"/>
      <c r="AR2425" s="19"/>
      <c r="AS2425" s="20" t="str">
        <f aca="false">HYPERLINK("http://www.openstreetmap.org/?mlat=32.0466&amp;mlon=44.4271&amp;zoom=12#map=12/32.0466/44.4271","Maplink1")</f>
        <v>Maplink1</v>
      </c>
      <c r="AT2425" s="20" t="str">
        <f aca="false">HYPERLINK("https://www.google.iq/maps/search/+32.0466,44.4271/@32.0466,44.4271,14z?hl=en","Maplink2")</f>
        <v>Maplink2</v>
      </c>
      <c r="AU2425" s="20" t="str">
        <f aca="false">HYPERLINK("http://www.bing.com/maps/?lvl=14&amp;sty=h&amp;cp=32.0466~44.4271&amp;sp=point.32.0466_44.4271","Maplink3")</f>
        <v>Maplink3</v>
      </c>
    </row>
    <row r="2426" customFormat="false" ht="15" hidden="false" customHeight="true" outlineLevel="0" collapsed="false">
      <c r="A2426" s="15" t="n">
        <v>20298</v>
      </c>
      <c r="B2426" s="16" t="s">
        <v>26</v>
      </c>
      <c r="C2426" s="16" t="s">
        <v>4671</v>
      </c>
      <c r="D2426" s="16" t="s">
        <v>4686</v>
      </c>
      <c r="E2426" s="17" t="s">
        <v>4687</v>
      </c>
      <c r="F2426" s="16" t="n">
        <v>32.00332</v>
      </c>
      <c r="G2426" s="16" t="n">
        <v>44.39194</v>
      </c>
      <c r="H2426" s="18" t="n">
        <v>90</v>
      </c>
      <c r="I2426" s="18" t="n">
        <v>540</v>
      </c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 t="n">
        <v>90</v>
      </c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9"/>
      <c r="AH2426" s="19" t="n">
        <v>90</v>
      </c>
      <c r="AI2426" s="19"/>
      <c r="AJ2426" s="19"/>
      <c r="AK2426" s="19"/>
      <c r="AL2426" s="19"/>
      <c r="AM2426" s="19" t="n">
        <v>73</v>
      </c>
      <c r="AN2426" s="19" t="n">
        <v>17</v>
      </c>
      <c r="AO2426" s="19"/>
      <c r="AP2426" s="19"/>
      <c r="AQ2426" s="19"/>
      <c r="AR2426" s="19"/>
      <c r="AS2426" s="20" t="str">
        <f aca="false">HYPERLINK("http://www.openstreetmap.org/?mlat=32.0033&amp;mlon=44.3919&amp;zoom=12#map=12/32.0033/44.3919","Maplink1")</f>
        <v>Maplink1</v>
      </c>
      <c r="AT2426" s="20" t="str">
        <f aca="false">HYPERLINK("https://www.google.iq/maps/search/+32.0033,44.3919/@32.0033,44.3919,14z?hl=en","Maplink2")</f>
        <v>Maplink2</v>
      </c>
      <c r="AU2426" s="20" t="str">
        <f aca="false">HYPERLINK("http://www.bing.com/maps/?lvl=14&amp;sty=h&amp;cp=32.0033~44.3919&amp;sp=point.32.0033_44.3919","Maplink3")</f>
        <v>Maplink3</v>
      </c>
    </row>
    <row r="2427" customFormat="false" ht="15" hidden="false" customHeight="true" outlineLevel="0" collapsed="false">
      <c r="A2427" s="15" t="n">
        <v>24615</v>
      </c>
      <c r="B2427" s="16" t="s">
        <v>26</v>
      </c>
      <c r="C2427" s="16" t="s">
        <v>4671</v>
      </c>
      <c r="D2427" s="16" t="s">
        <v>4688</v>
      </c>
      <c r="E2427" s="17" t="s">
        <v>4618</v>
      </c>
      <c r="F2427" s="16" t="n">
        <v>31.995023</v>
      </c>
      <c r="G2427" s="16" t="n">
        <v>44.357309</v>
      </c>
      <c r="H2427" s="18" t="n">
        <v>30</v>
      </c>
      <c r="I2427" s="18" t="n">
        <v>180</v>
      </c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 t="n">
        <v>30</v>
      </c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9" t="n">
        <v>18</v>
      </c>
      <c r="AH2427" s="19" t="n">
        <v>12</v>
      </c>
      <c r="AI2427" s="19"/>
      <c r="AJ2427" s="19"/>
      <c r="AK2427" s="19"/>
      <c r="AL2427" s="19"/>
      <c r="AM2427" s="19"/>
      <c r="AN2427" s="19"/>
      <c r="AO2427" s="19" t="n">
        <v>30</v>
      </c>
      <c r="AP2427" s="19"/>
      <c r="AQ2427" s="19"/>
      <c r="AR2427" s="19"/>
      <c r="AS2427" s="20" t="str">
        <f aca="false">HYPERLINK("http://www.openstreetmap.org/?mlat=31.995&amp;mlon=44.3573&amp;zoom=12#map=12/31.995/44.3573","Maplink1")</f>
        <v>Maplink1</v>
      </c>
      <c r="AT2427" s="20" t="str">
        <f aca="false">HYPERLINK("https://www.google.iq/maps/search/+31.995,44.3573/@31.995,44.3573,14z?hl=en","Maplink2")</f>
        <v>Maplink2</v>
      </c>
      <c r="AU2427" s="20" t="str">
        <f aca="false">HYPERLINK("http://www.bing.com/maps/?lvl=14&amp;sty=h&amp;cp=31.995~44.3573&amp;sp=point.31.995_44.3573","Maplink3")</f>
        <v>Maplink3</v>
      </c>
    </row>
    <row r="2428" customFormat="false" ht="15" hidden="false" customHeight="true" outlineLevel="0" collapsed="false">
      <c r="A2428" s="15" t="n">
        <v>20340</v>
      </c>
      <c r="B2428" s="16" t="s">
        <v>26</v>
      </c>
      <c r="C2428" s="16" t="s">
        <v>4671</v>
      </c>
      <c r="D2428" s="16" t="s">
        <v>4689</v>
      </c>
      <c r="E2428" s="17" t="s">
        <v>296</v>
      </c>
      <c r="F2428" s="16" t="n">
        <v>32.103444</v>
      </c>
      <c r="G2428" s="16" t="n">
        <v>44.543802</v>
      </c>
      <c r="H2428" s="18" t="n">
        <v>55</v>
      </c>
      <c r="I2428" s="18" t="n">
        <v>330</v>
      </c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 t="n">
        <v>55</v>
      </c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9" t="n">
        <v>10</v>
      </c>
      <c r="AH2428" s="19" t="n">
        <v>45</v>
      </c>
      <c r="AI2428" s="19"/>
      <c r="AJ2428" s="19"/>
      <c r="AK2428" s="19"/>
      <c r="AL2428" s="19"/>
      <c r="AM2428" s="19"/>
      <c r="AN2428" s="19" t="n">
        <v>55</v>
      </c>
      <c r="AO2428" s="19"/>
      <c r="AP2428" s="19"/>
      <c r="AQ2428" s="19"/>
      <c r="AR2428" s="19"/>
      <c r="AS2428" s="20" t="str">
        <f aca="false">HYPERLINK("http://www.openstreetmap.org/?mlat=32.1034&amp;mlon=44.5438&amp;zoom=12#map=12/32.1034/44.5438","Maplink1")</f>
        <v>Maplink1</v>
      </c>
      <c r="AT2428" s="20" t="str">
        <f aca="false">HYPERLINK("https://www.google.iq/maps/search/+32.1034,44.5438/@32.1034,44.5438,14z?hl=en","Maplink2")</f>
        <v>Maplink2</v>
      </c>
      <c r="AU2428" s="20" t="str">
        <f aca="false">HYPERLINK("http://www.bing.com/maps/?lvl=14&amp;sty=h&amp;cp=32.1034~44.5438&amp;sp=point.32.1034_44.5438","Maplink3")</f>
        <v>Maplink3</v>
      </c>
    </row>
    <row r="2429" customFormat="false" ht="15" hidden="false" customHeight="true" outlineLevel="0" collapsed="false">
      <c r="A2429" s="15" t="n">
        <v>24375</v>
      </c>
      <c r="B2429" s="16" t="s">
        <v>26</v>
      </c>
      <c r="C2429" s="16" t="s">
        <v>4671</v>
      </c>
      <c r="D2429" s="16" t="s">
        <v>4690</v>
      </c>
      <c r="E2429" s="17" t="s">
        <v>4691</v>
      </c>
      <c r="F2429" s="16" t="n">
        <v>32.02846</v>
      </c>
      <c r="G2429" s="16" t="n">
        <v>44.40654</v>
      </c>
      <c r="H2429" s="18" t="n">
        <v>130</v>
      </c>
      <c r="I2429" s="18" t="n">
        <v>780</v>
      </c>
      <c r="J2429" s="19" t="n">
        <v>4</v>
      </c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 t="n">
        <v>126</v>
      </c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9" t="n">
        <v>4</v>
      </c>
      <c r="AH2429" s="19" t="n">
        <v>126</v>
      </c>
      <c r="AI2429" s="19"/>
      <c r="AJ2429" s="19"/>
      <c r="AK2429" s="19"/>
      <c r="AL2429" s="19"/>
      <c r="AM2429" s="19" t="n">
        <v>90</v>
      </c>
      <c r="AN2429" s="19"/>
      <c r="AO2429" s="19" t="n">
        <v>12</v>
      </c>
      <c r="AP2429" s="19" t="n">
        <v>28</v>
      </c>
      <c r="AQ2429" s="19"/>
      <c r="AR2429" s="19"/>
      <c r="AS2429" s="20" t="str">
        <f aca="false">HYPERLINK("http://www.openstreetmap.org/?mlat=32.0285&amp;mlon=44.4065&amp;zoom=12#map=12/32.0285/44.4065","Maplink1")</f>
        <v>Maplink1</v>
      </c>
      <c r="AT2429" s="20" t="str">
        <f aca="false">HYPERLINK("https://www.google.iq/maps/search/+32.0285,44.4065/@32.0285,44.4065,14z?hl=en","Maplink2")</f>
        <v>Maplink2</v>
      </c>
      <c r="AU2429" s="20" t="str">
        <f aca="false">HYPERLINK("http://www.bing.com/maps/?lvl=14&amp;sty=h&amp;cp=32.0285~44.4065&amp;sp=point.32.0285_44.4065","Maplink3")</f>
        <v>Maplink3</v>
      </c>
    </row>
    <row r="2430" customFormat="false" ht="15" hidden="false" customHeight="true" outlineLevel="0" collapsed="false">
      <c r="A2430" s="15" t="n">
        <v>19634</v>
      </c>
      <c r="B2430" s="16" t="s">
        <v>26</v>
      </c>
      <c r="C2430" s="16" t="s">
        <v>4671</v>
      </c>
      <c r="D2430" s="16" t="s">
        <v>4692</v>
      </c>
      <c r="E2430" s="17" t="s">
        <v>4693</v>
      </c>
      <c r="F2430" s="16" t="n">
        <v>32.03833</v>
      </c>
      <c r="G2430" s="16" t="n">
        <v>44.38276</v>
      </c>
      <c r="H2430" s="18" t="n">
        <v>38</v>
      </c>
      <c r="I2430" s="18" t="n">
        <v>228</v>
      </c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 t="n">
        <v>38</v>
      </c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9" t="n">
        <v>5</v>
      </c>
      <c r="AH2430" s="19" t="n">
        <v>33</v>
      </c>
      <c r="AI2430" s="19"/>
      <c r="AJ2430" s="19"/>
      <c r="AK2430" s="19"/>
      <c r="AL2430" s="19"/>
      <c r="AM2430" s="19" t="n">
        <v>38</v>
      </c>
      <c r="AN2430" s="19"/>
      <c r="AO2430" s="19"/>
      <c r="AP2430" s="19"/>
      <c r="AQ2430" s="19"/>
      <c r="AR2430" s="19"/>
      <c r="AS2430" s="20" t="str">
        <f aca="false">HYPERLINK("http://www.openstreetmap.org/?mlat=32.0383&amp;mlon=44.3828&amp;zoom=12#map=12/32.0383/44.3828","Maplink1")</f>
        <v>Maplink1</v>
      </c>
      <c r="AT2430" s="20" t="str">
        <f aca="false">HYPERLINK("https://www.google.iq/maps/search/+32.0383,44.3828/@32.0383,44.3828,14z?hl=en","Maplink2")</f>
        <v>Maplink2</v>
      </c>
      <c r="AU2430" s="20" t="str">
        <f aca="false">HYPERLINK("http://www.bing.com/maps/?lvl=14&amp;sty=h&amp;cp=32.0383~44.3828&amp;sp=point.32.0383_44.3828","Maplink3")</f>
        <v>Maplink3</v>
      </c>
    </row>
    <row r="2431" customFormat="false" ht="15" hidden="false" customHeight="true" outlineLevel="0" collapsed="false">
      <c r="A2431" s="15" t="n">
        <v>20089</v>
      </c>
      <c r="B2431" s="16" t="s">
        <v>26</v>
      </c>
      <c r="C2431" s="16" t="s">
        <v>4671</v>
      </c>
      <c r="D2431" s="16" t="s">
        <v>4694</v>
      </c>
      <c r="E2431" s="17" t="s">
        <v>4695</v>
      </c>
      <c r="F2431" s="16" t="n">
        <v>32.04318</v>
      </c>
      <c r="G2431" s="16" t="n">
        <v>44.37954</v>
      </c>
      <c r="H2431" s="18" t="n">
        <v>64</v>
      </c>
      <c r="I2431" s="18" t="n">
        <v>384</v>
      </c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 t="n">
        <v>53</v>
      </c>
      <c r="W2431" s="19"/>
      <c r="X2431" s="19" t="n">
        <v>11</v>
      </c>
      <c r="Y2431" s="19"/>
      <c r="Z2431" s="19"/>
      <c r="AA2431" s="19"/>
      <c r="AB2431" s="19"/>
      <c r="AC2431" s="19"/>
      <c r="AD2431" s="19"/>
      <c r="AE2431" s="19"/>
      <c r="AF2431" s="19"/>
      <c r="AG2431" s="19" t="n">
        <v>11</v>
      </c>
      <c r="AH2431" s="19" t="n">
        <v>53</v>
      </c>
      <c r="AI2431" s="19"/>
      <c r="AJ2431" s="19"/>
      <c r="AK2431" s="19"/>
      <c r="AL2431" s="19"/>
      <c r="AM2431" s="19"/>
      <c r="AN2431" s="19"/>
      <c r="AO2431" s="19" t="n">
        <v>64</v>
      </c>
      <c r="AP2431" s="19"/>
      <c r="AQ2431" s="19"/>
      <c r="AR2431" s="19"/>
      <c r="AS2431" s="20" t="str">
        <f aca="false">HYPERLINK("http://www.openstreetmap.org/?mlat=32.0432&amp;mlon=44.3795&amp;zoom=12#map=12/32.0432/44.3795","Maplink1")</f>
        <v>Maplink1</v>
      </c>
      <c r="AT2431" s="20" t="str">
        <f aca="false">HYPERLINK("https://www.google.iq/maps/search/+32.0432,44.3795/@32.0432,44.3795,14z?hl=en","Maplink2")</f>
        <v>Maplink2</v>
      </c>
      <c r="AU2431" s="20" t="str">
        <f aca="false">HYPERLINK("http://www.bing.com/maps/?lvl=14&amp;sty=h&amp;cp=32.0432~44.3795&amp;sp=point.32.0432_44.3795","Maplink3")</f>
        <v>Maplink3</v>
      </c>
    </row>
    <row r="2432" customFormat="false" ht="15" hidden="false" customHeight="true" outlineLevel="0" collapsed="false">
      <c r="A2432" s="15" t="n">
        <v>25644</v>
      </c>
      <c r="B2432" s="16" t="s">
        <v>26</v>
      </c>
      <c r="C2432" s="16" t="s">
        <v>4671</v>
      </c>
      <c r="D2432" s="16" t="s">
        <v>4696</v>
      </c>
      <c r="E2432" s="17" t="s">
        <v>4697</v>
      </c>
      <c r="F2432" s="16" t="n">
        <v>32.03693</v>
      </c>
      <c r="G2432" s="16" t="n">
        <v>44.38806</v>
      </c>
      <c r="H2432" s="18" t="n">
        <v>70</v>
      </c>
      <c r="I2432" s="18" t="n">
        <v>420</v>
      </c>
      <c r="J2432" s="19"/>
      <c r="K2432" s="19"/>
      <c r="L2432" s="19"/>
      <c r="M2432" s="19"/>
      <c r="N2432" s="19"/>
      <c r="O2432" s="19" t="n">
        <v>4</v>
      </c>
      <c r="P2432" s="19"/>
      <c r="Q2432" s="19"/>
      <c r="R2432" s="19"/>
      <c r="S2432" s="19"/>
      <c r="T2432" s="19"/>
      <c r="U2432" s="19"/>
      <c r="V2432" s="19" t="n">
        <v>66</v>
      </c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9" t="n">
        <v>4</v>
      </c>
      <c r="AH2432" s="19" t="n">
        <v>66</v>
      </c>
      <c r="AI2432" s="19"/>
      <c r="AJ2432" s="19"/>
      <c r="AK2432" s="19"/>
      <c r="AL2432" s="19" t="n">
        <v>66</v>
      </c>
      <c r="AM2432" s="19"/>
      <c r="AN2432" s="19"/>
      <c r="AO2432" s="19" t="n">
        <v>4</v>
      </c>
      <c r="AP2432" s="19"/>
      <c r="AQ2432" s="19"/>
      <c r="AR2432" s="19"/>
      <c r="AS2432" s="20" t="str">
        <f aca="false">HYPERLINK("http://www.openstreetmap.org/?mlat=32.0369&amp;mlon=44.3881&amp;zoom=12#map=12/32.0369/44.3881","Maplink1")</f>
        <v>Maplink1</v>
      </c>
      <c r="AT2432" s="20" t="str">
        <f aca="false">HYPERLINK("https://www.google.iq/maps/search/+32.0369,44.3881/@32.0369,44.3881,14z?hl=en","Maplink2")</f>
        <v>Maplink2</v>
      </c>
      <c r="AU2432" s="20" t="str">
        <f aca="false">HYPERLINK("http://www.bing.com/maps/?lvl=14&amp;sty=h&amp;cp=32.0369~44.3881&amp;sp=point.32.0369_44.3881","Maplink3")</f>
        <v>Maplink3</v>
      </c>
    </row>
    <row r="2433" customFormat="false" ht="15" hidden="false" customHeight="true" outlineLevel="0" collapsed="false">
      <c r="A2433" s="15" t="n">
        <v>28477</v>
      </c>
      <c r="B2433" s="16" t="s">
        <v>26</v>
      </c>
      <c r="C2433" s="16" t="s">
        <v>4671</v>
      </c>
      <c r="D2433" s="16" t="s">
        <v>4698</v>
      </c>
      <c r="E2433" s="17" t="s">
        <v>4699</v>
      </c>
      <c r="F2433" s="16" t="n">
        <v>32.03291</v>
      </c>
      <c r="G2433" s="16" t="n">
        <v>44.39602</v>
      </c>
      <c r="H2433" s="18" t="n">
        <v>11</v>
      </c>
      <c r="I2433" s="18" t="n">
        <v>66</v>
      </c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 t="n">
        <v>11</v>
      </c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9"/>
      <c r="AH2433" s="19" t="n">
        <v>11</v>
      </c>
      <c r="AI2433" s="19"/>
      <c r="AJ2433" s="19"/>
      <c r="AK2433" s="19"/>
      <c r="AL2433" s="19"/>
      <c r="AM2433" s="19"/>
      <c r="AN2433" s="19"/>
      <c r="AO2433" s="19" t="n">
        <v>11</v>
      </c>
      <c r="AP2433" s="19"/>
      <c r="AQ2433" s="19"/>
      <c r="AR2433" s="19"/>
      <c r="AS2433" s="20" t="str">
        <f aca="false">HYPERLINK("http://www.openstreetmap.org/?mlat=32.0329&amp;mlon=44.396&amp;zoom=12#map=12/32.0329/44.396","Maplink1")</f>
        <v>Maplink1</v>
      </c>
      <c r="AT2433" s="20" t="str">
        <f aca="false">HYPERLINK("https://www.google.iq/maps/search/+32.0329,44.396/@32.0329,44.396,14z?hl=en","Maplink2")</f>
        <v>Maplink2</v>
      </c>
      <c r="AU2433" s="20" t="str">
        <f aca="false">HYPERLINK("http://www.bing.com/maps/?lvl=14&amp;sty=h&amp;cp=32.0329~44.396&amp;sp=point.32.0329_44.396","Maplink3")</f>
        <v>Maplink3</v>
      </c>
    </row>
    <row r="2434" customFormat="false" ht="15" hidden="false" customHeight="true" outlineLevel="0" collapsed="false">
      <c r="A2434" s="15" t="n">
        <v>25855</v>
      </c>
      <c r="B2434" s="16" t="s">
        <v>26</v>
      </c>
      <c r="C2434" s="16" t="s">
        <v>4671</v>
      </c>
      <c r="D2434" s="16" t="s">
        <v>4700</v>
      </c>
      <c r="E2434" s="17" t="s">
        <v>4701</v>
      </c>
      <c r="F2434" s="16" t="n">
        <v>32.0108</v>
      </c>
      <c r="G2434" s="16" t="n">
        <v>44.45565</v>
      </c>
      <c r="H2434" s="18" t="n">
        <v>15</v>
      </c>
      <c r="I2434" s="18" t="n">
        <v>90</v>
      </c>
      <c r="J2434" s="19" t="n">
        <v>5</v>
      </c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 t="n">
        <v>10</v>
      </c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 t="n">
        <v>5</v>
      </c>
      <c r="AG2434" s="19"/>
      <c r="AH2434" s="19" t="n">
        <v>10</v>
      </c>
      <c r="AI2434" s="19"/>
      <c r="AJ2434" s="19"/>
      <c r="AK2434" s="19"/>
      <c r="AL2434" s="19" t="n">
        <v>5</v>
      </c>
      <c r="AM2434" s="19"/>
      <c r="AN2434" s="19"/>
      <c r="AO2434" s="19" t="n">
        <v>10</v>
      </c>
      <c r="AP2434" s="19"/>
      <c r="AQ2434" s="19"/>
      <c r="AR2434" s="19"/>
      <c r="AS2434" s="20" t="str">
        <f aca="false">HYPERLINK("http://www.openstreetmap.org/?mlat=32.0108&amp;mlon=44.4556&amp;zoom=12#map=12/32.0108/44.4556","Maplink1")</f>
        <v>Maplink1</v>
      </c>
      <c r="AT2434" s="20" t="str">
        <f aca="false">HYPERLINK("https://www.google.iq/maps/search/+32.0108,44.4556/@32.0108,44.4556,14z?hl=en","Maplink2")</f>
        <v>Maplink2</v>
      </c>
      <c r="AU2434" s="20" t="str">
        <f aca="false">HYPERLINK("http://www.bing.com/maps/?lvl=14&amp;sty=h&amp;cp=32.0108~44.4556&amp;sp=point.32.0108_44.4556","Maplink3")</f>
        <v>Maplink3</v>
      </c>
    </row>
    <row r="2435" customFormat="false" ht="15" hidden="false" customHeight="true" outlineLevel="0" collapsed="false">
      <c r="A2435" s="15" t="n">
        <v>24374</v>
      </c>
      <c r="B2435" s="16" t="s">
        <v>26</v>
      </c>
      <c r="C2435" s="16" t="s">
        <v>4671</v>
      </c>
      <c r="D2435" s="16" t="s">
        <v>4702</v>
      </c>
      <c r="E2435" s="17" t="s">
        <v>4703</v>
      </c>
      <c r="F2435" s="16" t="n">
        <v>32.05945</v>
      </c>
      <c r="G2435" s="16" t="n">
        <v>44.40198</v>
      </c>
      <c r="H2435" s="18" t="n">
        <v>74</v>
      </c>
      <c r="I2435" s="18" t="n">
        <v>444</v>
      </c>
      <c r="J2435" s="19"/>
      <c r="K2435" s="19"/>
      <c r="L2435" s="19"/>
      <c r="M2435" s="19"/>
      <c r="N2435" s="19"/>
      <c r="O2435" s="19"/>
      <c r="P2435" s="19"/>
      <c r="Q2435" s="19"/>
      <c r="R2435" s="19" t="n">
        <v>23</v>
      </c>
      <c r="S2435" s="19"/>
      <c r="T2435" s="19"/>
      <c r="U2435" s="19"/>
      <c r="V2435" s="19" t="n">
        <v>51</v>
      </c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9" t="n">
        <v>7</v>
      </c>
      <c r="AH2435" s="19" t="n">
        <v>67</v>
      </c>
      <c r="AI2435" s="19"/>
      <c r="AJ2435" s="19"/>
      <c r="AK2435" s="19"/>
      <c r="AL2435" s="19"/>
      <c r="AM2435" s="19" t="n">
        <v>28</v>
      </c>
      <c r="AN2435" s="19"/>
      <c r="AO2435" s="19" t="n">
        <v>46</v>
      </c>
      <c r="AP2435" s="19"/>
      <c r="AQ2435" s="19"/>
      <c r="AR2435" s="19"/>
      <c r="AS2435" s="20" t="str">
        <f aca="false">HYPERLINK("http://www.openstreetmap.org/?mlat=32.0594&amp;mlon=44.402&amp;zoom=12#map=12/32.0594/44.402","Maplink1")</f>
        <v>Maplink1</v>
      </c>
      <c r="AT2435" s="20" t="str">
        <f aca="false">HYPERLINK("https://www.google.iq/maps/search/+32.0594,44.402/@32.0594,44.402,14z?hl=en","Maplink2")</f>
        <v>Maplink2</v>
      </c>
      <c r="AU2435" s="20" t="str">
        <f aca="false">HYPERLINK("http://www.bing.com/maps/?lvl=14&amp;sty=h&amp;cp=32.0594~44.402&amp;sp=point.32.0594_44.402","Maplink3")</f>
        <v>Maplink3</v>
      </c>
    </row>
    <row r="2436" customFormat="false" ht="15" hidden="false" customHeight="true" outlineLevel="0" collapsed="false">
      <c r="A2436" s="15" t="n">
        <v>23485</v>
      </c>
      <c r="B2436" s="16" t="s">
        <v>26</v>
      </c>
      <c r="C2436" s="16" t="s">
        <v>4671</v>
      </c>
      <c r="D2436" s="16" t="s">
        <v>4704</v>
      </c>
      <c r="E2436" s="17" t="s">
        <v>4705</v>
      </c>
      <c r="F2436" s="16" t="n">
        <v>32.038573</v>
      </c>
      <c r="G2436" s="16" t="n">
        <v>44.427685</v>
      </c>
      <c r="H2436" s="18" t="n">
        <v>43</v>
      </c>
      <c r="I2436" s="18" t="n">
        <v>258</v>
      </c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 t="n">
        <v>43</v>
      </c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9" t="n">
        <v>33</v>
      </c>
      <c r="AH2436" s="19" t="n">
        <v>10</v>
      </c>
      <c r="AI2436" s="19"/>
      <c r="AJ2436" s="19"/>
      <c r="AK2436" s="19"/>
      <c r="AL2436" s="19"/>
      <c r="AM2436" s="19" t="n">
        <v>43</v>
      </c>
      <c r="AN2436" s="19"/>
      <c r="AO2436" s="19"/>
      <c r="AP2436" s="19"/>
      <c r="AQ2436" s="19"/>
      <c r="AR2436" s="19"/>
      <c r="AS2436" s="20" t="str">
        <f aca="false">HYPERLINK("http://www.openstreetmap.org/?mlat=32.0386&amp;mlon=44.4277&amp;zoom=12#map=12/32.0386/44.4277","Maplink1")</f>
        <v>Maplink1</v>
      </c>
      <c r="AT2436" s="20" t="str">
        <f aca="false">HYPERLINK("https://www.google.iq/maps/search/+32.0386,44.4277/@32.0386,44.4277,14z?hl=en","Maplink2")</f>
        <v>Maplink2</v>
      </c>
      <c r="AU2436" s="20" t="str">
        <f aca="false">HYPERLINK("http://www.bing.com/maps/?lvl=14&amp;sty=h&amp;cp=32.0386~44.4277&amp;sp=point.32.0386_44.4277","Maplink3")</f>
        <v>Maplink3</v>
      </c>
    </row>
    <row r="2437" customFormat="false" ht="15" hidden="false" customHeight="true" outlineLevel="0" collapsed="false">
      <c r="A2437" s="15" t="n">
        <v>24311</v>
      </c>
      <c r="B2437" s="16" t="s">
        <v>26</v>
      </c>
      <c r="C2437" s="16" t="s">
        <v>4671</v>
      </c>
      <c r="D2437" s="16" t="s">
        <v>4706</v>
      </c>
      <c r="E2437" s="17" t="s">
        <v>4707</v>
      </c>
      <c r="F2437" s="16" t="n">
        <v>32.07946</v>
      </c>
      <c r="G2437" s="16" t="n">
        <v>44.3778</v>
      </c>
      <c r="H2437" s="18" t="n">
        <v>360</v>
      </c>
      <c r="I2437" s="18" t="n">
        <v>2160</v>
      </c>
      <c r="J2437" s="19"/>
      <c r="K2437" s="19"/>
      <c r="L2437" s="19"/>
      <c r="M2437" s="19"/>
      <c r="N2437" s="19"/>
      <c r="O2437" s="19"/>
      <c r="P2437" s="19"/>
      <c r="Q2437" s="19"/>
      <c r="R2437" s="19" t="n">
        <v>10</v>
      </c>
      <c r="S2437" s="19"/>
      <c r="T2437" s="19"/>
      <c r="U2437" s="19"/>
      <c r="V2437" s="19" t="n">
        <v>350</v>
      </c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9" t="n">
        <v>274</v>
      </c>
      <c r="AH2437" s="19" t="n">
        <v>86</v>
      </c>
      <c r="AI2437" s="19"/>
      <c r="AJ2437" s="19"/>
      <c r="AK2437" s="19"/>
      <c r="AL2437" s="19"/>
      <c r="AM2437" s="19" t="n">
        <v>194</v>
      </c>
      <c r="AN2437" s="19"/>
      <c r="AO2437" s="19" t="n">
        <v>166</v>
      </c>
      <c r="AP2437" s="19"/>
      <c r="AQ2437" s="19"/>
      <c r="AR2437" s="19"/>
      <c r="AS2437" s="20" t="str">
        <f aca="false">HYPERLINK("http://www.openstreetmap.org/?mlat=32.0795&amp;mlon=44.3778&amp;zoom=12#map=12/32.0795/44.3778","Maplink1")</f>
        <v>Maplink1</v>
      </c>
      <c r="AT2437" s="20" t="str">
        <f aca="false">HYPERLINK("https://www.google.iq/maps/search/+32.0795,44.3778/@32.0795,44.3778,14z?hl=en","Maplink2")</f>
        <v>Maplink2</v>
      </c>
      <c r="AU2437" s="20" t="str">
        <f aca="false">HYPERLINK("http://www.bing.com/maps/?lvl=14&amp;sty=h&amp;cp=32.0795~44.3778&amp;sp=point.32.0795_44.3778","Maplink3")</f>
        <v>Maplink3</v>
      </c>
    </row>
    <row r="2438" customFormat="false" ht="15" hidden="false" customHeight="true" outlineLevel="0" collapsed="false">
      <c r="A2438" s="15" t="n">
        <v>25891</v>
      </c>
      <c r="B2438" s="16" t="s">
        <v>26</v>
      </c>
      <c r="C2438" s="16" t="s">
        <v>4671</v>
      </c>
      <c r="D2438" s="16" t="s">
        <v>4708</v>
      </c>
      <c r="E2438" s="17" t="s">
        <v>4709</v>
      </c>
      <c r="F2438" s="16" t="n">
        <v>31.9712</v>
      </c>
      <c r="G2438" s="16" t="n">
        <v>44.4387</v>
      </c>
      <c r="H2438" s="18" t="n">
        <v>16</v>
      </c>
      <c r="I2438" s="18" t="n">
        <v>96</v>
      </c>
      <c r="J2438" s="19" t="n">
        <v>2</v>
      </c>
      <c r="K2438" s="19"/>
      <c r="L2438" s="19" t="n">
        <v>5</v>
      </c>
      <c r="M2438" s="19"/>
      <c r="N2438" s="19"/>
      <c r="O2438" s="19" t="n">
        <v>2</v>
      </c>
      <c r="P2438" s="19"/>
      <c r="Q2438" s="19"/>
      <c r="R2438" s="19"/>
      <c r="S2438" s="19"/>
      <c r="T2438" s="19"/>
      <c r="U2438" s="19"/>
      <c r="V2438" s="19" t="n">
        <v>7</v>
      </c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9"/>
      <c r="AH2438" s="19" t="n">
        <v>16</v>
      </c>
      <c r="AI2438" s="19"/>
      <c r="AJ2438" s="19"/>
      <c r="AK2438" s="19"/>
      <c r="AL2438" s="19" t="n">
        <v>2</v>
      </c>
      <c r="AM2438" s="19"/>
      <c r="AN2438" s="19" t="n">
        <v>7</v>
      </c>
      <c r="AO2438" s="19"/>
      <c r="AP2438" s="19" t="n">
        <v>7</v>
      </c>
      <c r="AQ2438" s="19"/>
      <c r="AR2438" s="19"/>
      <c r="AS2438" s="20" t="str">
        <f aca="false">HYPERLINK("http://www.openstreetmap.org/?mlat=31.9712&amp;mlon=44.4387&amp;zoom=12#map=12/31.9712/44.4387","Maplink1")</f>
        <v>Maplink1</v>
      </c>
      <c r="AT2438" s="20" t="str">
        <f aca="false">HYPERLINK("https://www.google.iq/maps/search/+31.9712,44.4387/@31.9712,44.4387,14z?hl=en","Maplink2")</f>
        <v>Maplink2</v>
      </c>
      <c r="AU2438" s="20" t="str">
        <f aca="false">HYPERLINK("http://www.bing.com/maps/?lvl=14&amp;sty=h&amp;cp=31.9712~44.4387&amp;sp=point.31.9712_44.4387","Maplink3")</f>
        <v>Maplink3</v>
      </c>
    </row>
    <row r="2439" customFormat="false" ht="15" hidden="false" customHeight="true" outlineLevel="0" collapsed="false">
      <c r="A2439" s="15" t="n">
        <v>22621</v>
      </c>
      <c r="B2439" s="16" t="s">
        <v>26</v>
      </c>
      <c r="C2439" s="16" t="s">
        <v>4671</v>
      </c>
      <c r="D2439" s="16" t="s">
        <v>4710</v>
      </c>
      <c r="E2439" s="17" t="s">
        <v>4711</v>
      </c>
      <c r="F2439" s="16" t="n">
        <v>32.02965</v>
      </c>
      <c r="G2439" s="16" t="n">
        <v>44.39414</v>
      </c>
      <c r="H2439" s="18" t="n">
        <v>2</v>
      </c>
      <c r="I2439" s="18" t="n">
        <v>12</v>
      </c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 t="n">
        <v>2</v>
      </c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9"/>
      <c r="AH2439" s="19" t="n">
        <v>2</v>
      </c>
      <c r="AI2439" s="19"/>
      <c r="AJ2439" s="19"/>
      <c r="AK2439" s="19"/>
      <c r="AL2439" s="19"/>
      <c r="AM2439" s="19"/>
      <c r="AN2439" s="19" t="n">
        <v>2</v>
      </c>
      <c r="AO2439" s="19"/>
      <c r="AP2439" s="19"/>
      <c r="AQ2439" s="19"/>
      <c r="AR2439" s="19"/>
      <c r="AS2439" s="20" t="str">
        <f aca="false">HYPERLINK("http://www.openstreetmap.org/?mlat=32.0296&amp;mlon=44.3941&amp;zoom=12#map=12/32.0296/44.3941","Maplink1")</f>
        <v>Maplink1</v>
      </c>
      <c r="AT2439" s="20" t="str">
        <f aca="false">HYPERLINK("https://www.google.iq/maps/search/+32.0296,44.3941/@32.0296,44.3941,14z?hl=en","Maplink2")</f>
        <v>Maplink2</v>
      </c>
      <c r="AU2439" s="20" t="str">
        <f aca="false">HYPERLINK("http://www.bing.com/maps/?lvl=14&amp;sty=h&amp;cp=32.0296~44.3941&amp;sp=point.32.0296_44.3941","Maplink3")</f>
        <v>Maplink3</v>
      </c>
    </row>
    <row r="2440" customFormat="false" ht="15" hidden="false" customHeight="true" outlineLevel="0" collapsed="false">
      <c r="A2440" s="15" t="n">
        <v>20041</v>
      </c>
      <c r="B2440" s="16" t="s">
        <v>26</v>
      </c>
      <c r="C2440" s="16" t="s">
        <v>4671</v>
      </c>
      <c r="D2440" s="16" t="s">
        <v>4712</v>
      </c>
      <c r="E2440" s="17" t="s">
        <v>4713</v>
      </c>
      <c r="F2440" s="16" t="n">
        <v>32.03202</v>
      </c>
      <c r="G2440" s="16" t="n">
        <v>44.40817</v>
      </c>
      <c r="H2440" s="18" t="n">
        <v>22</v>
      </c>
      <c r="I2440" s="18" t="n">
        <v>132</v>
      </c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 t="n">
        <v>22</v>
      </c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9"/>
      <c r="AH2440" s="19" t="n">
        <v>22</v>
      </c>
      <c r="AI2440" s="19"/>
      <c r="AJ2440" s="19"/>
      <c r="AK2440" s="19"/>
      <c r="AL2440" s="19"/>
      <c r="AM2440" s="19"/>
      <c r="AN2440" s="19" t="n">
        <v>22</v>
      </c>
      <c r="AO2440" s="19"/>
      <c r="AP2440" s="19"/>
      <c r="AQ2440" s="19"/>
      <c r="AR2440" s="19"/>
      <c r="AS2440" s="20" t="str">
        <f aca="false">HYPERLINK("http://www.openstreetmap.org/?mlat=32.032&amp;mlon=44.4082&amp;zoom=12#map=12/32.032/44.4082","Maplink1")</f>
        <v>Maplink1</v>
      </c>
      <c r="AT2440" s="20" t="str">
        <f aca="false">HYPERLINK("https://www.google.iq/maps/search/+32.032,44.4082/@32.032,44.4082,14z?hl=en","Maplink2")</f>
        <v>Maplink2</v>
      </c>
      <c r="AU2440" s="20" t="str">
        <f aca="false">HYPERLINK("http://www.bing.com/maps/?lvl=14&amp;sty=h&amp;cp=32.032~44.4082&amp;sp=point.32.032_44.4082","Maplink3")</f>
        <v>Maplink3</v>
      </c>
    </row>
    <row r="2441" customFormat="false" ht="15" hidden="false" customHeight="true" outlineLevel="0" collapsed="false">
      <c r="A2441" s="15" t="n">
        <v>25434</v>
      </c>
      <c r="B2441" s="16" t="s">
        <v>26</v>
      </c>
      <c r="C2441" s="16" t="s">
        <v>4671</v>
      </c>
      <c r="D2441" s="16" t="s">
        <v>4714</v>
      </c>
      <c r="E2441" s="17" t="s">
        <v>4715</v>
      </c>
      <c r="F2441" s="16" t="n">
        <v>32.03175</v>
      </c>
      <c r="G2441" s="16" t="n">
        <v>44.38437</v>
      </c>
      <c r="H2441" s="18" t="n">
        <v>7</v>
      </c>
      <c r="I2441" s="18" t="n">
        <v>42</v>
      </c>
      <c r="J2441" s="19" t="n">
        <v>3</v>
      </c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 t="n">
        <v>4</v>
      </c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9"/>
      <c r="AH2441" s="19" t="n">
        <v>7</v>
      </c>
      <c r="AI2441" s="19"/>
      <c r="AJ2441" s="19"/>
      <c r="AK2441" s="19"/>
      <c r="AL2441" s="19" t="n">
        <v>3</v>
      </c>
      <c r="AM2441" s="19"/>
      <c r="AN2441" s="19" t="n">
        <v>2</v>
      </c>
      <c r="AO2441" s="19" t="n">
        <v>2</v>
      </c>
      <c r="AP2441" s="19"/>
      <c r="AQ2441" s="19"/>
      <c r="AR2441" s="19"/>
      <c r="AS2441" s="20" t="str">
        <f aca="false">HYPERLINK("http://www.openstreetmap.org/?mlat=32.0318&amp;mlon=44.3844&amp;zoom=12#map=12/32.0318/44.3844","Maplink1")</f>
        <v>Maplink1</v>
      </c>
      <c r="AT2441" s="20" t="str">
        <f aca="false">HYPERLINK("https://www.google.iq/maps/search/+32.0318,44.3844/@32.0318,44.3844,14z?hl=en","Maplink2")</f>
        <v>Maplink2</v>
      </c>
      <c r="AU2441" s="20" t="str">
        <f aca="false">HYPERLINK("http://www.bing.com/maps/?lvl=14&amp;sty=h&amp;cp=32.0318~44.3844&amp;sp=point.32.0318_44.3844","Maplink3")</f>
        <v>Maplink3</v>
      </c>
    </row>
    <row r="2442" customFormat="false" ht="15" hidden="false" customHeight="true" outlineLevel="0" collapsed="false">
      <c r="A2442" s="15" t="n">
        <v>20054</v>
      </c>
      <c r="B2442" s="16" t="s">
        <v>26</v>
      </c>
      <c r="C2442" s="16" t="s">
        <v>4671</v>
      </c>
      <c r="D2442" s="16" t="s">
        <v>4716</v>
      </c>
      <c r="E2442" s="17" t="s">
        <v>4717</v>
      </c>
      <c r="F2442" s="16" t="n">
        <v>32.02767</v>
      </c>
      <c r="G2442" s="16" t="n">
        <v>44.38776</v>
      </c>
      <c r="H2442" s="18" t="n">
        <v>4</v>
      </c>
      <c r="I2442" s="18" t="n">
        <v>24</v>
      </c>
      <c r="J2442" s="19" t="n">
        <v>2</v>
      </c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 t="n">
        <v>2</v>
      </c>
      <c r="W2442" s="19"/>
      <c r="X2442" s="19"/>
      <c r="Y2442" s="19"/>
      <c r="Z2442" s="19"/>
      <c r="AA2442" s="19"/>
      <c r="AB2442" s="19"/>
      <c r="AC2442" s="19" t="n">
        <v>2</v>
      </c>
      <c r="AD2442" s="19"/>
      <c r="AE2442" s="19"/>
      <c r="AF2442" s="19"/>
      <c r="AG2442" s="19"/>
      <c r="AH2442" s="19" t="n">
        <v>2</v>
      </c>
      <c r="AI2442" s="19"/>
      <c r="AJ2442" s="19"/>
      <c r="AK2442" s="19"/>
      <c r="AL2442" s="19"/>
      <c r="AM2442" s="19" t="n">
        <v>2</v>
      </c>
      <c r="AN2442" s="19"/>
      <c r="AO2442" s="19" t="n">
        <v>2</v>
      </c>
      <c r="AP2442" s="19"/>
      <c r="AQ2442" s="19"/>
      <c r="AR2442" s="19"/>
      <c r="AS2442" s="20" t="str">
        <f aca="false">HYPERLINK("http://www.openstreetmap.org/?mlat=32.0277&amp;mlon=44.3878&amp;zoom=12#map=12/32.0277/44.3878","Maplink1")</f>
        <v>Maplink1</v>
      </c>
      <c r="AT2442" s="20" t="str">
        <f aca="false">HYPERLINK("https://www.google.iq/maps/search/+32.0277,44.3878/@32.0277,44.3878,14z?hl=en","Maplink2")</f>
        <v>Maplink2</v>
      </c>
      <c r="AU2442" s="20" t="str">
        <f aca="false">HYPERLINK("http://www.bing.com/maps/?lvl=14&amp;sty=h&amp;cp=32.0277~44.3878&amp;sp=point.32.0277_44.3878","Maplink3")</f>
        <v>Maplink3</v>
      </c>
    </row>
    <row r="2443" customFormat="false" ht="15" hidden="false" customHeight="true" outlineLevel="0" collapsed="false">
      <c r="A2443" s="15" t="n">
        <v>20122</v>
      </c>
      <c r="B2443" s="16" t="s">
        <v>26</v>
      </c>
      <c r="C2443" s="16" t="s">
        <v>4671</v>
      </c>
      <c r="D2443" s="16" t="s">
        <v>4718</v>
      </c>
      <c r="E2443" s="17" t="s">
        <v>4719</v>
      </c>
      <c r="F2443" s="16" t="n">
        <v>32.04779</v>
      </c>
      <c r="G2443" s="16" t="n">
        <v>44.36749</v>
      </c>
      <c r="H2443" s="18" t="n">
        <v>40</v>
      </c>
      <c r="I2443" s="18" t="n">
        <v>240</v>
      </c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 t="n">
        <v>40</v>
      </c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9"/>
      <c r="AH2443" s="19" t="n">
        <v>40</v>
      </c>
      <c r="AI2443" s="19"/>
      <c r="AJ2443" s="19"/>
      <c r="AK2443" s="19"/>
      <c r="AL2443" s="19"/>
      <c r="AM2443" s="19"/>
      <c r="AN2443" s="19" t="n">
        <v>40</v>
      </c>
      <c r="AO2443" s="19"/>
      <c r="AP2443" s="19"/>
      <c r="AQ2443" s="19"/>
      <c r="AR2443" s="19"/>
      <c r="AS2443" s="20" t="str">
        <f aca="false">HYPERLINK("http://www.openstreetmap.org/?mlat=32.0478&amp;mlon=44.3675&amp;zoom=12#map=12/32.0478/44.3675","Maplink1")</f>
        <v>Maplink1</v>
      </c>
      <c r="AT2443" s="20" t="str">
        <f aca="false">HYPERLINK("https://www.google.iq/maps/search/+32.0478,44.3675/@32.0478,44.3675,14z?hl=en","Maplink2")</f>
        <v>Maplink2</v>
      </c>
      <c r="AU2443" s="20" t="str">
        <f aca="false">HYPERLINK("http://www.bing.com/maps/?lvl=14&amp;sty=h&amp;cp=32.0478~44.3675&amp;sp=point.32.0478_44.3675","Maplink3")</f>
        <v>Maplink3</v>
      </c>
    </row>
    <row r="2444" customFormat="false" ht="15" hidden="false" customHeight="true" outlineLevel="0" collapsed="false">
      <c r="A2444" s="15" t="n">
        <v>20130</v>
      </c>
      <c r="B2444" s="16" t="s">
        <v>26</v>
      </c>
      <c r="C2444" s="16" t="s">
        <v>4671</v>
      </c>
      <c r="D2444" s="16" t="s">
        <v>4720</v>
      </c>
      <c r="E2444" s="17" t="s">
        <v>4721</v>
      </c>
      <c r="F2444" s="16" t="n">
        <v>32.051863</v>
      </c>
      <c r="G2444" s="16" t="n">
        <v>44.35774</v>
      </c>
      <c r="H2444" s="18" t="n">
        <v>6</v>
      </c>
      <c r="I2444" s="18" t="n">
        <v>36</v>
      </c>
      <c r="J2444" s="19"/>
      <c r="K2444" s="19"/>
      <c r="L2444" s="19"/>
      <c r="M2444" s="19"/>
      <c r="N2444" s="19"/>
      <c r="O2444" s="19"/>
      <c r="P2444" s="19"/>
      <c r="Q2444" s="19"/>
      <c r="R2444" s="19" t="n">
        <v>1</v>
      </c>
      <c r="S2444" s="19"/>
      <c r="T2444" s="19"/>
      <c r="U2444" s="19"/>
      <c r="V2444" s="19" t="n">
        <v>5</v>
      </c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9"/>
      <c r="AH2444" s="19" t="n">
        <v>6</v>
      </c>
      <c r="AI2444" s="19"/>
      <c r="AJ2444" s="19"/>
      <c r="AK2444" s="19"/>
      <c r="AL2444" s="19" t="n">
        <v>1</v>
      </c>
      <c r="AM2444" s="19"/>
      <c r="AN2444" s="19" t="n">
        <v>5</v>
      </c>
      <c r="AO2444" s="19"/>
      <c r="AP2444" s="19"/>
      <c r="AQ2444" s="19"/>
      <c r="AR2444" s="19"/>
      <c r="AS2444" s="20" t="str">
        <f aca="false">HYPERLINK("http://www.openstreetmap.org/?mlat=32.0519&amp;mlon=44.3577&amp;zoom=12#map=12/32.0519/44.3577","Maplink1")</f>
        <v>Maplink1</v>
      </c>
      <c r="AT2444" s="20" t="str">
        <f aca="false">HYPERLINK("https://www.google.iq/maps/search/+32.0519,44.3577/@32.0519,44.3577,14z?hl=en","Maplink2")</f>
        <v>Maplink2</v>
      </c>
      <c r="AU2444" s="20" t="str">
        <f aca="false">HYPERLINK("http://www.bing.com/maps/?lvl=14&amp;sty=h&amp;cp=32.0519~44.3577&amp;sp=point.32.0519_44.3577","Maplink3")</f>
        <v>Maplink3</v>
      </c>
    </row>
    <row r="2445" customFormat="false" ht="15" hidden="false" customHeight="true" outlineLevel="0" collapsed="false">
      <c r="A2445" s="15" t="n">
        <v>20132</v>
      </c>
      <c r="B2445" s="16" t="s">
        <v>26</v>
      </c>
      <c r="C2445" s="16" t="s">
        <v>4671</v>
      </c>
      <c r="D2445" s="16" t="s">
        <v>4722</v>
      </c>
      <c r="E2445" s="17" t="s">
        <v>4723</v>
      </c>
      <c r="F2445" s="16" t="n">
        <v>32.058924</v>
      </c>
      <c r="G2445" s="16" t="n">
        <v>44.360761</v>
      </c>
      <c r="H2445" s="18" t="n">
        <v>39</v>
      </c>
      <c r="I2445" s="18" t="n">
        <v>234</v>
      </c>
      <c r="J2445" s="19" t="n">
        <v>8</v>
      </c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 t="n">
        <v>31</v>
      </c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9" t="n">
        <v>1</v>
      </c>
      <c r="AH2445" s="19" t="n">
        <v>38</v>
      </c>
      <c r="AI2445" s="19"/>
      <c r="AJ2445" s="19"/>
      <c r="AK2445" s="19"/>
      <c r="AL2445" s="19"/>
      <c r="AM2445" s="19" t="n">
        <v>1</v>
      </c>
      <c r="AN2445" s="19" t="n">
        <v>30</v>
      </c>
      <c r="AO2445" s="19" t="n">
        <v>8</v>
      </c>
      <c r="AP2445" s="19"/>
      <c r="AQ2445" s="19"/>
      <c r="AR2445" s="19"/>
      <c r="AS2445" s="20" t="str">
        <f aca="false">HYPERLINK("http://www.openstreetmap.org/?mlat=32.0589&amp;mlon=44.3608&amp;zoom=12#map=12/32.0589/44.3608","Maplink1")</f>
        <v>Maplink1</v>
      </c>
      <c r="AT2445" s="20" t="str">
        <f aca="false">HYPERLINK("https://www.google.iq/maps/search/+32.0589,44.3608/@32.0589,44.3608,14z?hl=en","Maplink2")</f>
        <v>Maplink2</v>
      </c>
      <c r="AU2445" s="20" t="str">
        <f aca="false">HYPERLINK("http://www.bing.com/maps/?lvl=14&amp;sty=h&amp;cp=32.0589~44.3608&amp;sp=point.32.0589_44.3608","Maplink3")</f>
        <v>Maplink3</v>
      </c>
    </row>
    <row r="2446" customFormat="false" ht="15" hidden="false" customHeight="true" outlineLevel="0" collapsed="false">
      <c r="A2446" s="15" t="n">
        <v>20161</v>
      </c>
      <c r="B2446" s="16" t="s">
        <v>26</v>
      </c>
      <c r="C2446" s="16" t="s">
        <v>4671</v>
      </c>
      <c r="D2446" s="16" t="s">
        <v>4724</v>
      </c>
      <c r="E2446" s="17" t="s">
        <v>4725</v>
      </c>
      <c r="F2446" s="16" t="n">
        <v>32.06497</v>
      </c>
      <c r="G2446" s="16" t="n">
        <v>44.35737</v>
      </c>
      <c r="H2446" s="18" t="n">
        <v>36</v>
      </c>
      <c r="I2446" s="18" t="n">
        <v>216</v>
      </c>
      <c r="J2446" s="19" t="n">
        <v>6</v>
      </c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 t="n">
        <v>30</v>
      </c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9"/>
      <c r="AH2446" s="19" t="n">
        <v>36</v>
      </c>
      <c r="AI2446" s="19"/>
      <c r="AJ2446" s="19"/>
      <c r="AK2446" s="19"/>
      <c r="AL2446" s="19" t="n">
        <v>6</v>
      </c>
      <c r="AM2446" s="19" t="n">
        <v>30</v>
      </c>
      <c r="AN2446" s="19"/>
      <c r="AO2446" s="19"/>
      <c r="AP2446" s="19"/>
      <c r="AQ2446" s="19"/>
      <c r="AR2446" s="19"/>
      <c r="AS2446" s="20" t="str">
        <f aca="false">HYPERLINK("http://www.openstreetmap.org/?mlat=32.065&amp;mlon=44.3574&amp;zoom=12#map=12/32.065/44.3574","Maplink1")</f>
        <v>Maplink1</v>
      </c>
      <c r="AT2446" s="20" t="str">
        <f aca="false">HYPERLINK("https://www.google.iq/maps/search/+32.065,44.3574/@32.065,44.3574,14z?hl=en","Maplink2")</f>
        <v>Maplink2</v>
      </c>
      <c r="AU2446" s="20" t="str">
        <f aca="false">HYPERLINK("http://www.bing.com/maps/?lvl=14&amp;sty=h&amp;cp=32.065~44.3574&amp;sp=point.32.065_44.3574","Maplink3")</f>
        <v>Maplink3</v>
      </c>
    </row>
    <row r="2447" customFormat="false" ht="15" hidden="false" customHeight="true" outlineLevel="0" collapsed="false">
      <c r="A2447" s="15" t="n">
        <v>20148</v>
      </c>
      <c r="B2447" s="16" t="s">
        <v>26</v>
      </c>
      <c r="C2447" s="16" t="s">
        <v>4671</v>
      </c>
      <c r="D2447" s="16" t="s">
        <v>4726</v>
      </c>
      <c r="E2447" s="17" t="s">
        <v>4727</v>
      </c>
      <c r="F2447" s="16" t="n">
        <v>32.06326</v>
      </c>
      <c r="G2447" s="16" t="n">
        <v>44.36377</v>
      </c>
      <c r="H2447" s="18" t="n">
        <v>24</v>
      </c>
      <c r="I2447" s="18" t="n">
        <v>144</v>
      </c>
      <c r="J2447" s="19" t="n">
        <v>3</v>
      </c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 t="n">
        <v>21</v>
      </c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9"/>
      <c r="AH2447" s="19" t="n">
        <v>24</v>
      </c>
      <c r="AI2447" s="19"/>
      <c r="AJ2447" s="19"/>
      <c r="AK2447" s="19"/>
      <c r="AL2447" s="19"/>
      <c r="AM2447" s="19"/>
      <c r="AN2447" s="19" t="n">
        <v>3</v>
      </c>
      <c r="AO2447" s="19" t="n">
        <v>21</v>
      </c>
      <c r="AP2447" s="19"/>
      <c r="AQ2447" s="19"/>
      <c r="AR2447" s="19"/>
      <c r="AS2447" s="20" t="str">
        <f aca="false">HYPERLINK("http://www.openstreetmap.org/?mlat=32.0633&amp;mlon=44.3638&amp;zoom=12#map=12/32.0633/44.3638","Maplink1")</f>
        <v>Maplink1</v>
      </c>
      <c r="AT2447" s="20" t="str">
        <f aca="false">HYPERLINK("https://www.google.iq/maps/search/+32.0633,44.3638/@32.0633,44.3638,14z?hl=en","Maplink2")</f>
        <v>Maplink2</v>
      </c>
      <c r="AU2447" s="20" t="str">
        <f aca="false">HYPERLINK("http://www.bing.com/maps/?lvl=14&amp;sty=h&amp;cp=32.0633~44.3638&amp;sp=point.32.0633_44.3638","Maplink3")</f>
        <v>Maplink3</v>
      </c>
    </row>
    <row r="2448" customFormat="false" ht="15" hidden="false" customHeight="true" outlineLevel="0" collapsed="false">
      <c r="A2448" s="15" t="n">
        <v>20158</v>
      </c>
      <c r="B2448" s="16" t="s">
        <v>26</v>
      </c>
      <c r="C2448" s="16" t="s">
        <v>4671</v>
      </c>
      <c r="D2448" s="16" t="s">
        <v>4728</v>
      </c>
      <c r="E2448" s="17" t="s">
        <v>4729</v>
      </c>
      <c r="F2448" s="16" t="n">
        <v>32.0546</v>
      </c>
      <c r="G2448" s="16" t="n">
        <v>44.36884</v>
      </c>
      <c r="H2448" s="18" t="n">
        <v>32</v>
      </c>
      <c r="I2448" s="18" t="n">
        <v>192</v>
      </c>
      <c r="J2448" s="19" t="n">
        <v>8</v>
      </c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 t="n">
        <v>24</v>
      </c>
      <c r="W2448" s="19"/>
      <c r="X2448" s="19"/>
      <c r="Y2448" s="19"/>
      <c r="Z2448" s="19"/>
      <c r="AA2448" s="19"/>
      <c r="AB2448" s="19"/>
      <c r="AC2448" s="19" t="n">
        <v>8</v>
      </c>
      <c r="AD2448" s="19"/>
      <c r="AE2448" s="19"/>
      <c r="AF2448" s="19"/>
      <c r="AG2448" s="19"/>
      <c r="AH2448" s="19" t="n">
        <v>24</v>
      </c>
      <c r="AI2448" s="19"/>
      <c r="AJ2448" s="19"/>
      <c r="AK2448" s="19"/>
      <c r="AL2448" s="19"/>
      <c r="AM2448" s="19" t="n">
        <v>8</v>
      </c>
      <c r="AN2448" s="19" t="n">
        <v>5</v>
      </c>
      <c r="AO2448" s="19" t="n">
        <v>19</v>
      </c>
      <c r="AP2448" s="19"/>
      <c r="AQ2448" s="19"/>
      <c r="AR2448" s="19"/>
      <c r="AS2448" s="20" t="str">
        <f aca="false">HYPERLINK("http://www.openstreetmap.org/?mlat=32.0546&amp;mlon=44.3688&amp;zoom=12#map=12/32.0546/44.3688","Maplink1")</f>
        <v>Maplink1</v>
      </c>
      <c r="AT2448" s="20" t="str">
        <f aca="false">HYPERLINK("https://www.google.iq/maps/search/+32.0546,44.3688/@32.0546,44.3688,14z?hl=en","Maplink2")</f>
        <v>Maplink2</v>
      </c>
      <c r="AU2448" s="20" t="str">
        <f aca="false">HYPERLINK("http://www.bing.com/maps/?lvl=14&amp;sty=h&amp;cp=32.0546~44.3688&amp;sp=point.32.0546_44.3688","Maplink3")</f>
        <v>Maplink3</v>
      </c>
    </row>
    <row r="2449" customFormat="false" ht="15" hidden="false" customHeight="true" outlineLevel="0" collapsed="false">
      <c r="A2449" s="15" t="n">
        <v>20347</v>
      </c>
      <c r="B2449" s="16" t="s">
        <v>26</v>
      </c>
      <c r="C2449" s="16" t="s">
        <v>4671</v>
      </c>
      <c r="D2449" s="16" t="s">
        <v>4730</v>
      </c>
      <c r="E2449" s="17" t="s">
        <v>4731</v>
      </c>
      <c r="F2449" s="16" t="n">
        <v>32.02163</v>
      </c>
      <c r="G2449" s="16" t="n">
        <v>44.3978</v>
      </c>
      <c r="H2449" s="18" t="n">
        <v>42</v>
      </c>
      <c r="I2449" s="18" t="n">
        <v>252</v>
      </c>
      <c r="J2449" s="19" t="n">
        <v>5</v>
      </c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 t="n">
        <v>37</v>
      </c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9"/>
      <c r="AH2449" s="19" t="n">
        <v>42</v>
      </c>
      <c r="AI2449" s="19"/>
      <c r="AJ2449" s="19"/>
      <c r="AK2449" s="19"/>
      <c r="AL2449" s="19" t="n">
        <v>2</v>
      </c>
      <c r="AM2449" s="19"/>
      <c r="AN2449" s="19" t="n">
        <v>40</v>
      </c>
      <c r="AO2449" s="19"/>
      <c r="AP2449" s="19"/>
      <c r="AQ2449" s="19"/>
      <c r="AR2449" s="19"/>
      <c r="AS2449" s="20" t="str">
        <f aca="false">HYPERLINK("http://www.openstreetmap.org/?mlat=32.0216&amp;mlon=44.3978&amp;zoom=12#map=12/32.0216/44.3978","Maplink1")</f>
        <v>Maplink1</v>
      </c>
      <c r="AT2449" s="20" t="str">
        <f aca="false">HYPERLINK("https://www.google.iq/maps/search/+32.0216,44.3978/@32.0216,44.3978,14z?hl=en","Maplink2")</f>
        <v>Maplink2</v>
      </c>
      <c r="AU2449" s="20" t="str">
        <f aca="false">HYPERLINK("http://www.bing.com/maps/?lvl=14&amp;sty=h&amp;cp=32.0216~44.3978&amp;sp=point.32.0216_44.3978","Maplink3")</f>
        <v>Maplink3</v>
      </c>
    </row>
    <row r="2450" customFormat="false" ht="15" hidden="false" customHeight="true" outlineLevel="0" collapsed="false">
      <c r="A2450" s="15" t="n">
        <v>25890</v>
      </c>
      <c r="B2450" s="16" t="s">
        <v>26</v>
      </c>
      <c r="C2450" s="16" t="s">
        <v>4671</v>
      </c>
      <c r="D2450" s="16" t="s">
        <v>4732</v>
      </c>
      <c r="E2450" s="17" t="s">
        <v>4733</v>
      </c>
      <c r="F2450" s="16" t="n">
        <v>31.987525</v>
      </c>
      <c r="G2450" s="16" t="n">
        <v>44.313612</v>
      </c>
      <c r="H2450" s="18" t="n">
        <v>6</v>
      </c>
      <c r="I2450" s="18" t="n">
        <v>36</v>
      </c>
      <c r="J2450" s="19" t="n">
        <v>6</v>
      </c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9"/>
      <c r="AH2450" s="19" t="n">
        <v>6</v>
      </c>
      <c r="AI2450" s="19"/>
      <c r="AJ2450" s="19"/>
      <c r="AK2450" s="19"/>
      <c r="AL2450" s="19"/>
      <c r="AM2450" s="19"/>
      <c r="AN2450" s="19"/>
      <c r="AO2450" s="19"/>
      <c r="AP2450" s="19" t="n">
        <v>6</v>
      </c>
      <c r="AQ2450" s="19"/>
      <c r="AR2450" s="19"/>
      <c r="AS2450" s="20" t="str">
        <f aca="false">HYPERLINK("http://www.openstreetmap.org/?mlat=31.9875&amp;mlon=44.3136&amp;zoom=12#map=12/31.9875/44.3136","Maplink1")</f>
        <v>Maplink1</v>
      </c>
      <c r="AT2450" s="20" t="str">
        <f aca="false">HYPERLINK("https://www.google.iq/maps/search/+31.9875,44.3136/@31.9875,44.3136,14z?hl=en","Maplink2")</f>
        <v>Maplink2</v>
      </c>
      <c r="AU2450" s="20" t="str">
        <f aca="false">HYPERLINK("http://www.bing.com/maps/?lvl=14&amp;sty=h&amp;cp=31.9875~44.3136&amp;sp=point.31.9875_44.3136","Maplink3")</f>
        <v>Maplink3</v>
      </c>
    </row>
    <row r="2451" customFormat="false" ht="15" hidden="false" customHeight="true" outlineLevel="0" collapsed="false">
      <c r="A2451" s="15" t="n">
        <v>20892</v>
      </c>
      <c r="B2451" s="16" t="s">
        <v>26</v>
      </c>
      <c r="C2451" s="16" t="s">
        <v>26</v>
      </c>
      <c r="D2451" s="16" t="s">
        <v>4734</v>
      </c>
      <c r="E2451" s="17" t="s">
        <v>4735</v>
      </c>
      <c r="F2451" s="16" t="n">
        <v>31.99581</v>
      </c>
      <c r="G2451" s="16" t="n">
        <v>44.33609</v>
      </c>
      <c r="H2451" s="18" t="n">
        <v>5</v>
      </c>
      <c r="I2451" s="18" t="n">
        <v>30</v>
      </c>
      <c r="J2451" s="19"/>
      <c r="K2451" s="19"/>
      <c r="L2451" s="19"/>
      <c r="M2451" s="19"/>
      <c r="N2451" s="19"/>
      <c r="O2451" s="19"/>
      <c r="P2451" s="19"/>
      <c r="Q2451" s="19"/>
      <c r="R2451" s="19" t="n">
        <v>5</v>
      </c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9"/>
      <c r="AH2451" s="19" t="n">
        <v>5</v>
      </c>
      <c r="AI2451" s="19"/>
      <c r="AJ2451" s="19"/>
      <c r="AK2451" s="19"/>
      <c r="AL2451" s="19"/>
      <c r="AM2451" s="19" t="n">
        <v>5</v>
      </c>
      <c r="AN2451" s="19"/>
      <c r="AO2451" s="19"/>
      <c r="AP2451" s="19"/>
      <c r="AQ2451" s="19"/>
      <c r="AR2451" s="19"/>
      <c r="AS2451" s="20" t="str">
        <f aca="false">HYPERLINK("http://www.openstreetmap.org/?mlat=31.9958&amp;mlon=44.3361&amp;zoom=12#map=12/31.9958/44.3361","Maplink1")</f>
        <v>Maplink1</v>
      </c>
      <c r="AT2451" s="20" t="str">
        <f aca="false">HYPERLINK("https://www.google.iq/maps/search/+31.9958,44.3361/@31.9958,44.3361,14z?hl=en","Maplink2")</f>
        <v>Maplink2</v>
      </c>
      <c r="AU2451" s="20" t="str">
        <f aca="false">HYPERLINK("http://www.bing.com/maps/?lvl=14&amp;sty=h&amp;cp=31.9958~44.3361&amp;sp=point.31.9958_44.3361","Maplink3")</f>
        <v>Maplink3</v>
      </c>
    </row>
    <row r="2452" customFormat="false" ht="15" hidden="false" customHeight="true" outlineLevel="0" collapsed="false">
      <c r="A2452" s="15" t="n">
        <v>20260</v>
      </c>
      <c r="B2452" s="16" t="s">
        <v>26</v>
      </c>
      <c r="C2452" s="16" t="s">
        <v>26</v>
      </c>
      <c r="D2452" s="16" t="s">
        <v>4736</v>
      </c>
      <c r="E2452" s="17" t="s">
        <v>4737</v>
      </c>
      <c r="F2452" s="16" t="n">
        <v>32.27859</v>
      </c>
      <c r="G2452" s="16" t="n">
        <v>44.28496</v>
      </c>
      <c r="H2452" s="18" t="n">
        <v>360</v>
      </c>
      <c r="I2452" s="18" t="n">
        <v>2160</v>
      </c>
      <c r="J2452" s="19" t="n">
        <v>13</v>
      </c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 t="n">
        <v>347</v>
      </c>
      <c r="W2452" s="19"/>
      <c r="X2452" s="19"/>
      <c r="Y2452" s="19"/>
      <c r="Z2452" s="19"/>
      <c r="AA2452" s="19"/>
      <c r="AB2452" s="19"/>
      <c r="AC2452" s="19" t="n">
        <v>13</v>
      </c>
      <c r="AD2452" s="19"/>
      <c r="AE2452" s="19"/>
      <c r="AF2452" s="19"/>
      <c r="AG2452" s="19" t="n">
        <v>347</v>
      </c>
      <c r="AH2452" s="19"/>
      <c r="AI2452" s="19"/>
      <c r="AJ2452" s="19"/>
      <c r="AK2452" s="19"/>
      <c r="AL2452" s="19" t="n">
        <v>13</v>
      </c>
      <c r="AM2452" s="19"/>
      <c r="AN2452" s="19" t="n">
        <v>347</v>
      </c>
      <c r="AO2452" s="19"/>
      <c r="AP2452" s="19"/>
      <c r="AQ2452" s="19"/>
      <c r="AR2452" s="19"/>
      <c r="AS2452" s="20" t="str">
        <f aca="false">HYPERLINK("http://www.openstreetmap.org/?mlat=32.2786&amp;mlon=44.285&amp;zoom=12#map=12/32.2786/44.285","Maplink1")</f>
        <v>Maplink1</v>
      </c>
      <c r="AT2452" s="20" t="str">
        <f aca="false">HYPERLINK("https://www.google.iq/maps/search/+32.2786,44.285/@32.2786,44.285,14z?hl=en","Maplink2")</f>
        <v>Maplink2</v>
      </c>
      <c r="AU2452" s="20" t="str">
        <f aca="false">HYPERLINK("http://www.bing.com/maps/?lvl=14&amp;sty=h&amp;cp=32.2786~44.285&amp;sp=point.32.2786_44.285","Maplink3")</f>
        <v>Maplink3</v>
      </c>
    </row>
    <row r="2453" customFormat="false" ht="15" hidden="false" customHeight="true" outlineLevel="0" collapsed="false">
      <c r="A2453" s="15" t="n">
        <v>24433</v>
      </c>
      <c r="B2453" s="16" t="s">
        <v>26</v>
      </c>
      <c r="C2453" s="16" t="s">
        <v>26</v>
      </c>
      <c r="D2453" s="16" t="s">
        <v>4738</v>
      </c>
      <c r="E2453" s="17" t="s">
        <v>4739</v>
      </c>
      <c r="F2453" s="16" t="n">
        <v>31.987764</v>
      </c>
      <c r="G2453" s="16" t="n">
        <v>44.34432</v>
      </c>
      <c r="H2453" s="18" t="n">
        <v>8</v>
      </c>
      <c r="I2453" s="18" t="n">
        <v>48</v>
      </c>
      <c r="J2453" s="19"/>
      <c r="K2453" s="19"/>
      <c r="L2453" s="19" t="n">
        <v>5</v>
      </c>
      <c r="M2453" s="19"/>
      <c r="N2453" s="19"/>
      <c r="O2453" s="19"/>
      <c r="P2453" s="19"/>
      <c r="Q2453" s="19"/>
      <c r="R2453" s="19"/>
      <c r="S2453" s="19"/>
      <c r="T2453" s="19"/>
      <c r="U2453" s="19"/>
      <c r="V2453" s="19" t="n">
        <v>3</v>
      </c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9"/>
      <c r="AH2453" s="19" t="n">
        <v>8</v>
      </c>
      <c r="AI2453" s="19"/>
      <c r="AJ2453" s="19"/>
      <c r="AK2453" s="19"/>
      <c r="AL2453" s="19"/>
      <c r="AM2453" s="19" t="n">
        <v>5</v>
      </c>
      <c r="AN2453" s="19" t="n">
        <v>3</v>
      </c>
      <c r="AO2453" s="19"/>
      <c r="AP2453" s="19"/>
      <c r="AQ2453" s="19"/>
      <c r="AR2453" s="19"/>
      <c r="AS2453" s="20" t="str">
        <f aca="false">HYPERLINK("http://www.openstreetmap.org/?mlat=31.9878&amp;mlon=44.3443&amp;zoom=12#map=12/31.9878/44.3443","Maplink1")</f>
        <v>Maplink1</v>
      </c>
      <c r="AT2453" s="20" t="str">
        <f aca="false">HYPERLINK("https://www.google.iq/maps/search/+31.9878,44.3443/@31.9878,44.3443,14z?hl=en","Maplink2")</f>
        <v>Maplink2</v>
      </c>
      <c r="AU2453" s="20" t="str">
        <f aca="false">HYPERLINK("http://www.bing.com/maps/?lvl=14&amp;sty=h&amp;cp=31.9878~44.3443&amp;sp=point.31.9878_44.3443","Maplink3")</f>
        <v>Maplink3</v>
      </c>
    </row>
    <row r="2454" customFormat="false" ht="15" hidden="false" customHeight="true" outlineLevel="0" collapsed="false">
      <c r="A2454" s="15" t="n">
        <v>22114</v>
      </c>
      <c r="B2454" s="16" t="s">
        <v>26</v>
      </c>
      <c r="C2454" s="16" t="s">
        <v>26</v>
      </c>
      <c r="D2454" s="16" t="s">
        <v>4740</v>
      </c>
      <c r="E2454" s="17" t="s">
        <v>4741</v>
      </c>
      <c r="F2454" s="16" t="n">
        <v>31.759876</v>
      </c>
      <c r="G2454" s="16" t="n">
        <v>44.51723</v>
      </c>
      <c r="H2454" s="18" t="n">
        <v>14</v>
      </c>
      <c r="I2454" s="18" t="n">
        <v>84</v>
      </c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 t="n">
        <v>14</v>
      </c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9"/>
      <c r="AH2454" s="19" t="n">
        <v>14</v>
      </c>
      <c r="AI2454" s="19"/>
      <c r="AJ2454" s="19"/>
      <c r="AK2454" s="19"/>
      <c r="AL2454" s="19"/>
      <c r="AM2454" s="19"/>
      <c r="AN2454" s="19" t="n">
        <v>14</v>
      </c>
      <c r="AO2454" s="19"/>
      <c r="AP2454" s="19"/>
      <c r="AQ2454" s="19"/>
      <c r="AR2454" s="19"/>
      <c r="AS2454" s="20" t="str">
        <f aca="false">HYPERLINK("http://www.openstreetmap.org/?mlat=31.7599&amp;mlon=44.5172&amp;zoom=12#map=12/31.7599/44.5172","Maplink1")</f>
        <v>Maplink1</v>
      </c>
      <c r="AT2454" s="20" t="str">
        <f aca="false">HYPERLINK("https://www.google.iq/maps/search/+31.7599,44.5172/@31.7599,44.5172,14z?hl=en","Maplink2")</f>
        <v>Maplink2</v>
      </c>
      <c r="AU2454" s="20" t="str">
        <f aca="false">HYPERLINK("http://www.bing.com/maps/?lvl=14&amp;sty=h&amp;cp=31.7599~44.5172&amp;sp=point.31.7599_44.5172","Maplink3")</f>
        <v>Maplink3</v>
      </c>
    </row>
    <row r="2455" customFormat="false" ht="15" hidden="false" customHeight="true" outlineLevel="0" collapsed="false">
      <c r="A2455" s="15" t="n">
        <v>20285</v>
      </c>
      <c r="B2455" s="16" t="s">
        <v>26</v>
      </c>
      <c r="C2455" s="16" t="s">
        <v>26</v>
      </c>
      <c r="D2455" s="16" t="s">
        <v>4742</v>
      </c>
      <c r="E2455" s="17" t="s">
        <v>4743</v>
      </c>
      <c r="F2455" s="16" t="n">
        <v>32.03444</v>
      </c>
      <c r="G2455" s="16" t="n">
        <v>44.349055</v>
      </c>
      <c r="H2455" s="18" t="n">
        <v>10</v>
      </c>
      <c r="I2455" s="18" t="n">
        <v>60</v>
      </c>
      <c r="J2455" s="19" t="n">
        <v>6</v>
      </c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 t="n">
        <v>4</v>
      </c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9"/>
      <c r="AH2455" s="19" t="n">
        <v>10</v>
      </c>
      <c r="AI2455" s="19"/>
      <c r="AJ2455" s="19"/>
      <c r="AK2455" s="19"/>
      <c r="AL2455" s="19" t="n">
        <v>6</v>
      </c>
      <c r="AM2455" s="19" t="n">
        <v>4</v>
      </c>
      <c r="AN2455" s="19"/>
      <c r="AO2455" s="19"/>
      <c r="AP2455" s="19"/>
      <c r="AQ2455" s="19"/>
      <c r="AR2455" s="19"/>
      <c r="AS2455" s="20" t="str">
        <f aca="false">HYPERLINK("http://www.openstreetmap.org/?mlat=32.0344&amp;mlon=44.3491&amp;zoom=12#map=12/32.0344/44.3491","Maplink1")</f>
        <v>Maplink1</v>
      </c>
      <c r="AT2455" s="20" t="str">
        <f aca="false">HYPERLINK("https://www.google.iq/maps/search/+32.0344,44.3491/@32.0344,44.3491,14z?hl=en","Maplink2")</f>
        <v>Maplink2</v>
      </c>
      <c r="AU2455" s="20" t="str">
        <f aca="false">HYPERLINK("http://www.bing.com/maps/?lvl=14&amp;sty=h&amp;cp=32.0344~44.3491&amp;sp=point.32.0344_44.3491","Maplink3")</f>
        <v>Maplink3</v>
      </c>
    </row>
    <row r="2456" customFormat="false" ht="15" hidden="false" customHeight="true" outlineLevel="0" collapsed="false">
      <c r="A2456" s="15" t="n">
        <v>22565</v>
      </c>
      <c r="B2456" s="16" t="s">
        <v>26</v>
      </c>
      <c r="C2456" s="16" t="s">
        <v>26</v>
      </c>
      <c r="D2456" s="16" t="s">
        <v>4744</v>
      </c>
      <c r="E2456" s="17" t="s">
        <v>4745</v>
      </c>
      <c r="F2456" s="16" t="n">
        <v>32.03762</v>
      </c>
      <c r="G2456" s="16" t="n">
        <v>44.3519</v>
      </c>
      <c r="H2456" s="18" t="n">
        <v>27</v>
      </c>
      <c r="I2456" s="18" t="n">
        <v>162</v>
      </c>
      <c r="J2456" s="19" t="n">
        <v>1</v>
      </c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 t="n">
        <v>26</v>
      </c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9"/>
      <c r="AH2456" s="19" t="n">
        <v>27</v>
      </c>
      <c r="AI2456" s="19"/>
      <c r="AJ2456" s="19"/>
      <c r="AK2456" s="19"/>
      <c r="AL2456" s="19"/>
      <c r="AM2456" s="19" t="n">
        <v>26</v>
      </c>
      <c r="AN2456" s="19"/>
      <c r="AO2456" s="19" t="n">
        <v>1</v>
      </c>
      <c r="AP2456" s="19"/>
      <c r="AQ2456" s="19"/>
      <c r="AR2456" s="19"/>
      <c r="AS2456" s="20" t="str">
        <f aca="false">HYPERLINK("http://www.openstreetmap.org/?mlat=32.0376&amp;mlon=44.3519&amp;zoom=12#map=12/32.0376/44.3519","Maplink1")</f>
        <v>Maplink1</v>
      </c>
      <c r="AT2456" s="20" t="str">
        <f aca="false">HYPERLINK("https://www.google.iq/maps/search/+32.0376,44.3519/@32.0376,44.3519,14z?hl=en","Maplink2")</f>
        <v>Maplink2</v>
      </c>
      <c r="AU2456" s="20" t="str">
        <f aca="false">HYPERLINK("http://www.bing.com/maps/?lvl=14&amp;sty=h&amp;cp=32.0376~44.3519&amp;sp=point.32.0376_44.3519","Maplink3")</f>
        <v>Maplink3</v>
      </c>
    </row>
    <row r="2457" customFormat="false" ht="15" hidden="false" customHeight="true" outlineLevel="0" collapsed="false">
      <c r="A2457" s="15" t="n">
        <v>22912</v>
      </c>
      <c r="B2457" s="16" t="s">
        <v>26</v>
      </c>
      <c r="C2457" s="16" t="s">
        <v>26</v>
      </c>
      <c r="D2457" s="16" t="s">
        <v>4746</v>
      </c>
      <c r="E2457" s="17" t="s">
        <v>4747</v>
      </c>
      <c r="F2457" s="16" t="n">
        <v>32.0327</v>
      </c>
      <c r="G2457" s="16" t="n">
        <v>44.36031</v>
      </c>
      <c r="H2457" s="18" t="n">
        <v>18</v>
      </c>
      <c r="I2457" s="18" t="n">
        <v>108</v>
      </c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 t="n">
        <v>18</v>
      </c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9"/>
      <c r="AH2457" s="19" t="n">
        <v>18</v>
      </c>
      <c r="AI2457" s="19"/>
      <c r="AJ2457" s="19"/>
      <c r="AK2457" s="19"/>
      <c r="AL2457" s="19"/>
      <c r="AM2457" s="19"/>
      <c r="AN2457" s="19" t="n">
        <v>18</v>
      </c>
      <c r="AO2457" s="19"/>
      <c r="AP2457" s="19"/>
      <c r="AQ2457" s="19"/>
      <c r="AR2457" s="19"/>
      <c r="AS2457" s="20" t="str">
        <f aca="false">HYPERLINK("http://www.openstreetmap.org/?mlat=32.0327&amp;mlon=44.3603&amp;zoom=12#map=12/32.0327/44.3603","Maplink1")</f>
        <v>Maplink1</v>
      </c>
      <c r="AT2457" s="20" t="str">
        <f aca="false">HYPERLINK("https://www.google.iq/maps/search/+32.0327,44.3603/@32.0327,44.3603,14z?hl=en","Maplink2")</f>
        <v>Maplink2</v>
      </c>
      <c r="AU2457" s="20" t="str">
        <f aca="false">HYPERLINK("http://www.bing.com/maps/?lvl=14&amp;sty=h&amp;cp=32.0327~44.3603&amp;sp=point.32.0327_44.3603","Maplink3")</f>
        <v>Maplink3</v>
      </c>
    </row>
    <row r="2458" customFormat="false" ht="15" hidden="false" customHeight="true" outlineLevel="0" collapsed="false">
      <c r="A2458" s="15" t="n">
        <v>22909</v>
      </c>
      <c r="B2458" s="16" t="s">
        <v>26</v>
      </c>
      <c r="C2458" s="16" t="s">
        <v>26</v>
      </c>
      <c r="D2458" s="16" t="s">
        <v>4748</v>
      </c>
      <c r="E2458" s="17" t="s">
        <v>4749</v>
      </c>
      <c r="F2458" s="16" t="n">
        <v>32.04088</v>
      </c>
      <c r="G2458" s="16" t="n">
        <v>44.34759</v>
      </c>
      <c r="H2458" s="18" t="n">
        <v>23</v>
      </c>
      <c r="I2458" s="18" t="n">
        <v>138</v>
      </c>
      <c r="J2458" s="19" t="n">
        <v>10</v>
      </c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 t="n">
        <v>13</v>
      </c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9"/>
      <c r="AH2458" s="19" t="n">
        <v>23</v>
      </c>
      <c r="AI2458" s="19"/>
      <c r="AJ2458" s="19"/>
      <c r="AK2458" s="19"/>
      <c r="AL2458" s="19" t="n">
        <v>10</v>
      </c>
      <c r="AM2458" s="19"/>
      <c r="AN2458" s="19" t="n">
        <v>13</v>
      </c>
      <c r="AO2458" s="19"/>
      <c r="AP2458" s="19"/>
      <c r="AQ2458" s="19"/>
      <c r="AR2458" s="19"/>
      <c r="AS2458" s="20" t="str">
        <f aca="false">HYPERLINK("http://www.openstreetmap.org/?mlat=32.0409&amp;mlon=44.3476&amp;zoom=12#map=12/32.0409/44.3476","Maplink1")</f>
        <v>Maplink1</v>
      </c>
      <c r="AT2458" s="20" t="str">
        <f aca="false">HYPERLINK("https://www.google.iq/maps/search/+32.0409,44.3476/@32.0409,44.3476,14z?hl=en","Maplink2")</f>
        <v>Maplink2</v>
      </c>
      <c r="AU2458" s="20" t="str">
        <f aca="false">HYPERLINK("http://www.bing.com/maps/?lvl=14&amp;sty=h&amp;cp=32.0409~44.3476&amp;sp=point.32.0409_44.3476","Maplink3")</f>
        <v>Maplink3</v>
      </c>
    </row>
    <row r="2459" customFormat="false" ht="15" hidden="false" customHeight="true" outlineLevel="0" collapsed="false">
      <c r="A2459" s="15" t="n">
        <v>22908</v>
      </c>
      <c r="B2459" s="16" t="s">
        <v>26</v>
      </c>
      <c r="C2459" s="16" t="s">
        <v>26</v>
      </c>
      <c r="D2459" s="16" t="s">
        <v>4750</v>
      </c>
      <c r="E2459" s="17" t="s">
        <v>4751</v>
      </c>
      <c r="F2459" s="16" t="n">
        <v>32.0491</v>
      </c>
      <c r="G2459" s="16" t="n">
        <v>44.34726</v>
      </c>
      <c r="H2459" s="18" t="n">
        <v>10</v>
      </c>
      <c r="I2459" s="18" t="n">
        <v>60</v>
      </c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 t="n">
        <v>10</v>
      </c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9"/>
      <c r="AH2459" s="19" t="n">
        <v>10</v>
      </c>
      <c r="AI2459" s="19"/>
      <c r="AJ2459" s="19"/>
      <c r="AK2459" s="19"/>
      <c r="AL2459" s="19"/>
      <c r="AM2459" s="19"/>
      <c r="AN2459" s="19" t="n">
        <v>10</v>
      </c>
      <c r="AO2459" s="19"/>
      <c r="AP2459" s="19"/>
      <c r="AQ2459" s="19"/>
      <c r="AR2459" s="19"/>
      <c r="AS2459" s="20" t="str">
        <f aca="false">HYPERLINK("http://www.openstreetmap.org/?mlat=32.0491&amp;mlon=44.3473&amp;zoom=12#map=12/32.0491/44.3473","Maplink1")</f>
        <v>Maplink1</v>
      </c>
      <c r="AT2459" s="20" t="str">
        <f aca="false">HYPERLINK("https://www.google.iq/maps/search/+32.0491,44.3473/@32.0491,44.3473,14z?hl=en","Maplink2")</f>
        <v>Maplink2</v>
      </c>
      <c r="AU2459" s="20" t="str">
        <f aca="false">HYPERLINK("http://www.bing.com/maps/?lvl=14&amp;sty=h&amp;cp=32.0491~44.3473&amp;sp=point.32.0491_44.3473","Maplink3")</f>
        <v>Maplink3</v>
      </c>
    </row>
    <row r="2460" customFormat="false" ht="15" hidden="false" customHeight="true" outlineLevel="0" collapsed="false">
      <c r="A2460" s="15" t="n">
        <v>23118</v>
      </c>
      <c r="B2460" s="16" t="s">
        <v>26</v>
      </c>
      <c r="C2460" s="16" t="s">
        <v>26</v>
      </c>
      <c r="D2460" s="16" t="s">
        <v>4752</v>
      </c>
      <c r="E2460" s="17" t="s">
        <v>4753</v>
      </c>
      <c r="F2460" s="16" t="n">
        <v>32.04362</v>
      </c>
      <c r="G2460" s="16" t="n">
        <v>44.34757</v>
      </c>
      <c r="H2460" s="18" t="n">
        <v>20</v>
      </c>
      <c r="I2460" s="18" t="n">
        <v>120</v>
      </c>
      <c r="J2460" s="19" t="n">
        <v>20</v>
      </c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9"/>
      <c r="AH2460" s="19" t="n">
        <v>20</v>
      </c>
      <c r="AI2460" s="19"/>
      <c r="AJ2460" s="19"/>
      <c r="AK2460" s="19"/>
      <c r="AL2460" s="19" t="n">
        <v>20</v>
      </c>
      <c r="AM2460" s="19"/>
      <c r="AN2460" s="19"/>
      <c r="AO2460" s="19"/>
      <c r="AP2460" s="19"/>
      <c r="AQ2460" s="19"/>
      <c r="AR2460" s="19"/>
      <c r="AS2460" s="20" t="str">
        <f aca="false">HYPERLINK("http://www.openstreetmap.org/?mlat=32.0436&amp;mlon=44.3476&amp;zoom=12#map=12/32.0436/44.3476","Maplink1")</f>
        <v>Maplink1</v>
      </c>
      <c r="AT2460" s="20" t="str">
        <f aca="false">HYPERLINK("https://www.google.iq/maps/search/+32.0436,44.3476/@32.0436,44.3476,14z?hl=en","Maplink2")</f>
        <v>Maplink2</v>
      </c>
      <c r="AU2460" s="20" t="str">
        <f aca="false">HYPERLINK("http://www.bing.com/maps/?lvl=14&amp;sty=h&amp;cp=32.0436~44.3476&amp;sp=point.32.0436_44.3476","Maplink3")</f>
        <v>Maplink3</v>
      </c>
    </row>
    <row r="2461" customFormat="false" ht="15" hidden="false" customHeight="true" outlineLevel="0" collapsed="false">
      <c r="A2461" s="15" t="n">
        <v>21936</v>
      </c>
      <c r="B2461" s="16" t="s">
        <v>26</v>
      </c>
      <c r="C2461" s="16" t="s">
        <v>26</v>
      </c>
      <c r="D2461" s="16" t="s">
        <v>4754</v>
      </c>
      <c r="E2461" s="17" t="s">
        <v>4755</v>
      </c>
      <c r="F2461" s="16" t="n">
        <v>32.04609</v>
      </c>
      <c r="G2461" s="16" t="n">
        <v>44.34631</v>
      </c>
      <c r="H2461" s="18" t="n">
        <v>10</v>
      </c>
      <c r="I2461" s="18" t="n">
        <v>60</v>
      </c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 t="n">
        <v>10</v>
      </c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9"/>
      <c r="AH2461" s="19" t="n">
        <v>10</v>
      </c>
      <c r="AI2461" s="19"/>
      <c r="AJ2461" s="19"/>
      <c r="AK2461" s="19"/>
      <c r="AL2461" s="19"/>
      <c r="AM2461" s="19"/>
      <c r="AN2461" s="19" t="n">
        <v>10</v>
      </c>
      <c r="AO2461" s="19"/>
      <c r="AP2461" s="19"/>
      <c r="AQ2461" s="19"/>
      <c r="AR2461" s="19"/>
      <c r="AS2461" s="20" t="str">
        <f aca="false">HYPERLINK("http://www.openstreetmap.org/?mlat=32.0461&amp;mlon=44.3463&amp;zoom=12#map=12/32.0461/44.3463","Maplink1")</f>
        <v>Maplink1</v>
      </c>
      <c r="AT2461" s="20" t="str">
        <f aca="false">HYPERLINK("https://www.google.iq/maps/search/+32.0461,44.3463/@32.0461,44.3463,14z?hl=en","Maplink2")</f>
        <v>Maplink2</v>
      </c>
      <c r="AU2461" s="20" t="str">
        <f aca="false">HYPERLINK("http://www.bing.com/maps/?lvl=14&amp;sty=h&amp;cp=32.0461~44.3463&amp;sp=point.32.0461_44.3463","Maplink3")</f>
        <v>Maplink3</v>
      </c>
    </row>
    <row r="2462" customFormat="false" ht="15" hidden="false" customHeight="true" outlineLevel="0" collapsed="false">
      <c r="A2462" s="15" t="n">
        <v>25642</v>
      </c>
      <c r="B2462" s="16" t="s">
        <v>26</v>
      </c>
      <c r="C2462" s="16" t="s">
        <v>26</v>
      </c>
      <c r="D2462" s="16" t="s">
        <v>4756</v>
      </c>
      <c r="E2462" s="17" t="s">
        <v>4757</v>
      </c>
      <c r="F2462" s="16" t="n">
        <v>32.04569</v>
      </c>
      <c r="G2462" s="16" t="n">
        <v>44.35172</v>
      </c>
      <c r="H2462" s="18" t="n">
        <v>27</v>
      </c>
      <c r="I2462" s="18" t="n">
        <v>162</v>
      </c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 t="n">
        <v>27</v>
      </c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9"/>
      <c r="AH2462" s="19" t="n">
        <v>27</v>
      </c>
      <c r="AI2462" s="19"/>
      <c r="AJ2462" s="19"/>
      <c r="AK2462" s="19"/>
      <c r="AL2462" s="19"/>
      <c r="AM2462" s="19"/>
      <c r="AN2462" s="19"/>
      <c r="AO2462" s="19" t="n">
        <v>27</v>
      </c>
      <c r="AP2462" s="19"/>
      <c r="AQ2462" s="19"/>
      <c r="AR2462" s="19"/>
      <c r="AS2462" s="20" t="str">
        <f aca="false">HYPERLINK("http://www.openstreetmap.org/?mlat=32.0457&amp;mlon=44.3517&amp;zoom=12#map=12/32.0457/44.3517","Maplink1")</f>
        <v>Maplink1</v>
      </c>
      <c r="AT2462" s="20" t="str">
        <f aca="false">HYPERLINK("https://www.google.iq/maps/search/+32.0457,44.3517/@32.0457,44.3517,14z?hl=en","Maplink2")</f>
        <v>Maplink2</v>
      </c>
      <c r="AU2462" s="20" t="str">
        <f aca="false">HYPERLINK("http://www.bing.com/maps/?lvl=14&amp;sty=h&amp;cp=32.0457~44.3517&amp;sp=point.32.0457_44.3517","Maplink3")</f>
        <v>Maplink3</v>
      </c>
    </row>
    <row r="2463" customFormat="false" ht="15" hidden="false" customHeight="true" outlineLevel="0" collapsed="false">
      <c r="A2463" s="15" t="n">
        <v>22620</v>
      </c>
      <c r="B2463" s="16" t="s">
        <v>26</v>
      </c>
      <c r="C2463" s="16" t="s">
        <v>26</v>
      </c>
      <c r="D2463" s="16" t="s">
        <v>4758</v>
      </c>
      <c r="E2463" s="17" t="s">
        <v>4759</v>
      </c>
      <c r="F2463" s="16" t="n">
        <v>32.04602</v>
      </c>
      <c r="G2463" s="16" t="n">
        <v>44.34954</v>
      </c>
      <c r="H2463" s="18" t="n">
        <v>32</v>
      </c>
      <c r="I2463" s="18" t="n">
        <v>192</v>
      </c>
      <c r="J2463" s="19" t="n">
        <v>5</v>
      </c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 t="n">
        <v>20</v>
      </c>
      <c r="W2463" s="19"/>
      <c r="X2463" s="19" t="n">
        <v>7</v>
      </c>
      <c r="Y2463" s="19"/>
      <c r="Z2463" s="19"/>
      <c r="AA2463" s="19"/>
      <c r="AB2463" s="19"/>
      <c r="AC2463" s="19" t="n">
        <v>8</v>
      </c>
      <c r="AD2463" s="19"/>
      <c r="AE2463" s="19"/>
      <c r="AF2463" s="19"/>
      <c r="AG2463" s="19"/>
      <c r="AH2463" s="19" t="n">
        <v>18</v>
      </c>
      <c r="AI2463" s="19"/>
      <c r="AJ2463" s="19" t="n">
        <v>6</v>
      </c>
      <c r="AK2463" s="19"/>
      <c r="AL2463" s="19" t="n">
        <v>5</v>
      </c>
      <c r="AM2463" s="19" t="n">
        <v>6</v>
      </c>
      <c r="AN2463" s="19" t="n">
        <v>16</v>
      </c>
      <c r="AO2463" s="19" t="n">
        <v>5</v>
      </c>
      <c r="AP2463" s="19"/>
      <c r="AQ2463" s="19"/>
      <c r="AR2463" s="19"/>
      <c r="AS2463" s="20" t="str">
        <f aca="false">HYPERLINK("http://www.openstreetmap.org/?mlat=32.046&amp;mlon=44.3495&amp;zoom=12#map=12/32.046/44.3495","Maplink1")</f>
        <v>Maplink1</v>
      </c>
      <c r="AT2463" s="20" t="str">
        <f aca="false">HYPERLINK("https://www.google.iq/maps/search/+32.046,44.3495/@32.046,44.3495,14z?hl=en","Maplink2")</f>
        <v>Maplink2</v>
      </c>
      <c r="AU2463" s="20" t="str">
        <f aca="false">HYPERLINK("http://www.bing.com/maps/?lvl=14&amp;sty=h&amp;cp=32.046~44.3495&amp;sp=point.32.046_44.3495","Maplink3")</f>
        <v>Maplink3</v>
      </c>
    </row>
    <row r="2464" customFormat="false" ht="15" hidden="false" customHeight="true" outlineLevel="0" collapsed="false">
      <c r="A2464" s="15" t="n">
        <v>20338</v>
      </c>
      <c r="B2464" s="16" t="s">
        <v>26</v>
      </c>
      <c r="C2464" s="16" t="s">
        <v>26</v>
      </c>
      <c r="D2464" s="16" t="s">
        <v>4760</v>
      </c>
      <c r="E2464" s="17" t="s">
        <v>4761</v>
      </c>
      <c r="F2464" s="16" t="n">
        <v>31.988367</v>
      </c>
      <c r="G2464" s="16" t="n">
        <v>44.319759</v>
      </c>
      <c r="H2464" s="18" t="n">
        <v>220</v>
      </c>
      <c r="I2464" s="18" t="n">
        <v>1320</v>
      </c>
      <c r="J2464" s="19" t="n">
        <v>10</v>
      </c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 t="n">
        <v>210</v>
      </c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9" t="n">
        <v>8</v>
      </c>
      <c r="AH2464" s="19" t="n">
        <v>212</v>
      </c>
      <c r="AI2464" s="19"/>
      <c r="AJ2464" s="19"/>
      <c r="AK2464" s="19"/>
      <c r="AL2464" s="19"/>
      <c r="AM2464" s="19" t="n">
        <v>210</v>
      </c>
      <c r="AN2464" s="19"/>
      <c r="AO2464" s="19" t="n">
        <v>2</v>
      </c>
      <c r="AP2464" s="19" t="n">
        <v>8</v>
      </c>
      <c r="AQ2464" s="19"/>
      <c r="AR2464" s="19"/>
      <c r="AS2464" s="20" t="str">
        <f aca="false">HYPERLINK("http://www.openstreetmap.org/?mlat=31.9884&amp;mlon=44.3198&amp;zoom=12#map=12/31.9884/44.3198","Maplink1")</f>
        <v>Maplink1</v>
      </c>
      <c r="AT2464" s="20" t="str">
        <f aca="false">HYPERLINK("https://www.google.iq/maps/search/+31.9884,44.3198/@31.9884,44.3198,14z?hl=en","Maplink2")</f>
        <v>Maplink2</v>
      </c>
      <c r="AU2464" s="20" t="str">
        <f aca="false">HYPERLINK("http://www.bing.com/maps/?lvl=14&amp;sty=h&amp;cp=31.9884~44.3198&amp;sp=point.31.9884_44.3198","Maplink3")</f>
        <v>Maplink3</v>
      </c>
    </row>
    <row r="2465" customFormat="false" ht="15" hidden="false" customHeight="true" outlineLevel="0" collapsed="false">
      <c r="A2465" s="15" t="n">
        <v>24376</v>
      </c>
      <c r="B2465" s="16" t="s">
        <v>26</v>
      </c>
      <c r="C2465" s="16" t="s">
        <v>26</v>
      </c>
      <c r="D2465" s="16" t="s">
        <v>4762</v>
      </c>
      <c r="E2465" s="17" t="s">
        <v>4763</v>
      </c>
      <c r="F2465" s="16" t="n">
        <v>31.98052</v>
      </c>
      <c r="G2465" s="16" t="n">
        <v>44.3266</v>
      </c>
      <c r="H2465" s="18" t="n">
        <v>5</v>
      </c>
      <c r="I2465" s="18" t="n">
        <v>30</v>
      </c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 t="n">
        <v>5</v>
      </c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9"/>
      <c r="AH2465" s="19" t="n">
        <v>5</v>
      </c>
      <c r="AI2465" s="19"/>
      <c r="AJ2465" s="19"/>
      <c r="AK2465" s="19"/>
      <c r="AL2465" s="19"/>
      <c r="AM2465" s="19" t="n">
        <v>5</v>
      </c>
      <c r="AN2465" s="19"/>
      <c r="AO2465" s="19"/>
      <c r="AP2465" s="19"/>
      <c r="AQ2465" s="19"/>
      <c r="AR2465" s="19"/>
      <c r="AS2465" s="20" t="str">
        <f aca="false">HYPERLINK("http://www.openstreetmap.org/?mlat=31.9805&amp;mlon=44.3266&amp;zoom=12#map=12/31.9805/44.3266","Maplink1")</f>
        <v>Maplink1</v>
      </c>
      <c r="AT2465" s="20" t="str">
        <f aca="false">HYPERLINK("https://www.google.iq/maps/search/+31.9805,44.3266/@31.9805,44.3266,14z?hl=en","Maplink2")</f>
        <v>Maplink2</v>
      </c>
      <c r="AU2465" s="20" t="str">
        <f aca="false">HYPERLINK("http://www.bing.com/maps/?lvl=14&amp;sty=h&amp;cp=31.9805~44.3266&amp;sp=point.31.9805_44.3266","Maplink3")</f>
        <v>Maplink3</v>
      </c>
    </row>
    <row r="2466" customFormat="false" ht="15" hidden="false" customHeight="true" outlineLevel="0" collapsed="false">
      <c r="A2466" s="15" t="n">
        <v>24373</v>
      </c>
      <c r="B2466" s="16" t="s">
        <v>26</v>
      </c>
      <c r="C2466" s="16" t="s">
        <v>26</v>
      </c>
      <c r="D2466" s="16" t="s">
        <v>4764</v>
      </c>
      <c r="E2466" s="17" t="s">
        <v>4765</v>
      </c>
      <c r="F2466" s="16" t="n">
        <v>31.98257</v>
      </c>
      <c r="G2466" s="16" t="n">
        <v>44.36304</v>
      </c>
      <c r="H2466" s="18" t="n">
        <v>66</v>
      </c>
      <c r="I2466" s="18" t="n">
        <v>396</v>
      </c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 t="n">
        <v>66</v>
      </c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9" t="n">
        <v>10</v>
      </c>
      <c r="AH2466" s="19" t="n">
        <v>56</v>
      </c>
      <c r="AI2466" s="19"/>
      <c r="AJ2466" s="19"/>
      <c r="AK2466" s="19"/>
      <c r="AL2466" s="19"/>
      <c r="AM2466" s="19" t="n">
        <v>66</v>
      </c>
      <c r="AN2466" s="19"/>
      <c r="AO2466" s="19"/>
      <c r="AP2466" s="19"/>
      <c r="AQ2466" s="19"/>
      <c r="AR2466" s="19"/>
      <c r="AS2466" s="20" t="str">
        <f aca="false">HYPERLINK("http://www.openstreetmap.org/?mlat=31.9826&amp;mlon=44.363&amp;zoom=12#map=12/31.9826/44.363","Maplink1")</f>
        <v>Maplink1</v>
      </c>
      <c r="AT2466" s="20" t="str">
        <f aca="false">HYPERLINK("https://www.google.iq/maps/search/+31.9826,44.363/@31.9826,44.363,14z?hl=en","Maplink2")</f>
        <v>Maplink2</v>
      </c>
      <c r="AU2466" s="20" t="str">
        <f aca="false">HYPERLINK("http://www.bing.com/maps/?lvl=14&amp;sty=h&amp;cp=31.9826~44.363&amp;sp=point.31.9826_44.363","Maplink3")</f>
        <v>Maplink3</v>
      </c>
    </row>
    <row r="2467" customFormat="false" ht="15" hidden="false" customHeight="true" outlineLevel="0" collapsed="false">
      <c r="A2467" s="15" t="n">
        <v>21577</v>
      </c>
      <c r="B2467" s="16" t="s">
        <v>26</v>
      </c>
      <c r="C2467" s="16" t="s">
        <v>26</v>
      </c>
      <c r="D2467" s="16" t="s">
        <v>4766</v>
      </c>
      <c r="E2467" s="17" t="s">
        <v>4767</v>
      </c>
      <c r="F2467" s="16" t="n">
        <v>31.96682</v>
      </c>
      <c r="G2467" s="16" t="n">
        <v>44.38246</v>
      </c>
      <c r="H2467" s="18" t="n">
        <v>15</v>
      </c>
      <c r="I2467" s="18" t="n">
        <v>90</v>
      </c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 t="n">
        <v>15</v>
      </c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9" t="n">
        <v>15</v>
      </c>
      <c r="AH2467" s="19"/>
      <c r="AI2467" s="19"/>
      <c r="AJ2467" s="19"/>
      <c r="AK2467" s="19"/>
      <c r="AL2467" s="19"/>
      <c r="AM2467" s="19"/>
      <c r="AN2467" s="19" t="n">
        <v>15</v>
      </c>
      <c r="AO2467" s="19"/>
      <c r="AP2467" s="19"/>
      <c r="AQ2467" s="19"/>
      <c r="AR2467" s="19"/>
      <c r="AS2467" s="20" t="str">
        <f aca="false">HYPERLINK("http://www.openstreetmap.org/?mlat=31.9668&amp;mlon=44.3825&amp;zoom=12#map=12/31.9668/44.3825","Maplink1")</f>
        <v>Maplink1</v>
      </c>
      <c r="AT2467" s="20" t="str">
        <f aca="false">HYPERLINK("https://www.google.iq/maps/search/+31.9668,44.3825/@31.9668,44.3825,14z?hl=en","Maplink2")</f>
        <v>Maplink2</v>
      </c>
      <c r="AU2467" s="20" t="str">
        <f aca="false">HYPERLINK("http://www.bing.com/maps/?lvl=14&amp;sty=h&amp;cp=31.9668~44.3825&amp;sp=point.31.9668_44.3825","Maplink3")</f>
        <v>Maplink3</v>
      </c>
    </row>
    <row r="2468" customFormat="false" ht="15" hidden="false" customHeight="true" outlineLevel="0" collapsed="false">
      <c r="A2468" s="15" t="n">
        <v>21575</v>
      </c>
      <c r="B2468" s="16" t="s">
        <v>26</v>
      </c>
      <c r="C2468" s="16" t="s">
        <v>26</v>
      </c>
      <c r="D2468" s="16" t="s">
        <v>4768</v>
      </c>
      <c r="E2468" s="17" t="s">
        <v>4769</v>
      </c>
      <c r="F2468" s="16" t="n">
        <v>31.963</v>
      </c>
      <c r="G2468" s="16" t="n">
        <v>44.38787</v>
      </c>
      <c r="H2468" s="18" t="n">
        <v>66</v>
      </c>
      <c r="I2468" s="18" t="n">
        <v>396</v>
      </c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 t="n">
        <v>66</v>
      </c>
      <c r="W2468" s="19"/>
      <c r="X2468" s="19"/>
      <c r="Y2468" s="19"/>
      <c r="Z2468" s="19"/>
      <c r="AA2468" s="19"/>
      <c r="AB2468" s="19"/>
      <c r="AC2468" s="19" t="n">
        <v>66</v>
      </c>
      <c r="AD2468" s="19"/>
      <c r="AE2468" s="19"/>
      <c r="AF2468" s="19"/>
      <c r="AG2468" s="19"/>
      <c r="AH2468" s="19"/>
      <c r="AI2468" s="19"/>
      <c r="AJ2468" s="19"/>
      <c r="AK2468" s="19"/>
      <c r="AL2468" s="19"/>
      <c r="AM2468" s="19" t="n">
        <v>66</v>
      </c>
      <c r="AN2468" s="19"/>
      <c r="AO2468" s="19"/>
      <c r="AP2468" s="19"/>
      <c r="AQ2468" s="19"/>
      <c r="AR2468" s="19"/>
      <c r="AS2468" s="20" t="str">
        <f aca="false">HYPERLINK("http://www.openstreetmap.org/?mlat=31.963&amp;mlon=44.3879&amp;zoom=12#map=12/31.963/44.3879","Maplink1")</f>
        <v>Maplink1</v>
      </c>
      <c r="AT2468" s="20" t="str">
        <f aca="false">HYPERLINK("https://www.google.iq/maps/search/+31.963,44.3879/@31.963,44.3879,14z?hl=en","Maplink2")</f>
        <v>Maplink2</v>
      </c>
      <c r="AU2468" s="20" t="str">
        <f aca="false">HYPERLINK("http://www.bing.com/maps/?lvl=14&amp;sty=h&amp;cp=31.963~44.3879&amp;sp=point.31.963_44.3879","Maplink3")</f>
        <v>Maplink3</v>
      </c>
    </row>
    <row r="2469" customFormat="false" ht="15" hidden="false" customHeight="true" outlineLevel="0" collapsed="false">
      <c r="A2469" s="15" t="n">
        <v>25649</v>
      </c>
      <c r="B2469" s="16" t="s">
        <v>26</v>
      </c>
      <c r="C2469" s="16" t="s">
        <v>26</v>
      </c>
      <c r="D2469" s="16" t="s">
        <v>4770</v>
      </c>
      <c r="E2469" s="17" t="s">
        <v>4771</v>
      </c>
      <c r="F2469" s="16" t="n">
        <v>31.95792</v>
      </c>
      <c r="G2469" s="16" t="n">
        <v>44.39638</v>
      </c>
      <c r="H2469" s="18" t="n">
        <v>71</v>
      </c>
      <c r="I2469" s="18" t="n">
        <v>426</v>
      </c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 t="n">
        <v>71</v>
      </c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9"/>
      <c r="AH2469" s="19" t="n">
        <v>71</v>
      </c>
      <c r="AI2469" s="19"/>
      <c r="AJ2469" s="19"/>
      <c r="AK2469" s="19"/>
      <c r="AL2469" s="19"/>
      <c r="AM2469" s="19"/>
      <c r="AN2469" s="19" t="n">
        <v>71</v>
      </c>
      <c r="AO2469" s="19"/>
      <c r="AP2469" s="19"/>
      <c r="AQ2469" s="19"/>
      <c r="AR2469" s="19"/>
      <c r="AS2469" s="20" t="str">
        <f aca="false">HYPERLINK("http://www.openstreetmap.org/?mlat=31.9579&amp;mlon=44.3964&amp;zoom=12#map=12/31.9579/44.3964","Maplink1")</f>
        <v>Maplink1</v>
      </c>
      <c r="AT2469" s="20" t="str">
        <f aca="false">HYPERLINK("https://www.google.iq/maps/search/+31.9579,44.3964/@31.9579,44.3964,14z?hl=en","Maplink2")</f>
        <v>Maplink2</v>
      </c>
      <c r="AU2469" s="20" t="str">
        <f aca="false">HYPERLINK("http://www.bing.com/maps/?lvl=14&amp;sty=h&amp;cp=31.9579~44.3964&amp;sp=point.31.9579_44.3964","Maplink3")</f>
        <v>Maplink3</v>
      </c>
    </row>
    <row r="2470" customFormat="false" ht="15" hidden="false" customHeight="true" outlineLevel="0" collapsed="false">
      <c r="A2470" s="15" t="n">
        <v>25638</v>
      </c>
      <c r="B2470" s="16" t="s">
        <v>26</v>
      </c>
      <c r="C2470" s="16" t="s">
        <v>26</v>
      </c>
      <c r="D2470" s="16" t="s">
        <v>4772</v>
      </c>
      <c r="E2470" s="17" t="s">
        <v>4773</v>
      </c>
      <c r="F2470" s="16" t="n">
        <v>31.958811</v>
      </c>
      <c r="G2470" s="16" t="n">
        <v>44.395921</v>
      </c>
      <c r="H2470" s="18" t="n">
        <v>9</v>
      </c>
      <c r="I2470" s="18" t="n">
        <v>54</v>
      </c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 t="n">
        <v>9</v>
      </c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9"/>
      <c r="AH2470" s="19" t="n">
        <v>9</v>
      </c>
      <c r="AI2470" s="19"/>
      <c r="AJ2470" s="19"/>
      <c r="AK2470" s="19"/>
      <c r="AL2470" s="19"/>
      <c r="AM2470" s="19"/>
      <c r="AN2470" s="19"/>
      <c r="AO2470" s="19" t="n">
        <v>9</v>
      </c>
      <c r="AP2470" s="19"/>
      <c r="AQ2470" s="19"/>
      <c r="AR2470" s="19"/>
      <c r="AS2470" s="20" t="str">
        <f aca="false">HYPERLINK("http://www.openstreetmap.org/?mlat=31.9588&amp;mlon=44.3959&amp;zoom=12#map=12/31.9588/44.3959","Maplink1")</f>
        <v>Maplink1</v>
      </c>
      <c r="AT2470" s="20" t="str">
        <f aca="false">HYPERLINK("https://www.google.iq/maps/search/+31.9588,44.3959/@31.9588,44.3959,14z?hl=en","Maplink2")</f>
        <v>Maplink2</v>
      </c>
      <c r="AU2470" s="20" t="str">
        <f aca="false">HYPERLINK("http://www.bing.com/maps/?lvl=14&amp;sty=h&amp;cp=31.9588~44.3959&amp;sp=point.31.9588_44.3959","Maplink3")</f>
        <v>Maplink3</v>
      </c>
    </row>
    <row r="2471" customFormat="false" ht="15" hidden="false" customHeight="true" outlineLevel="0" collapsed="false">
      <c r="A2471" s="15" t="n">
        <v>25639</v>
      </c>
      <c r="B2471" s="16" t="s">
        <v>26</v>
      </c>
      <c r="C2471" s="16" t="s">
        <v>26</v>
      </c>
      <c r="D2471" s="16" t="s">
        <v>4774</v>
      </c>
      <c r="E2471" s="17" t="s">
        <v>4775</v>
      </c>
      <c r="F2471" s="16" t="n">
        <v>31.951284</v>
      </c>
      <c r="G2471" s="16" t="n">
        <v>44.410811</v>
      </c>
      <c r="H2471" s="18" t="n">
        <v>12</v>
      </c>
      <c r="I2471" s="18" t="n">
        <v>72</v>
      </c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 t="n">
        <v>10</v>
      </c>
      <c r="W2471" s="19"/>
      <c r="X2471" s="19" t="n">
        <v>2</v>
      </c>
      <c r="Y2471" s="19"/>
      <c r="Z2471" s="19"/>
      <c r="AA2471" s="19"/>
      <c r="AB2471" s="19"/>
      <c r="AC2471" s="19"/>
      <c r="AD2471" s="19"/>
      <c r="AE2471" s="19"/>
      <c r="AF2471" s="19"/>
      <c r="AG2471" s="19" t="n">
        <v>12</v>
      </c>
      <c r="AH2471" s="19"/>
      <c r="AI2471" s="19"/>
      <c r="AJ2471" s="19"/>
      <c r="AK2471" s="19"/>
      <c r="AL2471" s="19"/>
      <c r="AM2471" s="19"/>
      <c r="AN2471" s="19"/>
      <c r="AO2471" s="19" t="n">
        <v>12</v>
      </c>
      <c r="AP2471" s="19"/>
      <c r="AQ2471" s="19"/>
      <c r="AR2471" s="19"/>
      <c r="AS2471" s="20" t="str">
        <f aca="false">HYPERLINK("http://www.openstreetmap.org/?mlat=31.9513&amp;mlon=44.4108&amp;zoom=12#map=12/31.9513/44.4108","Maplink1")</f>
        <v>Maplink1</v>
      </c>
      <c r="AT2471" s="20" t="str">
        <f aca="false">HYPERLINK("https://www.google.iq/maps/search/+31.9513,44.4108/@31.9513,44.4108,14z?hl=en","Maplink2")</f>
        <v>Maplink2</v>
      </c>
      <c r="AU2471" s="20" t="str">
        <f aca="false">HYPERLINK("http://www.bing.com/maps/?lvl=14&amp;sty=h&amp;cp=31.9513~44.4108&amp;sp=point.31.9513_44.4108","Maplink3")</f>
        <v>Maplink3</v>
      </c>
    </row>
    <row r="2472" customFormat="false" ht="15" hidden="false" customHeight="true" outlineLevel="0" collapsed="false">
      <c r="A2472" s="15" t="n">
        <v>25640</v>
      </c>
      <c r="B2472" s="16" t="s">
        <v>26</v>
      </c>
      <c r="C2472" s="16" t="s">
        <v>26</v>
      </c>
      <c r="D2472" s="16" t="s">
        <v>4776</v>
      </c>
      <c r="E2472" s="17" t="s">
        <v>4777</v>
      </c>
      <c r="F2472" s="16" t="n">
        <v>31.949955</v>
      </c>
      <c r="G2472" s="16" t="n">
        <v>44.414291</v>
      </c>
      <c r="H2472" s="18" t="n">
        <v>94</v>
      </c>
      <c r="I2472" s="18" t="n">
        <v>564</v>
      </c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 t="n">
        <v>94</v>
      </c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9" t="n">
        <v>10</v>
      </c>
      <c r="AH2472" s="19" t="n">
        <v>84</v>
      </c>
      <c r="AI2472" s="19"/>
      <c r="AJ2472" s="19"/>
      <c r="AK2472" s="19"/>
      <c r="AL2472" s="19"/>
      <c r="AM2472" s="19"/>
      <c r="AN2472" s="19" t="n">
        <v>94</v>
      </c>
      <c r="AO2472" s="19"/>
      <c r="AP2472" s="19"/>
      <c r="AQ2472" s="19"/>
      <c r="AR2472" s="19"/>
      <c r="AS2472" s="20" t="str">
        <f aca="false">HYPERLINK("http://www.openstreetmap.org/?mlat=31.95&amp;mlon=44.4143&amp;zoom=12#map=12/31.95/44.4143","Maplink1")</f>
        <v>Maplink1</v>
      </c>
      <c r="AT2472" s="20" t="str">
        <f aca="false">HYPERLINK("https://www.google.iq/maps/search/+31.95,44.4143/@31.95,44.4143,14z?hl=en","Maplink2")</f>
        <v>Maplink2</v>
      </c>
      <c r="AU2472" s="20" t="str">
        <f aca="false">HYPERLINK("http://www.bing.com/maps/?lvl=14&amp;sty=h&amp;cp=31.95~44.4143&amp;sp=point.31.95_44.4143","Maplink3")</f>
        <v>Maplink3</v>
      </c>
    </row>
    <row r="2473" customFormat="false" ht="15" hidden="false" customHeight="true" outlineLevel="0" collapsed="false">
      <c r="A2473" s="15" t="n">
        <v>25641</v>
      </c>
      <c r="B2473" s="16" t="s">
        <v>26</v>
      </c>
      <c r="C2473" s="16" t="s">
        <v>26</v>
      </c>
      <c r="D2473" s="16" t="s">
        <v>4778</v>
      </c>
      <c r="E2473" s="17" t="s">
        <v>4779</v>
      </c>
      <c r="F2473" s="16" t="n">
        <v>31.94588</v>
      </c>
      <c r="G2473" s="16" t="n">
        <v>44.42082</v>
      </c>
      <c r="H2473" s="18" t="n">
        <v>23</v>
      </c>
      <c r="I2473" s="18" t="n">
        <v>138</v>
      </c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 t="n">
        <v>23</v>
      </c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9"/>
      <c r="AH2473" s="19" t="n">
        <v>23</v>
      </c>
      <c r="AI2473" s="19"/>
      <c r="AJ2473" s="19"/>
      <c r="AK2473" s="19"/>
      <c r="AL2473" s="19"/>
      <c r="AM2473" s="19"/>
      <c r="AN2473" s="19"/>
      <c r="AO2473" s="19" t="n">
        <v>23</v>
      </c>
      <c r="AP2473" s="19"/>
      <c r="AQ2473" s="19"/>
      <c r="AR2473" s="19"/>
      <c r="AS2473" s="20" t="str">
        <f aca="false">HYPERLINK("http://www.openstreetmap.org/?mlat=31.9459&amp;mlon=44.4208&amp;zoom=12#map=12/31.9459/44.4208","Maplink1")</f>
        <v>Maplink1</v>
      </c>
      <c r="AT2473" s="20" t="str">
        <f aca="false">HYPERLINK("https://www.google.iq/maps/search/+31.9459,44.4208/@31.9459,44.4208,14z?hl=en","Maplink2")</f>
        <v>Maplink2</v>
      </c>
      <c r="AU2473" s="20" t="str">
        <f aca="false">HYPERLINK("http://www.bing.com/maps/?lvl=14&amp;sty=h&amp;cp=31.9459~44.4208&amp;sp=point.31.9459_44.4208","Maplink3")</f>
        <v>Maplink3</v>
      </c>
    </row>
    <row r="2474" customFormat="false" ht="15" hidden="false" customHeight="true" outlineLevel="0" collapsed="false">
      <c r="A2474" s="15" t="n">
        <v>23705</v>
      </c>
      <c r="B2474" s="16" t="s">
        <v>26</v>
      </c>
      <c r="C2474" s="16" t="s">
        <v>26</v>
      </c>
      <c r="D2474" s="16" t="s">
        <v>4780</v>
      </c>
      <c r="E2474" s="17" t="s">
        <v>3397</v>
      </c>
      <c r="F2474" s="16" t="n">
        <v>32.09277</v>
      </c>
      <c r="G2474" s="16" t="n">
        <v>44.33427</v>
      </c>
      <c r="H2474" s="18" t="n">
        <v>13</v>
      </c>
      <c r="I2474" s="18" t="n">
        <v>78</v>
      </c>
      <c r="J2474" s="19" t="n">
        <v>7</v>
      </c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 t="n">
        <v>6</v>
      </c>
      <c r="W2474" s="19"/>
      <c r="X2474" s="19"/>
      <c r="Y2474" s="19"/>
      <c r="Z2474" s="19"/>
      <c r="AA2474" s="19"/>
      <c r="AB2474" s="19"/>
      <c r="AC2474" s="19"/>
      <c r="AD2474" s="19"/>
      <c r="AE2474" s="19" t="n">
        <v>7</v>
      </c>
      <c r="AF2474" s="19"/>
      <c r="AG2474" s="19" t="n">
        <v>2</v>
      </c>
      <c r="AH2474" s="19" t="n">
        <v>4</v>
      </c>
      <c r="AI2474" s="19"/>
      <c r="AJ2474" s="19"/>
      <c r="AK2474" s="19"/>
      <c r="AL2474" s="19" t="n">
        <v>9</v>
      </c>
      <c r="AM2474" s="19" t="n">
        <v>4</v>
      </c>
      <c r="AN2474" s="19"/>
      <c r="AO2474" s="19"/>
      <c r="AP2474" s="19"/>
      <c r="AQ2474" s="19"/>
      <c r="AR2474" s="19"/>
      <c r="AS2474" s="20" t="str">
        <f aca="false">HYPERLINK("http://www.openstreetmap.org/?mlat=32.0928&amp;mlon=44.3343&amp;zoom=12#map=12/32.0928/44.3343","Maplink1")</f>
        <v>Maplink1</v>
      </c>
      <c r="AT2474" s="20" t="str">
        <f aca="false">HYPERLINK("https://www.google.iq/maps/search/+32.0928,44.3343/@32.0928,44.3343,14z?hl=en","Maplink2")</f>
        <v>Maplink2</v>
      </c>
      <c r="AU2474" s="20" t="str">
        <f aca="false">HYPERLINK("http://www.bing.com/maps/?lvl=14&amp;sty=h&amp;cp=32.0928~44.3343&amp;sp=point.32.0928_44.3343","Maplink3")</f>
        <v>Maplink3</v>
      </c>
    </row>
    <row r="2475" customFormat="false" ht="15" hidden="false" customHeight="true" outlineLevel="0" collapsed="false">
      <c r="A2475" s="15" t="n">
        <v>19643</v>
      </c>
      <c r="B2475" s="16" t="s">
        <v>26</v>
      </c>
      <c r="C2475" s="16" t="s">
        <v>26</v>
      </c>
      <c r="D2475" s="16" t="s">
        <v>1199</v>
      </c>
      <c r="E2475" s="17" t="s">
        <v>97</v>
      </c>
      <c r="F2475" s="16" t="n">
        <v>32.03764</v>
      </c>
      <c r="G2475" s="16" t="n">
        <v>44.34169</v>
      </c>
      <c r="H2475" s="18" t="n">
        <v>63</v>
      </c>
      <c r="I2475" s="18" t="n">
        <v>378</v>
      </c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 t="n">
        <v>63</v>
      </c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9"/>
      <c r="AH2475" s="19" t="n">
        <v>63</v>
      </c>
      <c r="AI2475" s="19"/>
      <c r="AJ2475" s="19"/>
      <c r="AK2475" s="19"/>
      <c r="AL2475" s="19"/>
      <c r="AM2475" s="19" t="n">
        <v>63</v>
      </c>
      <c r="AN2475" s="19"/>
      <c r="AO2475" s="19"/>
      <c r="AP2475" s="19"/>
      <c r="AQ2475" s="19"/>
      <c r="AR2475" s="19"/>
      <c r="AS2475" s="20" t="str">
        <f aca="false">HYPERLINK("http://www.openstreetmap.org/?mlat=32.0376&amp;mlon=44.3417&amp;zoom=12#map=12/32.0376/44.3417","Maplink1")</f>
        <v>Maplink1</v>
      </c>
      <c r="AT2475" s="20" t="str">
        <f aca="false">HYPERLINK("https://www.google.iq/maps/search/+32.0376,44.3417/@32.0376,44.3417,14z?hl=en","Maplink2")</f>
        <v>Maplink2</v>
      </c>
      <c r="AU2475" s="20" t="str">
        <f aca="false">HYPERLINK("http://www.bing.com/maps/?lvl=14&amp;sty=h&amp;cp=32.0376~44.3417&amp;sp=point.32.0376_44.3417","Maplink3")</f>
        <v>Maplink3</v>
      </c>
    </row>
    <row r="2476" customFormat="false" ht="15" hidden="false" customHeight="true" outlineLevel="0" collapsed="false">
      <c r="A2476" s="15" t="n">
        <v>29598</v>
      </c>
      <c r="B2476" s="16" t="s">
        <v>26</v>
      </c>
      <c r="C2476" s="16" t="s">
        <v>26</v>
      </c>
      <c r="D2476" s="16" t="s">
        <v>4781</v>
      </c>
      <c r="E2476" s="17" t="s">
        <v>4782</v>
      </c>
      <c r="F2476" s="16" t="n">
        <v>32.146425</v>
      </c>
      <c r="G2476" s="16" t="n">
        <v>44.291891</v>
      </c>
      <c r="H2476" s="18" t="n">
        <v>380</v>
      </c>
      <c r="I2476" s="18" t="n">
        <v>2280</v>
      </c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 t="n">
        <v>380</v>
      </c>
      <c r="W2476" s="19"/>
      <c r="X2476" s="19"/>
      <c r="Y2476" s="19"/>
      <c r="Z2476" s="19"/>
      <c r="AA2476" s="19"/>
      <c r="AB2476" s="19" t="n">
        <v>380</v>
      </c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 t="n">
        <v>285</v>
      </c>
      <c r="AN2476" s="19" t="n">
        <v>95</v>
      </c>
      <c r="AO2476" s="19"/>
      <c r="AP2476" s="19"/>
      <c r="AQ2476" s="19"/>
      <c r="AR2476" s="19"/>
      <c r="AS2476" s="20" t="str">
        <f aca="false">HYPERLINK("http://www.openstreetmap.org/?mlat=32.1464&amp;mlon=44.2919&amp;zoom=12#map=12/32.1464/44.2919","Maplink1")</f>
        <v>Maplink1</v>
      </c>
      <c r="AT2476" s="20" t="str">
        <f aca="false">HYPERLINK("https://www.google.iq/maps/search/+32.1464,44.2919/@32.1464,44.2919,14z?hl=en","Maplink2")</f>
        <v>Maplink2</v>
      </c>
      <c r="AU2476" s="20" t="str">
        <f aca="false">HYPERLINK("http://www.bing.com/maps/?lvl=14&amp;sty=h&amp;cp=32.1464~44.2919&amp;sp=point.32.1464_44.2919","Maplink3")</f>
        <v>Maplink3</v>
      </c>
    </row>
    <row r="2477" customFormat="false" ht="15" hidden="false" customHeight="true" outlineLevel="0" collapsed="false">
      <c r="A2477" s="15" t="n">
        <v>20018</v>
      </c>
      <c r="B2477" s="16" t="s">
        <v>26</v>
      </c>
      <c r="C2477" s="16" t="s">
        <v>26</v>
      </c>
      <c r="D2477" s="16" t="s">
        <v>4783</v>
      </c>
      <c r="E2477" s="17" t="s">
        <v>4784</v>
      </c>
      <c r="F2477" s="16" t="n">
        <v>32.01069</v>
      </c>
      <c r="G2477" s="16" t="n">
        <v>44.344091</v>
      </c>
      <c r="H2477" s="18" t="n">
        <v>4</v>
      </c>
      <c r="I2477" s="18" t="n">
        <v>24</v>
      </c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 t="n">
        <v>4</v>
      </c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9" t="n">
        <v>4</v>
      </c>
      <c r="AH2477" s="19"/>
      <c r="AI2477" s="19"/>
      <c r="AJ2477" s="19"/>
      <c r="AK2477" s="19"/>
      <c r="AL2477" s="19"/>
      <c r="AM2477" s="19"/>
      <c r="AN2477" s="19"/>
      <c r="AO2477" s="19" t="n">
        <v>4</v>
      </c>
      <c r="AP2477" s="19"/>
      <c r="AQ2477" s="19"/>
      <c r="AR2477" s="19"/>
      <c r="AS2477" s="20" t="str">
        <f aca="false">HYPERLINK("http://www.openstreetmap.org/?mlat=32.0107&amp;mlon=44.3441&amp;zoom=12#map=12/32.0107/44.3441","Maplink1")</f>
        <v>Maplink1</v>
      </c>
      <c r="AT2477" s="20" t="str">
        <f aca="false">HYPERLINK("https://www.google.iq/maps/search/+32.0107,44.3441/@32.0107,44.3441,14z?hl=en","Maplink2")</f>
        <v>Maplink2</v>
      </c>
      <c r="AU2477" s="20" t="str">
        <f aca="false">HYPERLINK("http://www.bing.com/maps/?lvl=14&amp;sty=h&amp;cp=32.0107~44.3441&amp;sp=point.32.0107_44.3441","Maplink3")</f>
        <v>Maplink3</v>
      </c>
    </row>
    <row r="2478" customFormat="false" ht="15" hidden="false" customHeight="true" outlineLevel="0" collapsed="false">
      <c r="A2478" s="15" t="n">
        <v>23132</v>
      </c>
      <c r="B2478" s="16" t="s">
        <v>26</v>
      </c>
      <c r="C2478" s="16" t="s">
        <v>26</v>
      </c>
      <c r="D2478" s="16" t="s">
        <v>4785</v>
      </c>
      <c r="E2478" s="17" t="s">
        <v>4786</v>
      </c>
      <c r="F2478" s="16" t="n">
        <v>32.025613</v>
      </c>
      <c r="G2478" s="16" t="n">
        <v>44.361351</v>
      </c>
      <c r="H2478" s="18" t="n">
        <v>18</v>
      </c>
      <c r="I2478" s="18" t="n">
        <v>108</v>
      </c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 t="n">
        <v>18</v>
      </c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9"/>
      <c r="AH2478" s="19" t="n">
        <v>18</v>
      </c>
      <c r="AI2478" s="19"/>
      <c r="AJ2478" s="19"/>
      <c r="AK2478" s="19"/>
      <c r="AL2478" s="19"/>
      <c r="AM2478" s="19"/>
      <c r="AN2478" s="19" t="n">
        <v>18</v>
      </c>
      <c r="AO2478" s="19"/>
      <c r="AP2478" s="19"/>
      <c r="AQ2478" s="19"/>
      <c r="AR2478" s="19"/>
      <c r="AS2478" s="20" t="str">
        <f aca="false">HYPERLINK("http://www.openstreetmap.org/?mlat=32.0256&amp;mlon=44.3614&amp;zoom=12#map=12/32.0256/44.3614","Maplink1")</f>
        <v>Maplink1</v>
      </c>
      <c r="AT2478" s="20" t="str">
        <f aca="false">HYPERLINK("https://www.google.iq/maps/search/+32.0256,44.3614/@32.0256,44.3614,14z?hl=en","Maplink2")</f>
        <v>Maplink2</v>
      </c>
      <c r="AU2478" s="20" t="str">
        <f aca="false">HYPERLINK("http://www.bing.com/maps/?lvl=14&amp;sty=h&amp;cp=32.0256~44.3614&amp;sp=point.32.0256_44.3614","Maplink3")</f>
        <v>Maplink3</v>
      </c>
    </row>
    <row r="2479" customFormat="false" ht="15" hidden="false" customHeight="true" outlineLevel="0" collapsed="false">
      <c r="A2479" s="15" t="n">
        <v>29620</v>
      </c>
      <c r="B2479" s="16" t="s">
        <v>26</v>
      </c>
      <c r="C2479" s="16" t="s">
        <v>26</v>
      </c>
      <c r="D2479" s="16" t="s">
        <v>4787</v>
      </c>
      <c r="E2479" s="17" t="s">
        <v>4788</v>
      </c>
      <c r="F2479" s="16" t="n">
        <v>32.331287</v>
      </c>
      <c r="G2479" s="16" t="n">
        <v>44.257356</v>
      </c>
      <c r="H2479" s="18" t="n">
        <v>141</v>
      </c>
      <c r="I2479" s="18" t="n">
        <v>846</v>
      </c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 t="n">
        <v>141</v>
      </c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9" t="n">
        <v>101</v>
      </c>
      <c r="AH2479" s="19" t="n">
        <v>40</v>
      </c>
      <c r="AI2479" s="19"/>
      <c r="AJ2479" s="19"/>
      <c r="AK2479" s="19"/>
      <c r="AL2479" s="19"/>
      <c r="AM2479" s="19" t="n">
        <v>141</v>
      </c>
      <c r="AN2479" s="19"/>
      <c r="AO2479" s="19"/>
      <c r="AP2479" s="19"/>
      <c r="AQ2479" s="19"/>
      <c r="AR2479" s="19"/>
      <c r="AS2479" s="20" t="str">
        <f aca="false">HYPERLINK("http://www.openstreetmap.org/?mlat=32.3313&amp;mlon=44.2574&amp;zoom=12#map=12/32.3313/44.2574","Maplink1")</f>
        <v>Maplink1</v>
      </c>
      <c r="AT2479" s="20" t="str">
        <f aca="false">HYPERLINK("https://www.google.iq/maps/search/+32.3313,44.2574/@32.3313,44.2574,14z?hl=en","Maplink2")</f>
        <v>Maplink2</v>
      </c>
      <c r="AU2479" s="20" t="str">
        <f aca="false">HYPERLINK("http://www.bing.com/maps/?lvl=14&amp;sty=h&amp;cp=32.3313~44.2574&amp;sp=point.32.3313_44.2574","Maplink3")</f>
        <v>Maplink3</v>
      </c>
    </row>
    <row r="2480" customFormat="false" ht="15" hidden="false" customHeight="true" outlineLevel="0" collapsed="false">
      <c r="A2480" s="15" t="n">
        <v>26015</v>
      </c>
      <c r="B2480" s="16" t="s">
        <v>26</v>
      </c>
      <c r="C2480" s="16" t="s">
        <v>26</v>
      </c>
      <c r="D2480" s="16" t="s">
        <v>4789</v>
      </c>
      <c r="E2480" s="17" t="s">
        <v>4790</v>
      </c>
      <c r="F2480" s="16" t="n">
        <v>31.9961</v>
      </c>
      <c r="G2480" s="16" t="n">
        <v>44.30334</v>
      </c>
      <c r="H2480" s="18" t="n">
        <v>68</v>
      </c>
      <c r="I2480" s="18" t="n">
        <v>408</v>
      </c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 t="n">
        <v>68</v>
      </c>
      <c r="W2480" s="19"/>
      <c r="X2480" s="19"/>
      <c r="Y2480" s="19"/>
      <c r="Z2480" s="19"/>
      <c r="AA2480" s="19"/>
      <c r="AB2480" s="19"/>
      <c r="AC2480" s="19" t="n">
        <v>4</v>
      </c>
      <c r="AD2480" s="19"/>
      <c r="AE2480" s="19"/>
      <c r="AF2480" s="19"/>
      <c r="AG2480" s="19"/>
      <c r="AH2480" s="19" t="n">
        <v>64</v>
      </c>
      <c r="AI2480" s="19"/>
      <c r="AJ2480" s="19"/>
      <c r="AK2480" s="19"/>
      <c r="AL2480" s="19"/>
      <c r="AM2480" s="19" t="n">
        <v>6</v>
      </c>
      <c r="AN2480" s="19" t="n">
        <v>62</v>
      </c>
      <c r="AO2480" s="19"/>
      <c r="AP2480" s="19"/>
      <c r="AQ2480" s="19"/>
      <c r="AR2480" s="19"/>
      <c r="AS2480" s="20" t="str">
        <f aca="false">HYPERLINK("http://www.openstreetmap.org/?mlat=31.9961&amp;mlon=44.3033&amp;zoom=12#map=12/31.9961/44.3033","Maplink1")</f>
        <v>Maplink1</v>
      </c>
      <c r="AT2480" s="20" t="str">
        <f aca="false">HYPERLINK("https://www.google.iq/maps/search/+31.9961,44.3033/@31.9961,44.3033,14z?hl=en","Maplink2")</f>
        <v>Maplink2</v>
      </c>
      <c r="AU2480" s="20" t="str">
        <f aca="false">HYPERLINK("http://www.bing.com/maps/?lvl=14&amp;sty=h&amp;cp=31.9961~44.3033&amp;sp=point.31.9961_44.3033","Maplink3")</f>
        <v>Maplink3</v>
      </c>
    </row>
    <row r="2481" customFormat="false" ht="15" hidden="false" customHeight="true" outlineLevel="0" collapsed="false">
      <c r="A2481" s="15" t="n">
        <v>19971</v>
      </c>
      <c r="B2481" s="16" t="s">
        <v>26</v>
      </c>
      <c r="C2481" s="16" t="s">
        <v>26</v>
      </c>
      <c r="D2481" s="16" t="s">
        <v>4791</v>
      </c>
      <c r="E2481" s="17" t="s">
        <v>614</v>
      </c>
      <c r="F2481" s="16" t="n">
        <v>31.986114</v>
      </c>
      <c r="G2481" s="16" t="n">
        <v>44.351578</v>
      </c>
      <c r="H2481" s="18" t="n">
        <v>59</v>
      </c>
      <c r="I2481" s="18" t="n">
        <v>354</v>
      </c>
      <c r="J2481" s="19" t="n">
        <v>9</v>
      </c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 t="n">
        <v>50</v>
      </c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9" t="n">
        <v>5</v>
      </c>
      <c r="AH2481" s="19" t="n">
        <v>54</v>
      </c>
      <c r="AI2481" s="19"/>
      <c r="AJ2481" s="19"/>
      <c r="AK2481" s="19"/>
      <c r="AL2481" s="19" t="n">
        <v>9</v>
      </c>
      <c r="AM2481" s="19" t="n">
        <v>50</v>
      </c>
      <c r="AN2481" s="19"/>
      <c r="AO2481" s="19"/>
      <c r="AP2481" s="19"/>
      <c r="AQ2481" s="19"/>
      <c r="AR2481" s="19"/>
      <c r="AS2481" s="20" t="str">
        <f aca="false">HYPERLINK("http://www.openstreetmap.org/?mlat=31.9861&amp;mlon=44.3516&amp;zoom=12#map=12/31.9861/44.3516","Maplink1")</f>
        <v>Maplink1</v>
      </c>
      <c r="AT2481" s="20" t="str">
        <f aca="false">HYPERLINK("https://www.google.iq/maps/search/+31.9861,44.3516/@31.9861,44.3516,14z?hl=en","Maplink2")</f>
        <v>Maplink2</v>
      </c>
      <c r="AU2481" s="20" t="str">
        <f aca="false">HYPERLINK("http://www.bing.com/maps/?lvl=14&amp;sty=h&amp;cp=31.9861~44.3516&amp;sp=point.31.9861_44.3516","Maplink3")</f>
        <v>Maplink3</v>
      </c>
    </row>
    <row r="2482" customFormat="false" ht="15" hidden="false" customHeight="true" outlineLevel="0" collapsed="false">
      <c r="A2482" s="15" t="n">
        <v>25943</v>
      </c>
      <c r="B2482" s="16" t="s">
        <v>26</v>
      </c>
      <c r="C2482" s="16" t="s">
        <v>26</v>
      </c>
      <c r="D2482" s="16" t="s">
        <v>4792</v>
      </c>
      <c r="E2482" s="17" t="s">
        <v>4793</v>
      </c>
      <c r="F2482" s="16" t="n">
        <v>32.06347</v>
      </c>
      <c r="G2482" s="16" t="n">
        <v>44.30483</v>
      </c>
      <c r="H2482" s="18" t="n">
        <v>49</v>
      </c>
      <c r="I2482" s="18" t="n">
        <v>294</v>
      </c>
      <c r="J2482" s="19" t="n">
        <v>6</v>
      </c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 t="n">
        <v>43</v>
      </c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9"/>
      <c r="AH2482" s="19" t="n">
        <v>49</v>
      </c>
      <c r="AI2482" s="19"/>
      <c r="AJ2482" s="19"/>
      <c r="AK2482" s="19"/>
      <c r="AL2482" s="19"/>
      <c r="AM2482" s="19"/>
      <c r="AN2482" s="19" t="n">
        <v>43</v>
      </c>
      <c r="AO2482" s="19"/>
      <c r="AP2482" s="19" t="n">
        <v>6</v>
      </c>
      <c r="AQ2482" s="19"/>
      <c r="AR2482" s="19"/>
      <c r="AS2482" s="20" t="str">
        <f aca="false">HYPERLINK("http://www.openstreetmap.org/?mlat=32.0635&amp;mlon=44.3048&amp;zoom=12#map=12/32.0635/44.3048","Maplink1")</f>
        <v>Maplink1</v>
      </c>
      <c r="AT2482" s="20" t="str">
        <f aca="false">HYPERLINK("https://www.google.iq/maps/search/+32.0635,44.3048/@32.0635,44.3048,14z?hl=en","Maplink2")</f>
        <v>Maplink2</v>
      </c>
      <c r="AU2482" s="20" t="str">
        <f aca="false">HYPERLINK("http://www.bing.com/maps/?lvl=14&amp;sty=h&amp;cp=32.0635~44.3048&amp;sp=point.32.0635_44.3048","Maplink3")</f>
        <v>Maplink3</v>
      </c>
    </row>
    <row r="2483" customFormat="false" ht="15" hidden="false" customHeight="true" outlineLevel="0" collapsed="false">
      <c r="A2483" s="15" t="n">
        <v>29624</v>
      </c>
      <c r="B2483" s="16" t="s">
        <v>26</v>
      </c>
      <c r="C2483" s="16" t="s">
        <v>26</v>
      </c>
      <c r="D2483" s="16" t="s">
        <v>4794</v>
      </c>
      <c r="E2483" s="17" t="s">
        <v>4795</v>
      </c>
      <c r="F2483" s="16" t="n">
        <v>32.14517</v>
      </c>
      <c r="G2483" s="16" t="n">
        <v>44.32961</v>
      </c>
      <c r="H2483" s="18" t="n">
        <v>80</v>
      </c>
      <c r="I2483" s="18" t="n">
        <v>480</v>
      </c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 t="n">
        <v>80</v>
      </c>
      <c r="W2483" s="19"/>
      <c r="X2483" s="19"/>
      <c r="Y2483" s="19"/>
      <c r="Z2483" s="19"/>
      <c r="AA2483" s="19"/>
      <c r="AB2483" s="19" t="n">
        <v>80</v>
      </c>
      <c r="AC2483" s="19"/>
      <c r="AD2483" s="19"/>
      <c r="AE2483" s="19"/>
      <c r="AF2483" s="19"/>
      <c r="AG2483" s="19"/>
      <c r="AH2483" s="19"/>
      <c r="AI2483" s="19"/>
      <c r="AJ2483" s="19"/>
      <c r="AK2483" s="19"/>
      <c r="AL2483" s="19"/>
      <c r="AM2483" s="19"/>
      <c r="AN2483" s="19" t="n">
        <v>80</v>
      </c>
      <c r="AO2483" s="19"/>
      <c r="AP2483" s="19"/>
      <c r="AQ2483" s="19"/>
      <c r="AR2483" s="19"/>
      <c r="AS2483" s="20" t="str">
        <f aca="false">HYPERLINK("http://www.openstreetmap.org/?mlat=32.1452&amp;mlon=44.3296&amp;zoom=12#map=12/32.1452/44.3296","Maplink1")</f>
        <v>Maplink1</v>
      </c>
      <c r="AT2483" s="20" t="str">
        <f aca="false">HYPERLINK("https://www.google.iq/maps/search/+32.1452,44.3296/@32.1452,44.3296,14z?hl=en","Maplink2")</f>
        <v>Maplink2</v>
      </c>
      <c r="AU2483" s="20" t="str">
        <f aca="false">HYPERLINK("http://www.bing.com/maps/?lvl=14&amp;sty=h&amp;cp=32.1452~44.3296&amp;sp=point.32.1452_44.3296","Maplink3")</f>
        <v>Maplink3</v>
      </c>
    </row>
    <row r="2484" customFormat="false" ht="15" hidden="false" customHeight="true" outlineLevel="0" collapsed="false">
      <c r="A2484" s="15" t="n">
        <v>20119</v>
      </c>
      <c r="B2484" s="16" t="s">
        <v>26</v>
      </c>
      <c r="C2484" s="16" t="s">
        <v>26</v>
      </c>
      <c r="D2484" s="16" t="s">
        <v>4796</v>
      </c>
      <c r="E2484" s="17" t="s">
        <v>4797</v>
      </c>
      <c r="F2484" s="16" t="n">
        <v>32.03688</v>
      </c>
      <c r="G2484" s="16" t="n">
        <v>44.31877</v>
      </c>
      <c r="H2484" s="18" t="n">
        <v>20</v>
      </c>
      <c r="I2484" s="18" t="n">
        <v>120</v>
      </c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 t="n">
        <v>20</v>
      </c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9"/>
      <c r="AH2484" s="19" t="n">
        <v>20</v>
      </c>
      <c r="AI2484" s="19"/>
      <c r="AJ2484" s="19"/>
      <c r="AK2484" s="19"/>
      <c r="AL2484" s="19"/>
      <c r="AM2484" s="19" t="n">
        <v>20</v>
      </c>
      <c r="AN2484" s="19"/>
      <c r="AO2484" s="19"/>
      <c r="AP2484" s="19"/>
      <c r="AQ2484" s="19"/>
      <c r="AR2484" s="19"/>
      <c r="AS2484" s="20" t="str">
        <f aca="false">HYPERLINK("http://www.openstreetmap.org/?mlat=32.0369&amp;mlon=44.3188&amp;zoom=12#map=12/32.0369/44.3188","Maplink1")</f>
        <v>Maplink1</v>
      </c>
      <c r="AT2484" s="20" t="str">
        <f aca="false">HYPERLINK("https://www.google.iq/maps/search/+32.0369,44.3188/@32.0369,44.3188,14z?hl=en","Maplink2")</f>
        <v>Maplink2</v>
      </c>
      <c r="AU2484" s="20" t="str">
        <f aca="false">HYPERLINK("http://www.bing.com/maps/?lvl=14&amp;sty=h&amp;cp=32.0369~44.3188&amp;sp=point.32.0369_44.3188","Maplink3")</f>
        <v>Maplink3</v>
      </c>
    </row>
    <row r="2485" customFormat="false" ht="15" hidden="false" customHeight="true" outlineLevel="0" collapsed="false">
      <c r="A2485" s="15" t="n">
        <v>20098</v>
      </c>
      <c r="B2485" s="16" t="s">
        <v>26</v>
      </c>
      <c r="C2485" s="16" t="s">
        <v>26</v>
      </c>
      <c r="D2485" s="16" t="s">
        <v>4798</v>
      </c>
      <c r="E2485" s="17" t="s">
        <v>4799</v>
      </c>
      <c r="F2485" s="16" t="n">
        <v>32.04567</v>
      </c>
      <c r="G2485" s="16" t="n">
        <v>44.31105</v>
      </c>
      <c r="H2485" s="18" t="n">
        <v>10</v>
      </c>
      <c r="I2485" s="18" t="n">
        <v>60</v>
      </c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 t="n">
        <v>10</v>
      </c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9"/>
      <c r="AH2485" s="19" t="n">
        <v>3</v>
      </c>
      <c r="AI2485" s="19" t="n">
        <v>7</v>
      </c>
      <c r="AJ2485" s="19"/>
      <c r="AK2485" s="19"/>
      <c r="AL2485" s="19"/>
      <c r="AM2485" s="19"/>
      <c r="AN2485" s="19" t="n">
        <v>7</v>
      </c>
      <c r="AO2485" s="19" t="n">
        <v>3</v>
      </c>
      <c r="AP2485" s="19"/>
      <c r="AQ2485" s="19"/>
      <c r="AR2485" s="19"/>
      <c r="AS2485" s="20" t="str">
        <f aca="false">HYPERLINK("http://www.openstreetmap.org/?mlat=32.0457&amp;mlon=44.3111&amp;zoom=12#map=12/32.0457/44.3111","Maplink1")</f>
        <v>Maplink1</v>
      </c>
      <c r="AT2485" s="20" t="str">
        <f aca="false">HYPERLINK("https://www.google.iq/maps/search/+32.0457,44.3111/@32.0457,44.3111,14z?hl=en","Maplink2")</f>
        <v>Maplink2</v>
      </c>
      <c r="AU2485" s="20" t="str">
        <f aca="false">HYPERLINK("http://www.bing.com/maps/?lvl=14&amp;sty=h&amp;cp=32.0457~44.3111&amp;sp=point.32.0457_44.3111","Maplink3")</f>
        <v>Maplink3</v>
      </c>
    </row>
    <row r="2486" customFormat="false" ht="15" hidden="false" customHeight="true" outlineLevel="0" collapsed="false">
      <c r="A2486" s="15" t="n">
        <v>20090</v>
      </c>
      <c r="B2486" s="16" t="s">
        <v>26</v>
      </c>
      <c r="C2486" s="16" t="s">
        <v>26</v>
      </c>
      <c r="D2486" s="16" t="s">
        <v>4800</v>
      </c>
      <c r="E2486" s="17" t="s">
        <v>4801</v>
      </c>
      <c r="F2486" s="16" t="n">
        <v>32.02945</v>
      </c>
      <c r="G2486" s="16" t="n">
        <v>44.31326</v>
      </c>
      <c r="H2486" s="18" t="n">
        <v>36</v>
      </c>
      <c r="I2486" s="18" t="n">
        <v>216</v>
      </c>
      <c r="J2486" s="19" t="n">
        <v>2</v>
      </c>
      <c r="K2486" s="19"/>
      <c r="L2486" s="19"/>
      <c r="M2486" s="19"/>
      <c r="N2486" s="19"/>
      <c r="O2486" s="19" t="n">
        <v>1</v>
      </c>
      <c r="P2486" s="19"/>
      <c r="Q2486" s="19"/>
      <c r="R2486" s="19"/>
      <c r="S2486" s="19"/>
      <c r="T2486" s="19"/>
      <c r="U2486" s="19"/>
      <c r="V2486" s="19" t="n">
        <v>33</v>
      </c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9"/>
      <c r="AH2486" s="19" t="n">
        <v>36</v>
      </c>
      <c r="AI2486" s="19"/>
      <c r="AJ2486" s="19"/>
      <c r="AK2486" s="19"/>
      <c r="AL2486" s="19"/>
      <c r="AM2486" s="19" t="n">
        <v>33</v>
      </c>
      <c r="AN2486" s="19" t="n">
        <v>3</v>
      </c>
      <c r="AO2486" s="19"/>
      <c r="AP2486" s="19"/>
      <c r="AQ2486" s="19"/>
      <c r="AR2486" s="19"/>
      <c r="AS2486" s="20" t="str">
        <f aca="false">HYPERLINK("http://www.openstreetmap.org/?mlat=32.0294&amp;mlon=44.3133&amp;zoom=12#map=12/32.0294/44.3133","Maplink1")</f>
        <v>Maplink1</v>
      </c>
      <c r="AT2486" s="20" t="str">
        <f aca="false">HYPERLINK("https://www.google.iq/maps/search/+32.0294,44.3133/@32.0294,44.3133,14z?hl=en","Maplink2")</f>
        <v>Maplink2</v>
      </c>
      <c r="AU2486" s="20" t="str">
        <f aca="false">HYPERLINK("http://www.bing.com/maps/?lvl=14&amp;sty=h&amp;cp=32.0294~44.3133&amp;sp=point.32.0294_44.3133","Maplink3")</f>
        <v>Maplink3</v>
      </c>
    </row>
    <row r="2487" customFormat="false" ht="15" hidden="false" customHeight="true" outlineLevel="0" collapsed="false">
      <c r="A2487" s="15" t="n">
        <v>20085</v>
      </c>
      <c r="B2487" s="16" t="s">
        <v>26</v>
      </c>
      <c r="C2487" s="16" t="s">
        <v>26</v>
      </c>
      <c r="D2487" s="16" t="s">
        <v>4802</v>
      </c>
      <c r="E2487" s="17" t="s">
        <v>4803</v>
      </c>
      <c r="F2487" s="16" t="n">
        <v>32.03866</v>
      </c>
      <c r="G2487" s="16" t="n">
        <v>44.31773</v>
      </c>
      <c r="H2487" s="18" t="n">
        <v>22</v>
      </c>
      <c r="I2487" s="18" t="n">
        <v>132</v>
      </c>
      <c r="J2487" s="19" t="n">
        <v>7</v>
      </c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 t="n">
        <v>15</v>
      </c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9"/>
      <c r="AH2487" s="19" t="n">
        <v>22</v>
      </c>
      <c r="AI2487" s="19"/>
      <c r="AJ2487" s="19"/>
      <c r="AK2487" s="19"/>
      <c r="AL2487" s="19"/>
      <c r="AM2487" s="19" t="n">
        <v>6</v>
      </c>
      <c r="AN2487" s="19" t="n">
        <v>12</v>
      </c>
      <c r="AO2487" s="19"/>
      <c r="AP2487" s="19" t="n">
        <v>4</v>
      </c>
      <c r="AQ2487" s="19"/>
      <c r="AR2487" s="19"/>
      <c r="AS2487" s="20" t="str">
        <f aca="false">HYPERLINK("http://www.openstreetmap.org/?mlat=32.0387&amp;mlon=44.3177&amp;zoom=12#map=12/32.0387/44.3177","Maplink1")</f>
        <v>Maplink1</v>
      </c>
      <c r="AT2487" s="20" t="str">
        <f aca="false">HYPERLINK("https://www.google.iq/maps/search/+32.0387,44.3177/@32.0387,44.3177,14z?hl=en","Maplink2")</f>
        <v>Maplink2</v>
      </c>
      <c r="AU2487" s="20" t="str">
        <f aca="false">HYPERLINK("http://www.bing.com/maps/?lvl=14&amp;sty=h&amp;cp=32.0387~44.3177&amp;sp=point.32.0387_44.3177","Maplink3")</f>
        <v>Maplink3</v>
      </c>
    </row>
    <row r="2488" customFormat="false" ht="15" hidden="false" customHeight="true" outlineLevel="0" collapsed="false">
      <c r="A2488" s="15" t="n">
        <v>20073</v>
      </c>
      <c r="B2488" s="16" t="s">
        <v>26</v>
      </c>
      <c r="C2488" s="16" t="s">
        <v>26</v>
      </c>
      <c r="D2488" s="16" t="s">
        <v>4804</v>
      </c>
      <c r="E2488" s="17" t="s">
        <v>4805</v>
      </c>
      <c r="F2488" s="16" t="n">
        <v>32.04638</v>
      </c>
      <c r="G2488" s="16" t="n">
        <v>44.31637</v>
      </c>
      <c r="H2488" s="18" t="n">
        <v>30</v>
      </c>
      <c r="I2488" s="18" t="n">
        <v>180</v>
      </c>
      <c r="J2488" s="19" t="n">
        <v>10</v>
      </c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 t="n">
        <v>20</v>
      </c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9"/>
      <c r="AH2488" s="19" t="n">
        <v>30</v>
      </c>
      <c r="AI2488" s="19"/>
      <c r="AJ2488" s="19"/>
      <c r="AK2488" s="19"/>
      <c r="AL2488" s="19"/>
      <c r="AM2488" s="19" t="n">
        <v>20</v>
      </c>
      <c r="AN2488" s="19"/>
      <c r="AO2488" s="19"/>
      <c r="AP2488" s="19" t="n">
        <v>10</v>
      </c>
      <c r="AQ2488" s="19"/>
      <c r="AR2488" s="19"/>
      <c r="AS2488" s="20" t="str">
        <f aca="false">HYPERLINK("http://www.openstreetmap.org/?mlat=32.0464&amp;mlon=44.3164&amp;zoom=12#map=12/32.0464/44.3164","Maplink1")</f>
        <v>Maplink1</v>
      </c>
      <c r="AT2488" s="20" t="str">
        <f aca="false">HYPERLINK("https://www.google.iq/maps/search/+32.0464,44.3164/@32.0464,44.3164,14z?hl=en","Maplink2")</f>
        <v>Maplink2</v>
      </c>
      <c r="AU2488" s="20" t="str">
        <f aca="false">HYPERLINK("http://www.bing.com/maps/?lvl=14&amp;sty=h&amp;cp=32.0464~44.3164&amp;sp=point.32.0464_44.3164","Maplink3")</f>
        <v>Maplink3</v>
      </c>
    </row>
    <row r="2489" customFormat="false" ht="15" hidden="false" customHeight="true" outlineLevel="0" collapsed="false">
      <c r="A2489" s="15" t="n">
        <v>20084</v>
      </c>
      <c r="B2489" s="16" t="s">
        <v>26</v>
      </c>
      <c r="C2489" s="16" t="s">
        <v>26</v>
      </c>
      <c r="D2489" s="16" t="s">
        <v>4806</v>
      </c>
      <c r="E2489" s="17" t="s">
        <v>4807</v>
      </c>
      <c r="F2489" s="16" t="n">
        <v>32.033</v>
      </c>
      <c r="G2489" s="16" t="n">
        <v>44.31511</v>
      </c>
      <c r="H2489" s="18" t="n">
        <v>19</v>
      </c>
      <c r="I2489" s="18" t="n">
        <v>114</v>
      </c>
      <c r="J2489" s="19" t="n">
        <v>1</v>
      </c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 t="n">
        <v>18</v>
      </c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9"/>
      <c r="AH2489" s="19" t="n">
        <v>19</v>
      </c>
      <c r="AI2489" s="19"/>
      <c r="AJ2489" s="19"/>
      <c r="AK2489" s="19"/>
      <c r="AL2489" s="19"/>
      <c r="AM2489" s="19"/>
      <c r="AN2489" s="19" t="n">
        <v>7</v>
      </c>
      <c r="AO2489" s="19" t="n">
        <v>12</v>
      </c>
      <c r="AP2489" s="19"/>
      <c r="AQ2489" s="19"/>
      <c r="AR2489" s="19"/>
      <c r="AS2489" s="20" t="str">
        <f aca="false">HYPERLINK("http://www.openstreetmap.org/?mlat=32.033&amp;mlon=44.3151&amp;zoom=12#map=12/32.033/44.3151","Maplink1")</f>
        <v>Maplink1</v>
      </c>
      <c r="AT2489" s="20" t="str">
        <f aca="false">HYPERLINK("https://www.google.iq/maps/search/+32.033,44.3151/@32.033,44.3151,14z?hl=en","Maplink2")</f>
        <v>Maplink2</v>
      </c>
      <c r="AU2489" s="20" t="str">
        <f aca="false">HYPERLINK("http://www.bing.com/maps/?lvl=14&amp;sty=h&amp;cp=32.033~44.3151&amp;sp=point.32.033_44.3151","Maplink3")</f>
        <v>Maplink3</v>
      </c>
    </row>
    <row r="2490" customFormat="false" ht="15" hidden="false" customHeight="true" outlineLevel="0" collapsed="false">
      <c r="A2490" s="15" t="n">
        <v>29623</v>
      </c>
      <c r="B2490" s="16" t="s">
        <v>26</v>
      </c>
      <c r="C2490" s="16" t="s">
        <v>26</v>
      </c>
      <c r="D2490" s="16" t="s">
        <v>4808</v>
      </c>
      <c r="E2490" s="17" t="s">
        <v>4809</v>
      </c>
      <c r="F2490" s="16" t="n">
        <v>32.157507</v>
      </c>
      <c r="G2490" s="16" t="n">
        <v>44.318943</v>
      </c>
      <c r="H2490" s="18" t="n">
        <v>3101</v>
      </c>
      <c r="I2490" s="18" t="n">
        <v>18606</v>
      </c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 t="n">
        <v>3101</v>
      </c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9" t="n">
        <v>3101</v>
      </c>
      <c r="AH2490" s="19"/>
      <c r="AI2490" s="19"/>
      <c r="AJ2490" s="19"/>
      <c r="AK2490" s="19"/>
      <c r="AL2490" s="19"/>
      <c r="AM2490" s="19" t="n">
        <v>2800</v>
      </c>
      <c r="AN2490" s="19" t="n">
        <v>301</v>
      </c>
      <c r="AO2490" s="19"/>
      <c r="AP2490" s="19"/>
      <c r="AQ2490" s="19"/>
      <c r="AR2490" s="19"/>
      <c r="AS2490" s="20" t="str">
        <f aca="false">HYPERLINK("http://www.openstreetmap.org/?mlat=32.1575&amp;mlon=44.3189&amp;zoom=12#map=12/32.1575/44.3189","Maplink1")</f>
        <v>Maplink1</v>
      </c>
      <c r="AT2490" s="20" t="str">
        <f aca="false">HYPERLINK("https://www.google.iq/maps/search/+32.1575,44.3189/@32.1575,44.3189,14z?hl=en","Maplink2")</f>
        <v>Maplink2</v>
      </c>
      <c r="AU2490" s="20" t="str">
        <f aca="false">HYPERLINK("http://www.bing.com/maps/?lvl=14&amp;sty=h&amp;cp=32.1575~44.3189&amp;sp=point.32.1575_44.3189","Maplink3")</f>
        <v>Maplink3</v>
      </c>
    </row>
    <row r="2491" customFormat="false" ht="15" hidden="false" customHeight="true" outlineLevel="0" collapsed="false">
      <c r="A2491" s="15" t="n">
        <v>29619</v>
      </c>
      <c r="B2491" s="16" t="s">
        <v>26</v>
      </c>
      <c r="C2491" s="16" t="s">
        <v>26</v>
      </c>
      <c r="D2491" s="16" t="s">
        <v>4810</v>
      </c>
      <c r="E2491" s="17" t="s">
        <v>4811</v>
      </c>
      <c r="F2491" s="16" t="n">
        <v>32.260981</v>
      </c>
      <c r="G2491" s="16" t="n">
        <v>44.284088</v>
      </c>
      <c r="H2491" s="18" t="n">
        <v>800</v>
      </c>
      <c r="I2491" s="18" t="n">
        <v>4800</v>
      </c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 t="n">
        <v>800</v>
      </c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9" t="n">
        <v>790</v>
      </c>
      <c r="AH2491" s="19" t="n">
        <v>10</v>
      </c>
      <c r="AI2491" s="19"/>
      <c r="AJ2491" s="19"/>
      <c r="AK2491" s="19"/>
      <c r="AL2491" s="19"/>
      <c r="AM2491" s="19" t="n">
        <v>800</v>
      </c>
      <c r="AN2491" s="19"/>
      <c r="AO2491" s="19"/>
      <c r="AP2491" s="19"/>
      <c r="AQ2491" s="19"/>
      <c r="AR2491" s="19"/>
      <c r="AS2491" s="20" t="str">
        <f aca="false">HYPERLINK("http://www.openstreetmap.org/?mlat=32.261&amp;mlon=44.2841&amp;zoom=12#map=12/32.261/44.2841","Maplink1")</f>
        <v>Maplink1</v>
      </c>
      <c r="AT2491" s="20" t="str">
        <f aca="false">HYPERLINK("https://www.google.iq/maps/search/+32.261,44.2841/@32.261,44.2841,14z?hl=en","Maplink2")</f>
        <v>Maplink2</v>
      </c>
      <c r="AU2491" s="20" t="str">
        <f aca="false">HYPERLINK("http://www.bing.com/maps/?lvl=14&amp;sty=h&amp;cp=32.261~44.2841&amp;sp=point.32.261_44.2841","Maplink3")</f>
        <v>Maplink3</v>
      </c>
    </row>
    <row r="2492" customFormat="false" ht="15" hidden="false" customHeight="true" outlineLevel="0" collapsed="false">
      <c r="A2492" s="15" t="n">
        <v>25977</v>
      </c>
      <c r="B2492" s="16" t="s">
        <v>26</v>
      </c>
      <c r="C2492" s="16" t="s">
        <v>26</v>
      </c>
      <c r="D2492" s="16" t="s">
        <v>4812</v>
      </c>
      <c r="E2492" s="17" t="s">
        <v>4813</v>
      </c>
      <c r="F2492" s="16" t="n">
        <v>32.062662</v>
      </c>
      <c r="G2492" s="16" t="n">
        <v>44.31177</v>
      </c>
      <c r="H2492" s="18" t="n">
        <v>6</v>
      </c>
      <c r="I2492" s="18" t="n">
        <v>36</v>
      </c>
      <c r="J2492" s="19" t="n">
        <v>1</v>
      </c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 t="n">
        <v>5</v>
      </c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9"/>
      <c r="AH2492" s="19" t="n">
        <v>6</v>
      </c>
      <c r="AI2492" s="19"/>
      <c r="AJ2492" s="19"/>
      <c r="AK2492" s="19"/>
      <c r="AL2492" s="19"/>
      <c r="AM2492" s="19" t="n">
        <v>5</v>
      </c>
      <c r="AN2492" s="19"/>
      <c r="AO2492" s="19"/>
      <c r="AP2492" s="19" t="n">
        <v>1</v>
      </c>
      <c r="AQ2492" s="19"/>
      <c r="AR2492" s="19"/>
      <c r="AS2492" s="20" t="str">
        <f aca="false">HYPERLINK("http://www.openstreetmap.org/?mlat=32.0627&amp;mlon=44.3118&amp;zoom=12#map=12/32.0627/44.3118","Maplink1")</f>
        <v>Maplink1</v>
      </c>
      <c r="AT2492" s="20" t="str">
        <f aca="false">HYPERLINK("https://www.google.iq/maps/search/+32.0627,44.3118/@32.0627,44.3118,14z?hl=en","Maplink2")</f>
        <v>Maplink2</v>
      </c>
      <c r="AU2492" s="20" t="str">
        <f aca="false">HYPERLINK("http://www.bing.com/maps/?lvl=14&amp;sty=h&amp;cp=32.0627~44.3118&amp;sp=point.32.0627_44.3118","Maplink3")</f>
        <v>Maplink3</v>
      </c>
    </row>
    <row r="2493" customFormat="false" ht="15" hidden="false" customHeight="true" outlineLevel="0" collapsed="false">
      <c r="A2493" s="15" t="n">
        <v>20341</v>
      </c>
      <c r="B2493" s="16" t="s">
        <v>26</v>
      </c>
      <c r="C2493" s="16" t="s">
        <v>26</v>
      </c>
      <c r="D2493" s="16" t="s">
        <v>4814</v>
      </c>
      <c r="E2493" s="17" t="s">
        <v>4815</v>
      </c>
      <c r="F2493" s="16" t="n">
        <v>32.286173</v>
      </c>
      <c r="G2493" s="16" t="n">
        <v>44.279332</v>
      </c>
      <c r="H2493" s="18" t="n">
        <v>225</v>
      </c>
      <c r="I2493" s="18" t="n">
        <v>1350</v>
      </c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 t="n">
        <v>225</v>
      </c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9" t="n">
        <v>225</v>
      </c>
      <c r="AH2493" s="19"/>
      <c r="AI2493" s="19"/>
      <c r="AJ2493" s="19"/>
      <c r="AK2493" s="19"/>
      <c r="AL2493" s="19"/>
      <c r="AM2493" s="19" t="n">
        <v>225</v>
      </c>
      <c r="AN2493" s="19"/>
      <c r="AO2493" s="19"/>
      <c r="AP2493" s="19"/>
      <c r="AQ2493" s="19"/>
      <c r="AR2493" s="19"/>
      <c r="AS2493" s="20" t="str">
        <f aca="false">HYPERLINK("http://www.openstreetmap.org/?mlat=32.2862&amp;mlon=44.2793&amp;zoom=12#map=12/32.2862/44.2793","Maplink1")</f>
        <v>Maplink1</v>
      </c>
      <c r="AT2493" s="20" t="str">
        <f aca="false">HYPERLINK("https://www.google.iq/maps/search/+32.2862,44.2793/@32.2862,44.2793,14z?hl=en","Maplink2")</f>
        <v>Maplink2</v>
      </c>
      <c r="AU2493" s="20" t="str">
        <f aca="false">HYPERLINK("http://www.bing.com/maps/?lvl=14&amp;sty=h&amp;cp=32.2862~44.2793&amp;sp=point.32.2862_44.2793","Maplink3")</f>
        <v>Maplink3</v>
      </c>
    </row>
    <row r="2494" customFormat="false" ht="15" hidden="false" customHeight="true" outlineLevel="0" collapsed="false">
      <c r="A2494" s="15" t="n">
        <v>23747</v>
      </c>
      <c r="B2494" s="16" t="s">
        <v>26</v>
      </c>
      <c r="C2494" s="16" t="s">
        <v>26</v>
      </c>
      <c r="D2494" s="16" t="s">
        <v>4816</v>
      </c>
      <c r="E2494" s="17" t="s">
        <v>4817</v>
      </c>
      <c r="F2494" s="16" t="n">
        <v>32.05556</v>
      </c>
      <c r="G2494" s="16" t="n">
        <v>44.31323</v>
      </c>
      <c r="H2494" s="18" t="n">
        <v>55</v>
      </c>
      <c r="I2494" s="18" t="n">
        <v>330</v>
      </c>
      <c r="J2494" s="19" t="n">
        <v>12</v>
      </c>
      <c r="K2494" s="19"/>
      <c r="L2494" s="19"/>
      <c r="M2494" s="19"/>
      <c r="N2494" s="19"/>
      <c r="O2494" s="19"/>
      <c r="P2494" s="19"/>
      <c r="Q2494" s="19"/>
      <c r="R2494" s="19" t="n">
        <v>3</v>
      </c>
      <c r="S2494" s="19"/>
      <c r="T2494" s="19"/>
      <c r="U2494" s="19"/>
      <c r="V2494" s="19" t="n">
        <v>40</v>
      </c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 t="n">
        <v>55</v>
      </c>
      <c r="AI2494" s="19"/>
      <c r="AJ2494" s="19"/>
      <c r="AK2494" s="19"/>
      <c r="AL2494" s="19" t="n">
        <v>40</v>
      </c>
      <c r="AM2494" s="19"/>
      <c r="AN2494" s="19"/>
      <c r="AO2494" s="19" t="n">
        <v>3</v>
      </c>
      <c r="AP2494" s="19" t="n">
        <v>12</v>
      </c>
      <c r="AQ2494" s="19"/>
      <c r="AR2494" s="19"/>
      <c r="AS2494" s="20" t="str">
        <f aca="false">HYPERLINK("http://www.openstreetmap.org/?mlat=32.0556&amp;mlon=44.3132&amp;zoom=12#map=12/32.0556/44.3132","Maplink1")</f>
        <v>Maplink1</v>
      </c>
      <c r="AT2494" s="20" t="str">
        <f aca="false">HYPERLINK("https://www.google.iq/maps/search/+32.0556,44.3132/@32.0556,44.3132,14z?hl=en","Maplink2")</f>
        <v>Maplink2</v>
      </c>
      <c r="AU2494" s="20" t="str">
        <f aca="false">HYPERLINK("http://www.bing.com/maps/?lvl=14&amp;sty=h&amp;cp=32.0556~44.3132&amp;sp=point.32.0556_44.3132","Maplink3")</f>
        <v>Maplink3</v>
      </c>
    </row>
    <row r="2495" customFormat="false" ht="15" hidden="false" customHeight="true" outlineLevel="0" collapsed="false">
      <c r="A2495" s="15" t="n">
        <v>20128</v>
      </c>
      <c r="B2495" s="16" t="s">
        <v>26</v>
      </c>
      <c r="C2495" s="16" t="s">
        <v>26</v>
      </c>
      <c r="D2495" s="16" t="s">
        <v>4818</v>
      </c>
      <c r="E2495" s="17" t="s">
        <v>4819</v>
      </c>
      <c r="F2495" s="16" t="n">
        <v>32.04838</v>
      </c>
      <c r="G2495" s="16" t="n">
        <v>44.31314</v>
      </c>
      <c r="H2495" s="18" t="n">
        <v>80</v>
      </c>
      <c r="I2495" s="18" t="n">
        <v>480</v>
      </c>
      <c r="J2495" s="19" t="n">
        <v>4</v>
      </c>
      <c r="K2495" s="19"/>
      <c r="L2495" s="19"/>
      <c r="M2495" s="19"/>
      <c r="N2495" s="19"/>
      <c r="O2495" s="19" t="n">
        <v>1</v>
      </c>
      <c r="P2495" s="19"/>
      <c r="Q2495" s="19"/>
      <c r="R2495" s="19"/>
      <c r="S2495" s="19"/>
      <c r="T2495" s="19"/>
      <c r="U2495" s="19"/>
      <c r="V2495" s="19" t="n">
        <v>75</v>
      </c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 t="n">
        <v>80</v>
      </c>
      <c r="AI2495" s="19"/>
      <c r="AJ2495" s="19"/>
      <c r="AK2495" s="19"/>
      <c r="AL2495" s="19"/>
      <c r="AM2495" s="19"/>
      <c r="AN2495" s="19" t="n">
        <v>75</v>
      </c>
      <c r="AO2495" s="19" t="n">
        <v>5</v>
      </c>
      <c r="AP2495" s="19"/>
      <c r="AQ2495" s="19"/>
      <c r="AR2495" s="19"/>
      <c r="AS2495" s="20" t="str">
        <f aca="false">HYPERLINK("http://www.openstreetmap.org/?mlat=32.0484&amp;mlon=44.3131&amp;zoom=12#map=12/32.0484/44.3131","Maplink1")</f>
        <v>Maplink1</v>
      </c>
      <c r="AT2495" s="20" t="str">
        <f aca="false">HYPERLINK("https://www.google.iq/maps/search/+32.0484,44.3131/@32.0484,44.3131,14z?hl=en","Maplink2")</f>
        <v>Maplink2</v>
      </c>
      <c r="AU2495" s="20" t="str">
        <f aca="false">HYPERLINK("http://www.bing.com/maps/?lvl=14&amp;sty=h&amp;cp=32.0484~44.3131&amp;sp=point.32.0484_44.3131","Maplink3")</f>
        <v>Maplink3</v>
      </c>
    </row>
    <row r="2496" customFormat="false" ht="15" hidden="false" customHeight="true" outlineLevel="0" collapsed="false">
      <c r="A2496" s="15" t="n">
        <v>23748</v>
      </c>
      <c r="B2496" s="16" t="s">
        <v>26</v>
      </c>
      <c r="C2496" s="16" t="s">
        <v>26</v>
      </c>
      <c r="D2496" s="16" t="s">
        <v>4820</v>
      </c>
      <c r="E2496" s="17" t="s">
        <v>4821</v>
      </c>
      <c r="F2496" s="16" t="n">
        <v>32.04224</v>
      </c>
      <c r="G2496" s="16" t="n">
        <v>44.32457</v>
      </c>
      <c r="H2496" s="18" t="n">
        <v>54</v>
      </c>
      <c r="I2496" s="18" t="n">
        <v>324</v>
      </c>
      <c r="J2496" s="19" t="n">
        <v>2</v>
      </c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 t="n">
        <v>52</v>
      </c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 t="n">
        <v>54</v>
      </c>
      <c r="AI2496" s="19"/>
      <c r="AJ2496" s="19"/>
      <c r="AK2496" s="19"/>
      <c r="AL2496" s="19" t="n">
        <v>2</v>
      </c>
      <c r="AM2496" s="19" t="n">
        <v>36</v>
      </c>
      <c r="AN2496" s="19"/>
      <c r="AO2496" s="19" t="n">
        <v>16</v>
      </c>
      <c r="AP2496" s="19"/>
      <c r="AQ2496" s="19"/>
      <c r="AR2496" s="19"/>
      <c r="AS2496" s="20" t="str">
        <f aca="false">HYPERLINK("http://www.openstreetmap.org/?mlat=32.0422&amp;mlon=44.3246&amp;zoom=12#map=12/32.0422/44.3246","Maplink1")</f>
        <v>Maplink1</v>
      </c>
      <c r="AT2496" s="20" t="str">
        <f aca="false">HYPERLINK("https://www.google.iq/maps/search/+32.0422,44.3246/@32.0422,44.3246,14z?hl=en","Maplink2")</f>
        <v>Maplink2</v>
      </c>
      <c r="AU2496" s="20" t="str">
        <f aca="false">HYPERLINK("http://www.bing.com/maps/?lvl=14&amp;sty=h&amp;cp=32.0422~44.3246&amp;sp=point.32.0422_44.3246","Maplink3")</f>
        <v>Maplink3</v>
      </c>
    </row>
    <row r="2497" customFormat="false" ht="15" hidden="false" customHeight="true" outlineLevel="0" collapsed="false">
      <c r="A2497" s="15" t="n">
        <v>21574</v>
      </c>
      <c r="B2497" s="16" t="s">
        <v>26</v>
      </c>
      <c r="C2497" s="16" t="s">
        <v>26</v>
      </c>
      <c r="D2497" s="16" t="s">
        <v>4822</v>
      </c>
      <c r="E2497" s="17" t="s">
        <v>4823</v>
      </c>
      <c r="F2497" s="16" t="n">
        <v>32.06471</v>
      </c>
      <c r="G2497" s="16" t="n">
        <v>44.32477</v>
      </c>
      <c r="H2497" s="18" t="n">
        <v>47</v>
      </c>
      <c r="I2497" s="18" t="n">
        <v>282</v>
      </c>
      <c r="J2497" s="19" t="n">
        <v>3</v>
      </c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 t="n">
        <v>44</v>
      </c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 t="n">
        <v>9</v>
      </c>
      <c r="AH2497" s="19" t="n">
        <v>38</v>
      </c>
      <c r="AI2497" s="19"/>
      <c r="AJ2497" s="19"/>
      <c r="AK2497" s="19"/>
      <c r="AL2497" s="19" t="n">
        <v>3</v>
      </c>
      <c r="AM2497" s="19" t="n">
        <v>44</v>
      </c>
      <c r="AN2497" s="19"/>
      <c r="AO2497" s="19"/>
      <c r="AP2497" s="19"/>
      <c r="AQ2497" s="19"/>
      <c r="AR2497" s="19"/>
      <c r="AS2497" s="20" t="str">
        <f aca="false">HYPERLINK("http://www.openstreetmap.org/?mlat=32.0647&amp;mlon=44.3248&amp;zoom=12#map=12/32.0647/44.3248","Maplink1")</f>
        <v>Maplink1</v>
      </c>
      <c r="AT2497" s="20" t="str">
        <f aca="false">HYPERLINK("https://www.google.iq/maps/search/+32.0647,44.3248/@32.0647,44.3248,14z?hl=en","Maplink2")</f>
        <v>Maplink2</v>
      </c>
      <c r="AU2497" s="20" t="str">
        <f aca="false">HYPERLINK("http://www.bing.com/maps/?lvl=14&amp;sty=h&amp;cp=32.0647~44.3248&amp;sp=point.32.0647_44.3248","Maplink3")</f>
        <v>Maplink3</v>
      </c>
    </row>
    <row r="2498" customFormat="false" ht="15" hidden="false" customHeight="true" outlineLevel="0" collapsed="false">
      <c r="A2498" s="15" t="n">
        <v>20141</v>
      </c>
      <c r="B2498" s="16" t="s">
        <v>26</v>
      </c>
      <c r="C2498" s="16" t="s">
        <v>26</v>
      </c>
      <c r="D2498" s="16" t="s">
        <v>4824</v>
      </c>
      <c r="E2498" s="17" t="s">
        <v>4825</v>
      </c>
      <c r="F2498" s="16" t="n">
        <v>32.0656</v>
      </c>
      <c r="G2498" s="16" t="n">
        <v>44.32752</v>
      </c>
      <c r="H2498" s="18" t="n">
        <v>17</v>
      </c>
      <c r="I2498" s="18" t="n">
        <v>102</v>
      </c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 t="n">
        <v>17</v>
      </c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9"/>
      <c r="AH2498" s="19" t="n">
        <v>17</v>
      </c>
      <c r="AI2498" s="19"/>
      <c r="AJ2498" s="19"/>
      <c r="AK2498" s="19"/>
      <c r="AL2498" s="19"/>
      <c r="AM2498" s="19"/>
      <c r="AN2498" s="19" t="n">
        <v>17</v>
      </c>
      <c r="AO2498" s="19"/>
      <c r="AP2498" s="19"/>
      <c r="AQ2498" s="19"/>
      <c r="AR2498" s="19"/>
      <c r="AS2498" s="20" t="str">
        <f aca="false">HYPERLINK("http://www.openstreetmap.org/?mlat=32.0656&amp;mlon=44.3275&amp;zoom=12#map=12/32.0656/44.3275","Maplink1")</f>
        <v>Maplink1</v>
      </c>
      <c r="AT2498" s="20" t="str">
        <f aca="false">HYPERLINK("https://www.google.iq/maps/search/+32.0656,44.3275/@32.0656,44.3275,14z?hl=en","Maplink2")</f>
        <v>Maplink2</v>
      </c>
      <c r="AU2498" s="20" t="str">
        <f aca="false">HYPERLINK("http://www.bing.com/maps/?lvl=14&amp;sty=h&amp;cp=32.0656~44.3275&amp;sp=point.32.0656_44.3275","Maplink3")</f>
        <v>Maplink3</v>
      </c>
    </row>
    <row r="2499" customFormat="false" ht="15" hidden="false" customHeight="true" outlineLevel="0" collapsed="false">
      <c r="A2499" s="15" t="n">
        <v>20137</v>
      </c>
      <c r="B2499" s="16" t="s">
        <v>26</v>
      </c>
      <c r="C2499" s="16" t="s">
        <v>26</v>
      </c>
      <c r="D2499" s="16" t="s">
        <v>4826</v>
      </c>
      <c r="E2499" s="17" t="s">
        <v>4827</v>
      </c>
      <c r="F2499" s="16" t="n">
        <v>32.06626</v>
      </c>
      <c r="G2499" s="16" t="n">
        <v>44.32982</v>
      </c>
      <c r="H2499" s="18" t="n">
        <v>22</v>
      </c>
      <c r="I2499" s="18" t="n">
        <v>132</v>
      </c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 t="n">
        <v>22</v>
      </c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9" t="n">
        <v>22</v>
      </c>
      <c r="AH2499" s="19"/>
      <c r="AI2499" s="19"/>
      <c r="AJ2499" s="19"/>
      <c r="AK2499" s="19"/>
      <c r="AL2499" s="19"/>
      <c r="AM2499" s="19"/>
      <c r="AN2499" s="19" t="n">
        <v>22</v>
      </c>
      <c r="AO2499" s="19"/>
      <c r="AP2499" s="19"/>
      <c r="AQ2499" s="19"/>
      <c r="AR2499" s="19"/>
      <c r="AS2499" s="20" t="str">
        <f aca="false">HYPERLINK("http://www.openstreetmap.org/?mlat=32.0663&amp;mlon=44.3298&amp;zoom=12#map=12/32.0663/44.3298","Maplink1")</f>
        <v>Maplink1</v>
      </c>
      <c r="AT2499" s="20" t="str">
        <f aca="false">HYPERLINK("https://www.google.iq/maps/search/+32.0663,44.3298/@32.0663,44.3298,14z?hl=en","Maplink2")</f>
        <v>Maplink2</v>
      </c>
      <c r="AU2499" s="20" t="str">
        <f aca="false">HYPERLINK("http://www.bing.com/maps/?lvl=14&amp;sty=h&amp;cp=32.0663~44.3298&amp;sp=point.32.0663_44.3298","Maplink3")</f>
        <v>Maplink3</v>
      </c>
    </row>
    <row r="2500" customFormat="false" ht="15" hidden="false" customHeight="true" outlineLevel="0" collapsed="false">
      <c r="A2500" s="15" t="n">
        <v>24429</v>
      </c>
      <c r="B2500" s="16" t="s">
        <v>26</v>
      </c>
      <c r="C2500" s="16" t="s">
        <v>26</v>
      </c>
      <c r="D2500" s="16" t="s">
        <v>4828</v>
      </c>
      <c r="E2500" s="17" t="s">
        <v>4829</v>
      </c>
      <c r="F2500" s="16" t="n">
        <v>32.0632</v>
      </c>
      <c r="G2500" s="16" t="n">
        <v>44.32819</v>
      </c>
      <c r="H2500" s="18" t="n">
        <v>70</v>
      </c>
      <c r="I2500" s="18" t="n">
        <v>420</v>
      </c>
      <c r="J2500" s="19" t="n">
        <v>6</v>
      </c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 t="n">
        <v>64</v>
      </c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9"/>
      <c r="AH2500" s="19" t="n">
        <v>69</v>
      </c>
      <c r="AI2500" s="19"/>
      <c r="AJ2500" s="19" t="n">
        <v>1</v>
      </c>
      <c r="AK2500" s="19"/>
      <c r="AL2500" s="19"/>
      <c r="AM2500" s="19"/>
      <c r="AN2500" s="19" t="n">
        <v>64</v>
      </c>
      <c r="AO2500" s="19" t="n">
        <v>6</v>
      </c>
      <c r="AP2500" s="19"/>
      <c r="AQ2500" s="19"/>
      <c r="AR2500" s="19"/>
      <c r="AS2500" s="20" t="str">
        <f aca="false">HYPERLINK("http://www.openstreetmap.org/?mlat=32.0632&amp;mlon=44.3282&amp;zoom=12#map=12/32.0632/44.3282","Maplink1")</f>
        <v>Maplink1</v>
      </c>
      <c r="AT2500" s="20" t="str">
        <f aca="false">HYPERLINK("https://www.google.iq/maps/search/+32.0632,44.3282/@32.0632,44.3282,14z?hl=en","Maplink2")</f>
        <v>Maplink2</v>
      </c>
      <c r="AU2500" s="20" t="str">
        <f aca="false">HYPERLINK("http://www.bing.com/maps/?lvl=14&amp;sty=h&amp;cp=32.0632~44.3282&amp;sp=point.32.0632_44.3282","Maplink3")</f>
        <v>Maplink3</v>
      </c>
    </row>
    <row r="2501" customFormat="false" ht="15" hidden="false" customHeight="true" outlineLevel="0" collapsed="false">
      <c r="A2501" s="15" t="n">
        <v>29658</v>
      </c>
      <c r="B2501" s="16" t="s">
        <v>26</v>
      </c>
      <c r="C2501" s="16" t="s">
        <v>26</v>
      </c>
      <c r="D2501" s="16" t="s">
        <v>4830</v>
      </c>
      <c r="E2501" s="17" t="s">
        <v>4831</v>
      </c>
      <c r="F2501" s="16" t="n">
        <v>32.0699</v>
      </c>
      <c r="G2501" s="16" t="n">
        <v>44.3235</v>
      </c>
      <c r="H2501" s="18" t="n">
        <v>151</v>
      </c>
      <c r="I2501" s="18" t="n">
        <v>906</v>
      </c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 t="n">
        <v>151</v>
      </c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9" t="n">
        <v>83</v>
      </c>
      <c r="AH2501" s="19" t="n">
        <v>68</v>
      </c>
      <c r="AI2501" s="19"/>
      <c r="AJ2501" s="19"/>
      <c r="AK2501" s="19"/>
      <c r="AL2501" s="19"/>
      <c r="AM2501" s="19" t="n">
        <v>98</v>
      </c>
      <c r="AN2501" s="19" t="n">
        <v>53</v>
      </c>
      <c r="AO2501" s="19"/>
      <c r="AP2501" s="19"/>
      <c r="AQ2501" s="19"/>
      <c r="AR2501" s="19"/>
      <c r="AS2501" s="20" t="str">
        <f aca="false">HYPERLINK("http://www.openstreetmap.org/?mlat=32.0699&amp;mlon=44.3235&amp;zoom=12#map=12/32.0699/44.3235","Maplink1")</f>
        <v>Maplink1</v>
      </c>
      <c r="AT2501" s="20" t="str">
        <f aca="false">HYPERLINK("https://www.google.iq/maps/search/+32.0699,44.3235/@32.0699,44.3235,14z?hl=en","Maplink2")</f>
        <v>Maplink2</v>
      </c>
      <c r="AU2501" s="20" t="str">
        <f aca="false">HYPERLINK("http://www.bing.com/maps/?lvl=14&amp;sty=h&amp;cp=32.0699~44.3235&amp;sp=point.32.0699_44.3235","Maplink3")</f>
        <v>Maplink3</v>
      </c>
    </row>
    <row r="2502" customFormat="false" ht="15" hidden="false" customHeight="true" outlineLevel="0" collapsed="false">
      <c r="A2502" s="15" t="n">
        <v>22937</v>
      </c>
      <c r="B2502" s="16" t="s">
        <v>26</v>
      </c>
      <c r="C2502" s="16" t="s">
        <v>26</v>
      </c>
      <c r="D2502" s="16" t="s">
        <v>4832</v>
      </c>
      <c r="E2502" s="17" t="s">
        <v>4833</v>
      </c>
      <c r="F2502" s="16" t="n">
        <v>32.04022</v>
      </c>
      <c r="G2502" s="16" t="n">
        <v>44.33631</v>
      </c>
      <c r="H2502" s="18" t="n">
        <v>5</v>
      </c>
      <c r="I2502" s="18" t="n">
        <v>30</v>
      </c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 t="n">
        <v>5</v>
      </c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9"/>
      <c r="AH2502" s="19" t="n">
        <v>5</v>
      </c>
      <c r="AI2502" s="19"/>
      <c r="AJ2502" s="19"/>
      <c r="AK2502" s="19"/>
      <c r="AL2502" s="19"/>
      <c r="AM2502" s="19"/>
      <c r="AN2502" s="19" t="n">
        <v>5</v>
      </c>
      <c r="AO2502" s="19"/>
      <c r="AP2502" s="19"/>
      <c r="AQ2502" s="19"/>
      <c r="AR2502" s="19"/>
      <c r="AS2502" s="20" t="str">
        <f aca="false">HYPERLINK("http://www.openstreetmap.org/?mlat=32.0402&amp;mlon=44.3363&amp;zoom=12#map=12/32.0402/44.3363","Maplink1")</f>
        <v>Maplink1</v>
      </c>
      <c r="AT2502" s="20" t="str">
        <f aca="false">HYPERLINK("https://www.google.iq/maps/search/+32.0402,44.3363/@32.0402,44.3363,14z?hl=en","Maplink2")</f>
        <v>Maplink2</v>
      </c>
      <c r="AU2502" s="20" t="str">
        <f aca="false">HYPERLINK("http://www.bing.com/maps/?lvl=14&amp;sty=h&amp;cp=32.0402~44.3363&amp;sp=point.32.0402_44.3363","Maplink3")</f>
        <v>Maplink3</v>
      </c>
    </row>
    <row r="2503" customFormat="false" ht="15" hidden="false" customHeight="true" outlineLevel="0" collapsed="false">
      <c r="A2503" s="15" t="n">
        <v>22938</v>
      </c>
      <c r="B2503" s="16" t="s">
        <v>26</v>
      </c>
      <c r="C2503" s="16" t="s">
        <v>26</v>
      </c>
      <c r="D2503" s="16" t="s">
        <v>4834</v>
      </c>
      <c r="E2503" s="17" t="s">
        <v>4835</v>
      </c>
      <c r="F2503" s="16" t="n">
        <v>32.04556</v>
      </c>
      <c r="G2503" s="16" t="n">
        <v>44.33692</v>
      </c>
      <c r="H2503" s="18" t="n">
        <v>22</v>
      </c>
      <c r="I2503" s="18" t="n">
        <v>132</v>
      </c>
      <c r="J2503" s="19" t="n">
        <v>5</v>
      </c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 t="n">
        <v>17</v>
      </c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9"/>
      <c r="AH2503" s="19" t="n">
        <v>22</v>
      </c>
      <c r="AI2503" s="19"/>
      <c r="AJ2503" s="19"/>
      <c r="AK2503" s="19"/>
      <c r="AL2503" s="19" t="n">
        <v>5</v>
      </c>
      <c r="AM2503" s="19"/>
      <c r="AN2503" s="19" t="n">
        <v>17</v>
      </c>
      <c r="AO2503" s="19"/>
      <c r="AP2503" s="19"/>
      <c r="AQ2503" s="19"/>
      <c r="AR2503" s="19"/>
      <c r="AS2503" s="20" t="str">
        <f aca="false">HYPERLINK("http://www.openstreetmap.org/?mlat=32.0456&amp;mlon=44.3369&amp;zoom=12#map=12/32.0456/44.3369","Maplink1")</f>
        <v>Maplink1</v>
      </c>
      <c r="AT2503" s="20" t="str">
        <f aca="false">HYPERLINK("https://www.google.iq/maps/search/+32.0456,44.3369/@32.0456,44.3369,14z?hl=en","Maplink2")</f>
        <v>Maplink2</v>
      </c>
      <c r="AU2503" s="20" t="str">
        <f aca="false">HYPERLINK("http://www.bing.com/maps/?lvl=14&amp;sty=h&amp;cp=32.0456~44.3369&amp;sp=point.32.0456_44.3369","Maplink3")</f>
        <v>Maplink3</v>
      </c>
    </row>
    <row r="2504" customFormat="false" ht="15" hidden="false" customHeight="true" outlineLevel="0" collapsed="false">
      <c r="A2504" s="15" t="n">
        <v>19976</v>
      </c>
      <c r="B2504" s="16" t="s">
        <v>26</v>
      </c>
      <c r="C2504" s="16" t="s">
        <v>26</v>
      </c>
      <c r="D2504" s="16" t="s">
        <v>4836</v>
      </c>
      <c r="E2504" s="17" t="s">
        <v>4837</v>
      </c>
      <c r="F2504" s="16" t="n">
        <v>31.99282</v>
      </c>
      <c r="G2504" s="16" t="n">
        <v>44.329703</v>
      </c>
      <c r="H2504" s="18" t="n">
        <v>94</v>
      </c>
      <c r="I2504" s="18" t="n">
        <v>564</v>
      </c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 t="n">
        <v>94</v>
      </c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9" t="n">
        <v>33</v>
      </c>
      <c r="AH2504" s="19" t="n">
        <v>61</v>
      </c>
      <c r="AI2504" s="19"/>
      <c r="AJ2504" s="19"/>
      <c r="AK2504" s="19"/>
      <c r="AL2504" s="19"/>
      <c r="AM2504" s="19" t="n">
        <v>94</v>
      </c>
      <c r="AN2504" s="19"/>
      <c r="AO2504" s="19"/>
      <c r="AP2504" s="19"/>
      <c r="AQ2504" s="19"/>
      <c r="AR2504" s="19"/>
      <c r="AS2504" s="20" t="str">
        <f aca="false">HYPERLINK("http://www.openstreetmap.org/?mlat=31.9928&amp;mlon=44.3297&amp;zoom=12#map=12/31.9928/44.3297","Maplink1")</f>
        <v>Maplink1</v>
      </c>
      <c r="AT2504" s="20" t="str">
        <f aca="false">HYPERLINK("https://www.google.iq/maps/search/+31.9928,44.3297/@31.9928,44.3297,14z?hl=en","Maplink2")</f>
        <v>Maplink2</v>
      </c>
      <c r="AU2504" s="20" t="str">
        <f aca="false">HYPERLINK("http://www.bing.com/maps/?lvl=14&amp;sty=h&amp;cp=31.9928~44.3297&amp;sp=point.31.9928_44.3297","Maplink3")</f>
        <v>Maplink3</v>
      </c>
    </row>
    <row r="2505" customFormat="false" ht="15" hidden="false" customHeight="true" outlineLevel="0" collapsed="false">
      <c r="A2505" s="15" t="n">
        <v>19968</v>
      </c>
      <c r="B2505" s="16" t="s">
        <v>26</v>
      </c>
      <c r="C2505" s="16" t="s">
        <v>26</v>
      </c>
      <c r="D2505" s="16" t="s">
        <v>4838</v>
      </c>
      <c r="E2505" s="17" t="s">
        <v>4839</v>
      </c>
      <c r="F2505" s="16" t="n">
        <v>31.9916</v>
      </c>
      <c r="G2505" s="16" t="n">
        <v>44.31936</v>
      </c>
      <c r="H2505" s="18" t="n">
        <v>39</v>
      </c>
      <c r="I2505" s="18" t="n">
        <v>234</v>
      </c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 t="n">
        <v>39</v>
      </c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9"/>
      <c r="AH2505" s="19" t="n">
        <v>39</v>
      </c>
      <c r="AI2505" s="19"/>
      <c r="AJ2505" s="19"/>
      <c r="AK2505" s="19"/>
      <c r="AL2505" s="19"/>
      <c r="AM2505" s="19" t="n">
        <v>39</v>
      </c>
      <c r="AN2505" s="19"/>
      <c r="AO2505" s="19"/>
      <c r="AP2505" s="19"/>
      <c r="AQ2505" s="19"/>
      <c r="AR2505" s="19"/>
      <c r="AS2505" s="20" t="str">
        <f aca="false">HYPERLINK("http://www.openstreetmap.org/?mlat=31.9916&amp;mlon=44.3194&amp;zoom=12#map=12/31.9916/44.3194","Maplink1")</f>
        <v>Maplink1</v>
      </c>
      <c r="AT2505" s="20" t="str">
        <f aca="false">HYPERLINK("https://www.google.iq/maps/search/+31.9916,44.3194/@31.9916,44.3194,14z?hl=en","Maplink2")</f>
        <v>Maplink2</v>
      </c>
      <c r="AU2505" s="20" t="str">
        <f aca="false">HYPERLINK("http://www.bing.com/maps/?lvl=14&amp;sty=h&amp;cp=31.9916~44.3194&amp;sp=point.31.9916_44.3194","Maplink3")</f>
        <v>Maplink3</v>
      </c>
    </row>
    <row r="2506" customFormat="false" ht="15" hidden="false" customHeight="true" outlineLevel="0" collapsed="false">
      <c r="A2506" s="15" t="n">
        <v>19965</v>
      </c>
      <c r="B2506" s="16" t="s">
        <v>26</v>
      </c>
      <c r="C2506" s="16" t="s">
        <v>26</v>
      </c>
      <c r="D2506" s="16" t="s">
        <v>4840</v>
      </c>
      <c r="E2506" s="17" t="s">
        <v>4841</v>
      </c>
      <c r="F2506" s="16" t="n">
        <v>31.99622</v>
      </c>
      <c r="G2506" s="16" t="n">
        <v>44.327005</v>
      </c>
      <c r="H2506" s="18" t="n">
        <v>62</v>
      </c>
      <c r="I2506" s="18" t="n">
        <v>372</v>
      </c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 t="n">
        <v>62</v>
      </c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9" t="n">
        <v>4</v>
      </c>
      <c r="AH2506" s="19" t="n">
        <v>58</v>
      </c>
      <c r="AI2506" s="19"/>
      <c r="AJ2506" s="19"/>
      <c r="AK2506" s="19"/>
      <c r="AL2506" s="19"/>
      <c r="AM2506" s="19" t="n">
        <v>62</v>
      </c>
      <c r="AN2506" s="19"/>
      <c r="AO2506" s="19"/>
      <c r="AP2506" s="19"/>
      <c r="AQ2506" s="19"/>
      <c r="AR2506" s="19"/>
      <c r="AS2506" s="20" t="str">
        <f aca="false">HYPERLINK("http://www.openstreetmap.org/?mlat=31.9962&amp;mlon=44.327&amp;zoom=12#map=12/31.9962/44.327","Maplink1")</f>
        <v>Maplink1</v>
      </c>
      <c r="AT2506" s="20" t="str">
        <f aca="false">HYPERLINK("https://www.google.iq/maps/search/+31.9962,44.327/@31.9962,44.327,14z?hl=en","Maplink2")</f>
        <v>Maplink2</v>
      </c>
      <c r="AU2506" s="20" t="str">
        <f aca="false">HYPERLINK("http://www.bing.com/maps/?lvl=14&amp;sty=h&amp;cp=31.9962~44.327&amp;sp=point.31.9962_44.327","Maplink3")</f>
        <v>Maplink3</v>
      </c>
    </row>
    <row r="2507" customFormat="false" ht="15" hidden="false" customHeight="true" outlineLevel="0" collapsed="false">
      <c r="A2507" s="15" t="n">
        <v>29622</v>
      </c>
      <c r="B2507" s="16" t="s">
        <v>26</v>
      </c>
      <c r="C2507" s="16" t="s">
        <v>26</v>
      </c>
      <c r="D2507" s="16" t="s">
        <v>4842</v>
      </c>
      <c r="E2507" s="17" t="s">
        <v>4843</v>
      </c>
      <c r="F2507" s="16" t="n">
        <v>32.128515</v>
      </c>
      <c r="G2507" s="16" t="n">
        <v>44.325381</v>
      </c>
      <c r="H2507" s="18" t="n">
        <v>549</v>
      </c>
      <c r="I2507" s="18" t="n">
        <v>3294</v>
      </c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 t="n">
        <v>549</v>
      </c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9" t="n">
        <v>549</v>
      </c>
      <c r="AH2507" s="19"/>
      <c r="AI2507" s="19"/>
      <c r="AJ2507" s="19"/>
      <c r="AK2507" s="19"/>
      <c r="AL2507" s="19"/>
      <c r="AM2507" s="19"/>
      <c r="AN2507" s="19" t="n">
        <v>549</v>
      </c>
      <c r="AO2507" s="19"/>
      <c r="AP2507" s="19"/>
      <c r="AQ2507" s="19"/>
      <c r="AR2507" s="19"/>
      <c r="AS2507" s="20" t="str">
        <f aca="false">HYPERLINK("http://www.openstreetmap.org/?mlat=32.1285&amp;mlon=44.3254&amp;zoom=12#map=12/32.1285/44.3254","Maplink1")</f>
        <v>Maplink1</v>
      </c>
      <c r="AT2507" s="20" t="str">
        <f aca="false">HYPERLINK("https://www.google.iq/maps/search/+32.1285,44.3254/@32.1285,44.3254,14z?hl=en","Maplink2")</f>
        <v>Maplink2</v>
      </c>
      <c r="AU2507" s="20" t="str">
        <f aca="false">HYPERLINK("http://www.bing.com/maps/?lvl=14&amp;sty=h&amp;cp=32.1285~44.3254&amp;sp=point.32.1285_44.3254","Maplink3")</f>
        <v>Maplink3</v>
      </c>
    </row>
    <row r="2508" customFormat="false" ht="15" hidden="false" customHeight="true" outlineLevel="0" collapsed="false">
      <c r="A2508" s="15" t="n">
        <v>20062</v>
      </c>
      <c r="B2508" s="16" t="s">
        <v>26</v>
      </c>
      <c r="C2508" s="16" t="s">
        <v>26</v>
      </c>
      <c r="D2508" s="16" t="s">
        <v>4844</v>
      </c>
      <c r="E2508" s="17" t="s">
        <v>4845</v>
      </c>
      <c r="F2508" s="16" t="n">
        <v>32.02571</v>
      </c>
      <c r="G2508" s="16" t="n">
        <v>44.3142</v>
      </c>
      <c r="H2508" s="18" t="n">
        <v>94</v>
      </c>
      <c r="I2508" s="18" t="n">
        <v>564</v>
      </c>
      <c r="J2508" s="19" t="n">
        <v>4</v>
      </c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 t="n">
        <v>90</v>
      </c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9" t="n">
        <v>46</v>
      </c>
      <c r="AH2508" s="19" t="n">
        <v>48</v>
      </c>
      <c r="AI2508" s="19"/>
      <c r="AJ2508" s="19"/>
      <c r="AK2508" s="19"/>
      <c r="AL2508" s="19"/>
      <c r="AM2508" s="19" t="n">
        <v>90</v>
      </c>
      <c r="AN2508" s="19"/>
      <c r="AO2508" s="19"/>
      <c r="AP2508" s="19" t="n">
        <v>4</v>
      </c>
      <c r="AQ2508" s="19"/>
      <c r="AR2508" s="19"/>
      <c r="AS2508" s="20" t="str">
        <f aca="false">HYPERLINK("http://www.openstreetmap.org/?mlat=32.0257&amp;mlon=44.3142&amp;zoom=12#map=12/32.0257/44.3142","Maplink1")</f>
        <v>Maplink1</v>
      </c>
      <c r="AT2508" s="20" t="str">
        <f aca="false">HYPERLINK("https://www.google.iq/maps/search/+32.0257,44.3142/@32.0257,44.3142,14z?hl=en","Maplink2")</f>
        <v>Maplink2</v>
      </c>
      <c r="AU2508" s="20" t="str">
        <f aca="false">HYPERLINK("http://www.bing.com/maps/?lvl=14&amp;sty=h&amp;cp=32.0257~44.3142&amp;sp=point.32.0257_44.3142","Maplink3")</f>
        <v>Maplink3</v>
      </c>
    </row>
    <row r="2509" customFormat="false" ht="15" hidden="false" customHeight="true" outlineLevel="0" collapsed="false">
      <c r="A2509" s="15" t="n">
        <v>25431</v>
      </c>
      <c r="B2509" s="16" t="s">
        <v>26</v>
      </c>
      <c r="C2509" s="16" t="s">
        <v>26</v>
      </c>
      <c r="D2509" s="16" t="s">
        <v>4846</v>
      </c>
      <c r="E2509" s="17" t="s">
        <v>547</v>
      </c>
      <c r="F2509" s="16" t="n">
        <v>31.890518</v>
      </c>
      <c r="G2509" s="16" t="n">
        <v>44.481598</v>
      </c>
      <c r="H2509" s="18" t="n">
        <v>202</v>
      </c>
      <c r="I2509" s="18" t="n">
        <v>1212</v>
      </c>
      <c r="J2509" s="19" t="n">
        <v>20</v>
      </c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 t="n">
        <v>182</v>
      </c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9" t="n">
        <v>82</v>
      </c>
      <c r="AH2509" s="19" t="n">
        <v>120</v>
      </c>
      <c r="AI2509" s="19"/>
      <c r="AJ2509" s="19"/>
      <c r="AK2509" s="19"/>
      <c r="AL2509" s="19" t="n">
        <v>20</v>
      </c>
      <c r="AM2509" s="19" t="n">
        <v>182</v>
      </c>
      <c r="AN2509" s="19"/>
      <c r="AO2509" s="19"/>
      <c r="AP2509" s="19"/>
      <c r="AQ2509" s="19"/>
      <c r="AR2509" s="19"/>
      <c r="AS2509" s="20" t="str">
        <f aca="false">HYPERLINK("http://www.openstreetmap.org/?mlat=31.8905&amp;mlon=44.4816&amp;zoom=12#map=12/31.8905/44.4816","Maplink1")</f>
        <v>Maplink1</v>
      </c>
      <c r="AT2509" s="20" t="str">
        <f aca="false">HYPERLINK("https://www.google.iq/maps/search/+31.8905,44.4816/@31.8905,44.4816,14z?hl=en","Maplink2")</f>
        <v>Maplink2</v>
      </c>
      <c r="AU2509" s="20" t="str">
        <f aca="false">HYPERLINK("http://www.bing.com/maps/?lvl=14&amp;sty=h&amp;cp=31.8905~44.4816&amp;sp=point.31.8905_44.4816","Maplink3")</f>
        <v>Maplink3</v>
      </c>
    </row>
    <row r="2510" customFormat="false" ht="15" hidden="false" customHeight="true" outlineLevel="0" collapsed="false">
      <c r="A2510" s="15" t="n">
        <v>20291</v>
      </c>
      <c r="B2510" s="16" t="s">
        <v>26</v>
      </c>
      <c r="C2510" s="16" t="s">
        <v>26</v>
      </c>
      <c r="D2510" s="16" t="s">
        <v>918</v>
      </c>
      <c r="E2510" s="17" t="s">
        <v>572</v>
      </c>
      <c r="F2510" s="16" t="n">
        <v>32.01025</v>
      </c>
      <c r="G2510" s="16" t="n">
        <v>44.3339</v>
      </c>
      <c r="H2510" s="18" t="n">
        <v>8</v>
      </c>
      <c r="I2510" s="18" t="n">
        <v>48</v>
      </c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 t="n">
        <v>8</v>
      </c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9"/>
      <c r="AH2510" s="19" t="n">
        <v>8</v>
      </c>
      <c r="AI2510" s="19"/>
      <c r="AJ2510" s="19"/>
      <c r="AK2510" s="19"/>
      <c r="AL2510" s="19"/>
      <c r="AM2510" s="19" t="n">
        <v>8</v>
      </c>
      <c r="AN2510" s="19"/>
      <c r="AO2510" s="19"/>
      <c r="AP2510" s="19"/>
      <c r="AQ2510" s="19"/>
      <c r="AR2510" s="19"/>
      <c r="AS2510" s="20" t="str">
        <f aca="false">HYPERLINK("http://www.openstreetmap.org/?mlat=32.0102&amp;mlon=44.3339&amp;zoom=12#map=12/32.0102/44.3339","Maplink1")</f>
        <v>Maplink1</v>
      </c>
      <c r="AT2510" s="20" t="str">
        <f aca="false">HYPERLINK("https://www.google.iq/maps/search/+32.0102,44.3339/@32.0102,44.3339,14z?hl=en","Maplink2")</f>
        <v>Maplink2</v>
      </c>
      <c r="AU2510" s="20" t="str">
        <f aca="false">HYPERLINK("http://www.bing.com/maps/?lvl=14&amp;sty=h&amp;cp=32.0102~44.3339&amp;sp=point.32.0102_44.3339","Maplink3")</f>
        <v>Maplink3</v>
      </c>
    </row>
    <row r="2511" customFormat="false" ht="15" hidden="false" customHeight="true" outlineLevel="0" collapsed="false">
      <c r="A2511" s="15" t="n">
        <v>19988</v>
      </c>
      <c r="B2511" s="16" t="s">
        <v>26</v>
      </c>
      <c r="C2511" s="16" t="s">
        <v>26</v>
      </c>
      <c r="D2511" s="16" t="s">
        <v>4847</v>
      </c>
      <c r="E2511" s="17" t="s">
        <v>4848</v>
      </c>
      <c r="F2511" s="16" t="n">
        <v>31.889401</v>
      </c>
      <c r="G2511" s="16" t="n">
        <v>44.476594</v>
      </c>
      <c r="H2511" s="18" t="n">
        <v>8</v>
      </c>
      <c r="I2511" s="18" t="n">
        <v>48</v>
      </c>
      <c r="J2511" s="19" t="n">
        <v>4</v>
      </c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 t="n">
        <v>4</v>
      </c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9"/>
      <c r="AH2511" s="19" t="n">
        <v>8</v>
      </c>
      <c r="AI2511" s="19"/>
      <c r="AJ2511" s="19"/>
      <c r="AK2511" s="19"/>
      <c r="AL2511" s="19"/>
      <c r="AM2511" s="19" t="n">
        <v>4</v>
      </c>
      <c r="AN2511" s="19"/>
      <c r="AO2511" s="19" t="n">
        <v>4</v>
      </c>
      <c r="AP2511" s="19"/>
      <c r="AQ2511" s="19"/>
      <c r="AR2511" s="19"/>
      <c r="AS2511" s="20" t="str">
        <f aca="false">HYPERLINK("http://www.openstreetmap.org/?mlat=31.8894&amp;mlon=44.4766&amp;zoom=12#map=12/31.8894/44.4766","Maplink1")</f>
        <v>Maplink1</v>
      </c>
      <c r="AT2511" s="20" t="str">
        <f aca="false">HYPERLINK("https://www.google.iq/maps/search/+31.8894,44.4766/@31.8894,44.4766,14z?hl=en","Maplink2")</f>
        <v>Maplink2</v>
      </c>
      <c r="AU2511" s="20" t="str">
        <f aca="false">HYPERLINK("http://www.bing.com/maps/?lvl=14&amp;sty=h&amp;cp=31.8894~44.4766&amp;sp=point.31.8894_44.4766","Maplink3")</f>
        <v>Maplink3</v>
      </c>
    </row>
    <row r="2512" customFormat="false" ht="15" hidden="false" customHeight="true" outlineLevel="0" collapsed="false">
      <c r="A2512" s="15" t="n">
        <v>24377</v>
      </c>
      <c r="B2512" s="16" t="s">
        <v>26</v>
      </c>
      <c r="C2512" s="16" t="s">
        <v>26</v>
      </c>
      <c r="D2512" s="16" t="s">
        <v>4849</v>
      </c>
      <c r="E2512" s="17" t="s">
        <v>135</v>
      </c>
      <c r="F2512" s="16" t="n">
        <v>32.001532</v>
      </c>
      <c r="G2512" s="16" t="n">
        <v>44.37468</v>
      </c>
      <c r="H2512" s="18" t="n">
        <v>16</v>
      </c>
      <c r="I2512" s="18" t="n">
        <v>96</v>
      </c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 t="n">
        <v>16</v>
      </c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9"/>
      <c r="AH2512" s="19" t="n">
        <v>16</v>
      </c>
      <c r="AI2512" s="19"/>
      <c r="AJ2512" s="19"/>
      <c r="AK2512" s="19"/>
      <c r="AL2512" s="19"/>
      <c r="AM2512" s="19" t="n">
        <v>16</v>
      </c>
      <c r="AN2512" s="19"/>
      <c r="AO2512" s="19"/>
      <c r="AP2512" s="19"/>
      <c r="AQ2512" s="19"/>
      <c r="AR2512" s="19"/>
      <c r="AS2512" s="20" t="str">
        <f aca="false">HYPERLINK("http://www.openstreetmap.org/?mlat=32.0015&amp;mlon=44.3747&amp;zoom=12#map=12/32.0015/44.3747","Maplink1")</f>
        <v>Maplink1</v>
      </c>
      <c r="AT2512" s="20" t="str">
        <f aca="false">HYPERLINK("https://www.google.iq/maps/search/+32.0015,44.3747/@32.0015,44.3747,14z?hl=en","Maplink2")</f>
        <v>Maplink2</v>
      </c>
      <c r="AU2512" s="20" t="str">
        <f aca="false">HYPERLINK("http://www.bing.com/maps/?lvl=14&amp;sty=h&amp;cp=32.0015~44.3747&amp;sp=point.32.0015_44.3747","Maplink3")</f>
        <v>Maplink3</v>
      </c>
    </row>
    <row r="2513" customFormat="false" ht="15" hidden="false" customHeight="true" outlineLevel="0" collapsed="false">
      <c r="A2513" s="15" t="n">
        <v>20349</v>
      </c>
      <c r="B2513" s="16" t="s">
        <v>26</v>
      </c>
      <c r="C2513" s="16" t="s">
        <v>26</v>
      </c>
      <c r="D2513" s="16" t="s">
        <v>4850</v>
      </c>
      <c r="E2513" s="17" t="s">
        <v>4851</v>
      </c>
      <c r="F2513" s="16" t="n">
        <v>32.02198</v>
      </c>
      <c r="G2513" s="16" t="n">
        <v>44.3243</v>
      </c>
      <c r="H2513" s="18" t="n">
        <v>225</v>
      </c>
      <c r="I2513" s="18" t="n">
        <v>1350</v>
      </c>
      <c r="J2513" s="19" t="n">
        <v>60</v>
      </c>
      <c r="K2513" s="19"/>
      <c r="L2513" s="19" t="n">
        <v>4</v>
      </c>
      <c r="M2513" s="19"/>
      <c r="N2513" s="19"/>
      <c r="O2513" s="19"/>
      <c r="P2513" s="19"/>
      <c r="Q2513" s="19"/>
      <c r="R2513" s="19"/>
      <c r="S2513" s="19"/>
      <c r="T2513" s="19"/>
      <c r="U2513" s="19"/>
      <c r="V2513" s="19" t="n">
        <v>150</v>
      </c>
      <c r="W2513" s="19"/>
      <c r="X2513" s="19" t="n">
        <v>11</v>
      </c>
      <c r="Y2513" s="19"/>
      <c r="Z2513" s="19"/>
      <c r="AA2513" s="19"/>
      <c r="AB2513" s="19"/>
      <c r="AC2513" s="19"/>
      <c r="AD2513" s="19"/>
      <c r="AE2513" s="19"/>
      <c r="AF2513" s="19"/>
      <c r="AG2513" s="19"/>
      <c r="AH2513" s="19" t="n">
        <v>225</v>
      </c>
      <c r="AI2513" s="19"/>
      <c r="AJ2513" s="19"/>
      <c r="AK2513" s="19"/>
      <c r="AL2513" s="19" t="n">
        <v>121</v>
      </c>
      <c r="AM2513" s="19" t="n">
        <v>44</v>
      </c>
      <c r="AN2513" s="19" t="n">
        <v>60</v>
      </c>
      <c r="AO2513" s="19"/>
      <c r="AP2513" s="19"/>
      <c r="AQ2513" s="19"/>
      <c r="AR2513" s="19"/>
      <c r="AS2513" s="20" t="str">
        <f aca="false">HYPERLINK("http://www.openstreetmap.org/?mlat=32.022&amp;mlon=44.3243&amp;zoom=12#map=12/32.022/44.3243","Maplink1")</f>
        <v>Maplink1</v>
      </c>
      <c r="AT2513" s="20" t="str">
        <f aca="false">HYPERLINK("https://www.google.iq/maps/search/+32.022,44.3243/@32.022,44.3243,14z?hl=en","Maplink2")</f>
        <v>Maplink2</v>
      </c>
      <c r="AU2513" s="20" t="str">
        <f aca="false">HYPERLINK("http://www.bing.com/maps/?lvl=14&amp;sty=h&amp;cp=32.022~44.3243&amp;sp=point.32.022_44.3243","Maplink3")</f>
        <v>Maplink3</v>
      </c>
    </row>
    <row r="2514" customFormat="false" ht="15" hidden="false" customHeight="true" outlineLevel="0" collapsed="false">
      <c r="A2514" s="15" t="n">
        <v>25432</v>
      </c>
      <c r="B2514" s="16" t="s">
        <v>26</v>
      </c>
      <c r="C2514" s="16" t="s">
        <v>26</v>
      </c>
      <c r="D2514" s="16" t="s">
        <v>4852</v>
      </c>
      <c r="E2514" s="17" t="s">
        <v>4101</v>
      </c>
      <c r="F2514" s="16" t="n">
        <v>31.914778</v>
      </c>
      <c r="G2514" s="16" t="n">
        <v>44.480876</v>
      </c>
      <c r="H2514" s="18" t="n">
        <v>769</v>
      </c>
      <c r="I2514" s="18" t="n">
        <v>4614</v>
      </c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 t="n">
        <v>769</v>
      </c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9" t="n">
        <v>319</v>
      </c>
      <c r="AH2514" s="19" t="n">
        <v>450</v>
      </c>
      <c r="AI2514" s="19"/>
      <c r="AJ2514" s="19"/>
      <c r="AK2514" s="19"/>
      <c r="AL2514" s="19"/>
      <c r="AM2514" s="19" t="n">
        <v>769</v>
      </c>
      <c r="AN2514" s="19"/>
      <c r="AO2514" s="19"/>
      <c r="AP2514" s="19"/>
      <c r="AQ2514" s="19"/>
      <c r="AR2514" s="19"/>
      <c r="AS2514" s="20" t="str">
        <f aca="false">HYPERLINK("http://www.openstreetmap.org/?mlat=31.9148&amp;mlon=44.4809&amp;zoom=12#map=12/31.9148/44.4809","Maplink1")</f>
        <v>Maplink1</v>
      </c>
      <c r="AT2514" s="20" t="str">
        <f aca="false">HYPERLINK("https://www.google.iq/maps/search/+31.9148,44.4809/@31.9148,44.4809,14z?hl=en","Maplink2")</f>
        <v>Maplink2</v>
      </c>
      <c r="AU2514" s="20" t="str">
        <f aca="false">HYPERLINK("http://www.bing.com/maps/?lvl=14&amp;sty=h&amp;cp=31.9148~44.4809&amp;sp=point.31.9148_44.4809","Maplink3")</f>
        <v>Maplink3</v>
      </c>
    </row>
    <row r="2515" customFormat="false" ht="15" hidden="false" customHeight="true" outlineLevel="0" collapsed="false">
      <c r="A2515" s="15" t="n">
        <v>22769</v>
      </c>
      <c r="B2515" s="16" t="s">
        <v>26</v>
      </c>
      <c r="C2515" s="16" t="s">
        <v>26</v>
      </c>
      <c r="D2515" s="16" t="s">
        <v>4853</v>
      </c>
      <c r="E2515" s="17" t="s">
        <v>4854</v>
      </c>
      <c r="F2515" s="16" t="n">
        <v>32.06276</v>
      </c>
      <c r="G2515" s="16" t="n">
        <v>44.33381</v>
      </c>
      <c r="H2515" s="18" t="n">
        <v>20</v>
      </c>
      <c r="I2515" s="18" t="n">
        <v>120</v>
      </c>
      <c r="J2515" s="19" t="n">
        <v>3</v>
      </c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 t="n">
        <v>17</v>
      </c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9"/>
      <c r="AH2515" s="19" t="n">
        <v>20</v>
      </c>
      <c r="AI2515" s="19"/>
      <c r="AJ2515" s="19"/>
      <c r="AK2515" s="19"/>
      <c r="AL2515" s="19" t="n">
        <v>3</v>
      </c>
      <c r="AM2515" s="19" t="n">
        <v>17</v>
      </c>
      <c r="AN2515" s="19"/>
      <c r="AO2515" s="19"/>
      <c r="AP2515" s="19"/>
      <c r="AQ2515" s="19"/>
      <c r="AR2515" s="19"/>
      <c r="AS2515" s="20" t="str">
        <f aca="false">HYPERLINK("http://www.openstreetmap.org/?mlat=32.0628&amp;mlon=44.3338&amp;zoom=12#map=12/32.0628/44.3338","Maplink1")</f>
        <v>Maplink1</v>
      </c>
      <c r="AT2515" s="20" t="str">
        <f aca="false">HYPERLINK("https://www.google.iq/maps/search/+32.0628,44.3338/@32.0628,44.3338,14z?hl=en","Maplink2")</f>
        <v>Maplink2</v>
      </c>
      <c r="AU2515" s="20" t="str">
        <f aca="false">HYPERLINK("http://www.bing.com/maps/?lvl=14&amp;sty=h&amp;cp=32.0628~44.3338&amp;sp=point.32.0628_44.3338","Maplink3")</f>
        <v>Maplink3</v>
      </c>
    </row>
    <row r="2516" customFormat="false" ht="15" hidden="false" customHeight="true" outlineLevel="0" collapsed="false">
      <c r="A2516" s="15" t="n">
        <v>22911</v>
      </c>
      <c r="B2516" s="16" t="s">
        <v>26</v>
      </c>
      <c r="C2516" s="16" t="s">
        <v>26</v>
      </c>
      <c r="D2516" s="16" t="s">
        <v>4855</v>
      </c>
      <c r="E2516" s="17" t="s">
        <v>4856</v>
      </c>
      <c r="F2516" s="16" t="n">
        <v>32.06105</v>
      </c>
      <c r="G2516" s="16" t="n">
        <v>44.33934</v>
      </c>
      <c r="H2516" s="18" t="n">
        <v>10</v>
      </c>
      <c r="I2516" s="18" t="n">
        <v>60</v>
      </c>
      <c r="J2516" s="19" t="n">
        <v>2</v>
      </c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 t="n">
        <v>8</v>
      </c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9"/>
      <c r="AH2516" s="19" t="n">
        <v>10</v>
      </c>
      <c r="AI2516" s="19"/>
      <c r="AJ2516" s="19"/>
      <c r="AK2516" s="19"/>
      <c r="AL2516" s="19" t="n">
        <v>2</v>
      </c>
      <c r="AM2516" s="19"/>
      <c r="AN2516" s="19" t="n">
        <v>8</v>
      </c>
      <c r="AO2516" s="19"/>
      <c r="AP2516" s="19"/>
      <c r="AQ2516" s="19"/>
      <c r="AR2516" s="19"/>
      <c r="AS2516" s="20" t="str">
        <f aca="false">HYPERLINK("http://www.openstreetmap.org/?mlat=32.0611&amp;mlon=44.3393&amp;zoom=12#map=12/32.0611/44.3393","Maplink1")</f>
        <v>Maplink1</v>
      </c>
      <c r="AT2516" s="20" t="str">
        <f aca="false">HYPERLINK("https://www.google.iq/maps/search/+32.0611,44.3393/@32.0611,44.3393,14z?hl=en","Maplink2")</f>
        <v>Maplink2</v>
      </c>
      <c r="AU2516" s="20" t="str">
        <f aca="false">HYPERLINK("http://www.bing.com/maps/?lvl=14&amp;sty=h&amp;cp=32.0611~44.3393&amp;sp=point.32.0611_44.3393","Maplink3")</f>
        <v>Maplink3</v>
      </c>
    </row>
    <row r="2517" customFormat="false" ht="15" hidden="false" customHeight="true" outlineLevel="0" collapsed="false">
      <c r="A2517" s="15" t="n">
        <v>24240</v>
      </c>
      <c r="B2517" s="16" t="s">
        <v>26</v>
      </c>
      <c r="C2517" s="16" t="s">
        <v>26</v>
      </c>
      <c r="D2517" s="16" t="s">
        <v>4857</v>
      </c>
      <c r="E2517" s="17" t="s">
        <v>4858</v>
      </c>
      <c r="F2517" s="16" t="n">
        <v>32.3054</v>
      </c>
      <c r="G2517" s="16" t="n">
        <v>44.27437</v>
      </c>
      <c r="H2517" s="18" t="n">
        <v>1150</v>
      </c>
      <c r="I2517" s="18" t="n">
        <v>6900</v>
      </c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 t="n">
        <v>1150</v>
      </c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9" t="n">
        <v>984</v>
      </c>
      <c r="AH2517" s="19" t="n">
        <v>166</v>
      </c>
      <c r="AI2517" s="19"/>
      <c r="AJ2517" s="19"/>
      <c r="AK2517" s="19"/>
      <c r="AL2517" s="19"/>
      <c r="AM2517" s="19" t="n">
        <v>1150</v>
      </c>
      <c r="AN2517" s="19"/>
      <c r="AO2517" s="19"/>
      <c r="AP2517" s="19"/>
      <c r="AQ2517" s="19"/>
      <c r="AR2517" s="19"/>
      <c r="AS2517" s="20" t="str">
        <f aca="false">HYPERLINK("http://www.openstreetmap.org/?mlat=32.3054&amp;mlon=44.2744&amp;zoom=12#map=12/32.3054/44.2744","Maplink1")</f>
        <v>Maplink1</v>
      </c>
      <c r="AT2517" s="20" t="str">
        <f aca="false">HYPERLINK("https://www.google.iq/maps/search/+32.3054,44.2744/@32.3054,44.2744,14z?hl=en","Maplink2")</f>
        <v>Maplink2</v>
      </c>
      <c r="AU2517" s="20" t="str">
        <f aca="false">HYPERLINK("http://www.bing.com/maps/?lvl=14&amp;sty=h&amp;cp=32.3054~44.2744&amp;sp=point.32.3054_44.2744","Maplink3")</f>
        <v>Maplink3</v>
      </c>
    </row>
    <row r="2518" customFormat="false" ht="15" hidden="false" customHeight="true" outlineLevel="0" collapsed="false">
      <c r="A2518" s="15" t="n">
        <v>20301</v>
      </c>
      <c r="B2518" s="16" t="s">
        <v>26</v>
      </c>
      <c r="C2518" s="16" t="s">
        <v>26</v>
      </c>
      <c r="D2518" s="16" t="s">
        <v>4859</v>
      </c>
      <c r="E2518" s="17" t="s">
        <v>2027</v>
      </c>
      <c r="F2518" s="16" t="n">
        <v>31.99518</v>
      </c>
      <c r="G2518" s="16" t="n">
        <v>44.36013</v>
      </c>
      <c r="H2518" s="18" t="n">
        <v>8</v>
      </c>
      <c r="I2518" s="18" t="n">
        <v>48</v>
      </c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 t="n">
        <v>8</v>
      </c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9"/>
      <c r="AH2518" s="19" t="n">
        <v>8</v>
      </c>
      <c r="AI2518" s="19"/>
      <c r="AJ2518" s="19"/>
      <c r="AK2518" s="19"/>
      <c r="AL2518" s="19"/>
      <c r="AM2518" s="19"/>
      <c r="AN2518" s="19"/>
      <c r="AO2518" s="19" t="n">
        <v>8</v>
      </c>
      <c r="AP2518" s="19"/>
      <c r="AQ2518" s="19"/>
      <c r="AR2518" s="19"/>
      <c r="AS2518" s="20" t="str">
        <f aca="false">HYPERLINK("http://www.openstreetmap.org/?mlat=31.9952&amp;mlon=44.3601&amp;zoom=12#map=12/31.9952/44.3601","Maplink1")</f>
        <v>Maplink1</v>
      </c>
      <c r="AT2518" s="20" t="str">
        <f aca="false">HYPERLINK("https://www.google.iq/maps/search/+31.9952,44.3601/@31.9952,44.3601,14z?hl=en","Maplink2")</f>
        <v>Maplink2</v>
      </c>
      <c r="AU2518" s="20" t="str">
        <f aca="false">HYPERLINK("http://www.bing.com/maps/?lvl=14&amp;sty=h&amp;cp=31.9952~44.3601&amp;sp=point.31.9952_44.3601","Maplink3")</f>
        <v>Maplink3</v>
      </c>
    </row>
    <row r="2519" customFormat="false" ht="15" hidden="false" customHeight="true" outlineLevel="0" collapsed="false">
      <c r="A2519" s="15" t="n">
        <v>20045</v>
      </c>
      <c r="B2519" s="16" t="s">
        <v>26</v>
      </c>
      <c r="C2519" s="16" t="s">
        <v>26</v>
      </c>
      <c r="D2519" s="16" t="s">
        <v>4860</v>
      </c>
      <c r="E2519" s="17" t="s">
        <v>4861</v>
      </c>
      <c r="F2519" s="16" t="n">
        <v>32.02847</v>
      </c>
      <c r="G2519" s="16" t="n">
        <v>44.33497</v>
      </c>
      <c r="H2519" s="18" t="n">
        <v>15</v>
      </c>
      <c r="I2519" s="18" t="n">
        <v>90</v>
      </c>
      <c r="J2519" s="19" t="n">
        <v>2</v>
      </c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 t="n">
        <v>13</v>
      </c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9"/>
      <c r="AH2519" s="19" t="n">
        <v>15</v>
      </c>
      <c r="AI2519" s="19"/>
      <c r="AJ2519" s="19"/>
      <c r="AK2519" s="19"/>
      <c r="AL2519" s="19"/>
      <c r="AM2519" s="19" t="n">
        <v>15</v>
      </c>
      <c r="AN2519" s="19"/>
      <c r="AO2519" s="19"/>
      <c r="AP2519" s="19"/>
      <c r="AQ2519" s="19"/>
      <c r="AR2519" s="19"/>
      <c r="AS2519" s="20" t="str">
        <f aca="false">HYPERLINK("http://www.openstreetmap.org/?mlat=32.0285&amp;mlon=44.335&amp;zoom=12#map=12/32.0285/44.335","Maplink1")</f>
        <v>Maplink1</v>
      </c>
      <c r="AT2519" s="20" t="str">
        <f aca="false">HYPERLINK("https://www.google.iq/maps/search/+32.0285,44.335/@32.0285,44.335,14z?hl=en","Maplink2")</f>
        <v>Maplink2</v>
      </c>
      <c r="AU2519" s="20" t="str">
        <f aca="false">HYPERLINK("http://www.bing.com/maps/?lvl=14&amp;sty=h&amp;cp=32.0285~44.335&amp;sp=point.32.0285_44.335","Maplink3")</f>
        <v>Maplink3</v>
      </c>
    </row>
    <row r="2520" customFormat="false" ht="15" hidden="false" customHeight="true" outlineLevel="0" collapsed="false">
      <c r="A2520" s="15" t="n">
        <v>19998</v>
      </c>
      <c r="B2520" s="16" t="s">
        <v>26</v>
      </c>
      <c r="C2520" s="16" t="s">
        <v>26</v>
      </c>
      <c r="D2520" s="16" t="s">
        <v>4862</v>
      </c>
      <c r="E2520" s="17" t="s">
        <v>4863</v>
      </c>
      <c r="F2520" s="16" t="n">
        <v>31.99518</v>
      </c>
      <c r="G2520" s="16" t="n">
        <v>44.35671</v>
      </c>
      <c r="H2520" s="18" t="n">
        <v>17</v>
      </c>
      <c r="I2520" s="18" t="n">
        <v>102</v>
      </c>
      <c r="J2520" s="19" t="n">
        <v>4</v>
      </c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 t="n">
        <v>13</v>
      </c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9"/>
      <c r="AH2520" s="19" t="n">
        <v>17</v>
      </c>
      <c r="AI2520" s="19"/>
      <c r="AJ2520" s="19"/>
      <c r="AK2520" s="19"/>
      <c r="AL2520" s="19" t="n">
        <v>4</v>
      </c>
      <c r="AM2520" s="19" t="n">
        <v>9</v>
      </c>
      <c r="AN2520" s="19"/>
      <c r="AO2520" s="19" t="n">
        <v>4</v>
      </c>
      <c r="AP2520" s="19"/>
      <c r="AQ2520" s="19"/>
      <c r="AR2520" s="19"/>
      <c r="AS2520" s="20" t="str">
        <f aca="false">HYPERLINK("http://www.openstreetmap.org/?mlat=31.9952&amp;mlon=44.3567&amp;zoom=12#map=12/31.9952/44.3567","Maplink1")</f>
        <v>Maplink1</v>
      </c>
      <c r="AT2520" s="20" t="str">
        <f aca="false">HYPERLINK("https://www.google.iq/maps/search/+31.9952,44.3567/@31.9952,44.3567,14z?hl=en","Maplink2")</f>
        <v>Maplink2</v>
      </c>
      <c r="AU2520" s="20" t="str">
        <f aca="false">HYPERLINK("http://www.bing.com/maps/?lvl=14&amp;sty=h&amp;cp=31.9952~44.3567&amp;sp=point.31.9952_44.3567","Maplink3")</f>
        <v>Maplink3</v>
      </c>
    </row>
    <row r="2521" customFormat="false" ht="15" hidden="false" customHeight="true" outlineLevel="0" collapsed="false">
      <c r="A2521" s="15" t="n">
        <v>20080</v>
      </c>
      <c r="B2521" s="16" t="s">
        <v>26</v>
      </c>
      <c r="C2521" s="16" t="s">
        <v>26</v>
      </c>
      <c r="D2521" s="16" t="s">
        <v>4864</v>
      </c>
      <c r="E2521" s="17" t="s">
        <v>4865</v>
      </c>
      <c r="F2521" s="16" t="n">
        <v>32.03721</v>
      </c>
      <c r="G2521" s="16" t="n">
        <v>44.34201</v>
      </c>
      <c r="H2521" s="18" t="n">
        <v>31</v>
      </c>
      <c r="I2521" s="18" t="n">
        <v>186</v>
      </c>
      <c r="J2521" s="19" t="n">
        <v>9</v>
      </c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 t="n">
        <v>22</v>
      </c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9"/>
      <c r="AH2521" s="19" t="n">
        <v>31</v>
      </c>
      <c r="AI2521" s="19"/>
      <c r="AJ2521" s="19"/>
      <c r="AK2521" s="19"/>
      <c r="AL2521" s="19"/>
      <c r="AM2521" s="19" t="n">
        <v>9</v>
      </c>
      <c r="AN2521" s="19" t="n">
        <v>22</v>
      </c>
      <c r="AO2521" s="19"/>
      <c r="AP2521" s="19"/>
      <c r="AQ2521" s="19"/>
      <c r="AR2521" s="19"/>
      <c r="AS2521" s="20" t="str">
        <f aca="false">HYPERLINK("http://www.openstreetmap.org/?mlat=32.0372&amp;mlon=44.342&amp;zoom=12#map=12/32.0372/44.342","Maplink1")</f>
        <v>Maplink1</v>
      </c>
      <c r="AT2521" s="20" t="str">
        <f aca="false">HYPERLINK("https://www.google.iq/maps/search/+32.0372,44.342/@32.0372,44.342,14z?hl=en","Maplink2")</f>
        <v>Maplink2</v>
      </c>
      <c r="AU2521" s="20" t="str">
        <f aca="false">HYPERLINK("http://www.bing.com/maps/?lvl=14&amp;sty=h&amp;cp=32.0372~44.342&amp;sp=point.32.0372_44.342","Maplink3")</f>
        <v>Maplink3</v>
      </c>
    </row>
    <row r="2522" customFormat="false" ht="15" hidden="false" customHeight="true" outlineLevel="0" collapsed="false">
      <c r="A2522" s="15" t="n">
        <v>24378</v>
      </c>
      <c r="B2522" s="16" t="s">
        <v>26</v>
      </c>
      <c r="C2522" s="16" t="s">
        <v>26</v>
      </c>
      <c r="D2522" s="16" t="s">
        <v>4866</v>
      </c>
      <c r="E2522" s="17" t="s">
        <v>4867</v>
      </c>
      <c r="F2522" s="16" t="n">
        <v>31.983342</v>
      </c>
      <c r="G2522" s="16" t="n">
        <v>44.33356</v>
      </c>
      <c r="H2522" s="18" t="n">
        <v>25</v>
      </c>
      <c r="I2522" s="18" t="n">
        <v>150</v>
      </c>
      <c r="J2522" s="19" t="n">
        <v>4</v>
      </c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 t="n">
        <v>21</v>
      </c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9"/>
      <c r="AH2522" s="19" t="n">
        <v>25</v>
      </c>
      <c r="AI2522" s="19"/>
      <c r="AJ2522" s="19"/>
      <c r="AK2522" s="19"/>
      <c r="AL2522" s="19"/>
      <c r="AM2522" s="19" t="n">
        <v>21</v>
      </c>
      <c r="AN2522" s="19"/>
      <c r="AO2522" s="19"/>
      <c r="AP2522" s="19" t="n">
        <v>4</v>
      </c>
      <c r="AQ2522" s="19"/>
      <c r="AR2522" s="19"/>
      <c r="AS2522" s="20" t="str">
        <f aca="false">HYPERLINK("http://www.openstreetmap.org/?mlat=31.9833&amp;mlon=44.3336&amp;zoom=12#map=12/31.9833/44.3336","Maplink1")</f>
        <v>Maplink1</v>
      </c>
      <c r="AT2522" s="20" t="str">
        <f aca="false">HYPERLINK("https://www.google.iq/maps/search/+31.9833,44.3336/@31.9833,44.3336,14z?hl=en","Maplink2")</f>
        <v>Maplink2</v>
      </c>
      <c r="AU2522" s="20" t="str">
        <f aca="false">HYPERLINK("http://www.bing.com/maps/?lvl=14&amp;sty=h&amp;cp=31.9833~44.3336&amp;sp=point.31.9833_44.3336","Maplink3")</f>
        <v>Maplink3</v>
      </c>
    </row>
    <row r="2523" customFormat="false" ht="15" hidden="false" customHeight="true" outlineLevel="0" collapsed="false">
      <c r="A2523" s="15" t="n">
        <v>26014</v>
      </c>
      <c r="B2523" s="16" t="s">
        <v>26</v>
      </c>
      <c r="C2523" s="16" t="s">
        <v>26</v>
      </c>
      <c r="D2523" s="16" t="s">
        <v>4868</v>
      </c>
      <c r="E2523" s="17" t="s">
        <v>4869</v>
      </c>
      <c r="F2523" s="16" t="n">
        <v>31.8768</v>
      </c>
      <c r="G2523" s="16" t="n">
        <v>44.21758</v>
      </c>
      <c r="H2523" s="18" t="n">
        <v>8</v>
      </c>
      <c r="I2523" s="18" t="n">
        <v>48</v>
      </c>
      <c r="J2523" s="19" t="n">
        <v>8</v>
      </c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9"/>
      <c r="AH2523" s="19" t="n">
        <v>8</v>
      </c>
      <c r="AI2523" s="19"/>
      <c r="AJ2523" s="19"/>
      <c r="AK2523" s="19"/>
      <c r="AL2523" s="19"/>
      <c r="AM2523" s="19" t="n">
        <v>8</v>
      </c>
      <c r="AN2523" s="19"/>
      <c r="AO2523" s="19"/>
      <c r="AP2523" s="19"/>
      <c r="AQ2523" s="19"/>
      <c r="AR2523" s="19"/>
      <c r="AS2523" s="20" t="str">
        <f aca="false">HYPERLINK("http://www.openstreetmap.org/?mlat=31.8768&amp;mlon=44.2176&amp;zoom=12#map=12/31.8768/44.2176","Maplink1")</f>
        <v>Maplink1</v>
      </c>
      <c r="AT2523" s="20" t="str">
        <f aca="false">HYPERLINK("https://www.google.iq/maps/search/+31.8768,44.2176/@31.8768,44.2176,14z?hl=en","Maplink2")</f>
        <v>Maplink2</v>
      </c>
      <c r="AU2523" s="20" t="str">
        <f aca="false">HYPERLINK("http://www.bing.com/maps/?lvl=14&amp;sty=h&amp;cp=31.8768~44.2176&amp;sp=point.31.8768_44.2176","Maplink3")</f>
        <v>Maplink3</v>
      </c>
    </row>
    <row r="2524" customFormat="false" ht="15" hidden="false" customHeight="true" outlineLevel="0" collapsed="false">
      <c r="A2524" s="15" t="n">
        <v>29618</v>
      </c>
      <c r="B2524" s="16" t="s">
        <v>26</v>
      </c>
      <c r="C2524" s="16" t="s">
        <v>26</v>
      </c>
      <c r="D2524" s="16" t="s">
        <v>4870</v>
      </c>
      <c r="E2524" s="17" t="s">
        <v>4871</v>
      </c>
      <c r="F2524" s="16" t="n">
        <v>32.22178</v>
      </c>
      <c r="G2524" s="16" t="n">
        <v>44.297669</v>
      </c>
      <c r="H2524" s="18" t="n">
        <v>95</v>
      </c>
      <c r="I2524" s="18" t="n">
        <v>570</v>
      </c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 t="n">
        <v>95</v>
      </c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9" t="n">
        <v>95</v>
      </c>
      <c r="AH2524" s="19"/>
      <c r="AI2524" s="19"/>
      <c r="AJ2524" s="19"/>
      <c r="AK2524" s="19"/>
      <c r="AL2524" s="19"/>
      <c r="AM2524" s="19" t="n">
        <v>95</v>
      </c>
      <c r="AN2524" s="19"/>
      <c r="AO2524" s="19"/>
      <c r="AP2524" s="19"/>
      <c r="AQ2524" s="19"/>
      <c r="AR2524" s="19"/>
      <c r="AS2524" s="20" t="str">
        <f aca="false">HYPERLINK("http://www.openstreetmap.org/?mlat=32.2218&amp;mlon=44.2977&amp;zoom=12#map=12/32.2218/44.2977","Maplink1")</f>
        <v>Maplink1</v>
      </c>
      <c r="AT2524" s="20" t="str">
        <f aca="false">HYPERLINK("https://www.google.iq/maps/search/+32.2218,44.2977/@32.2218,44.2977,14z?hl=en","Maplink2")</f>
        <v>Maplink2</v>
      </c>
      <c r="AU2524" s="20" t="str">
        <f aca="false">HYPERLINK("http://www.bing.com/maps/?lvl=14&amp;sty=h&amp;cp=32.2218~44.2977&amp;sp=point.32.2218_44.2977","Maplink3")</f>
        <v>Maplink3</v>
      </c>
    </row>
    <row r="2525" customFormat="false" ht="15" hidden="false" customHeight="true" outlineLevel="0" collapsed="false">
      <c r="A2525" s="15" t="n">
        <v>19637</v>
      </c>
      <c r="B2525" s="16" t="s">
        <v>26</v>
      </c>
      <c r="C2525" s="16" t="s">
        <v>26</v>
      </c>
      <c r="D2525" s="16" t="s">
        <v>4872</v>
      </c>
      <c r="E2525" s="17" t="s">
        <v>4873</v>
      </c>
      <c r="F2525" s="16" t="n">
        <v>32.317549</v>
      </c>
      <c r="G2525" s="16" t="n">
        <v>44.270747</v>
      </c>
      <c r="H2525" s="18" t="n">
        <v>144</v>
      </c>
      <c r="I2525" s="18" t="n">
        <v>864</v>
      </c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 t="n">
        <v>144</v>
      </c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9" t="n">
        <v>144</v>
      </c>
      <c r="AH2525" s="19"/>
      <c r="AI2525" s="19"/>
      <c r="AJ2525" s="19"/>
      <c r="AK2525" s="19"/>
      <c r="AL2525" s="19"/>
      <c r="AM2525" s="19" t="n">
        <v>144</v>
      </c>
      <c r="AN2525" s="19"/>
      <c r="AO2525" s="19"/>
      <c r="AP2525" s="19"/>
      <c r="AQ2525" s="19"/>
      <c r="AR2525" s="19"/>
      <c r="AS2525" s="20" t="str">
        <f aca="false">HYPERLINK("http://www.openstreetmap.org/?mlat=32.3175&amp;mlon=44.2707&amp;zoom=12#map=12/32.3175/44.2707","Maplink1")</f>
        <v>Maplink1</v>
      </c>
      <c r="AT2525" s="20" t="str">
        <f aca="false">HYPERLINK("https://www.google.iq/maps/search/+32.3175,44.2707/@32.3175,44.2707,14z?hl=en","Maplink2")</f>
        <v>Maplink2</v>
      </c>
      <c r="AU2525" s="20" t="str">
        <f aca="false">HYPERLINK("http://www.bing.com/maps/?lvl=14&amp;sty=h&amp;cp=32.3175~44.2707&amp;sp=point.32.3175_44.2707","Maplink3")</f>
        <v>Maplink3</v>
      </c>
    </row>
    <row r="2526" customFormat="false" ht="15" hidden="false" customHeight="true" outlineLevel="0" collapsed="false">
      <c r="A2526" s="15" t="n">
        <v>29621</v>
      </c>
      <c r="B2526" s="16" t="s">
        <v>26</v>
      </c>
      <c r="C2526" s="16" t="s">
        <v>26</v>
      </c>
      <c r="D2526" s="16" t="s">
        <v>4874</v>
      </c>
      <c r="E2526" s="17" t="s">
        <v>4875</v>
      </c>
      <c r="F2526" s="16" t="n">
        <v>32.108978</v>
      </c>
      <c r="G2526" s="16" t="n">
        <v>44.322898</v>
      </c>
      <c r="H2526" s="18" t="n">
        <v>461</v>
      </c>
      <c r="I2526" s="18" t="n">
        <v>2766</v>
      </c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 t="n">
        <v>461</v>
      </c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 t="n">
        <v>461</v>
      </c>
      <c r="AH2526" s="19"/>
      <c r="AI2526" s="19"/>
      <c r="AJ2526" s="19"/>
      <c r="AK2526" s="19"/>
      <c r="AL2526" s="19"/>
      <c r="AM2526" s="19" t="n">
        <v>461</v>
      </c>
      <c r="AN2526" s="19"/>
      <c r="AO2526" s="19"/>
      <c r="AP2526" s="19"/>
      <c r="AQ2526" s="19"/>
      <c r="AR2526" s="19"/>
      <c r="AS2526" s="20" t="str">
        <f aca="false">HYPERLINK("http://www.openstreetmap.org/?mlat=32.109&amp;mlon=44.3229&amp;zoom=12#map=12/32.109/44.3229","Maplink1")</f>
        <v>Maplink1</v>
      </c>
      <c r="AT2526" s="20" t="str">
        <f aca="false">HYPERLINK("https://www.google.iq/maps/search/+32.109,44.3229/@32.109,44.3229,14z?hl=en","Maplink2")</f>
        <v>Maplink2</v>
      </c>
      <c r="AU2526" s="20" t="str">
        <f aca="false">HYPERLINK("http://www.bing.com/maps/?lvl=14&amp;sty=h&amp;cp=32.109~44.3229&amp;sp=point.32.109_44.3229","Maplink3")</f>
        <v>Maplink3</v>
      </c>
    </row>
    <row r="2527" customFormat="false" ht="15" hidden="false" customHeight="true" outlineLevel="0" collapsed="false">
      <c r="A2527" s="15" t="n">
        <v>25643</v>
      </c>
      <c r="B2527" s="16" t="s">
        <v>26</v>
      </c>
      <c r="C2527" s="16" t="s">
        <v>26</v>
      </c>
      <c r="D2527" s="16" t="s">
        <v>4876</v>
      </c>
      <c r="E2527" s="17" t="s">
        <v>4877</v>
      </c>
      <c r="F2527" s="16" t="n">
        <v>31.978721</v>
      </c>
      <c r="G2527" s="16" t="n">
        <v>44.331994</v>
      </c>
      <c r="H2527" s="18" t="n">
        <v>4</v>
      </c>
      <c r="I2527" s="18" t="n">
        <v>24</v>
      </c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 t="n">
        <v>4</v>
      </c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9"/>
      <c r="AH2527" s="19" t="n">
        <v>4</v>
      </c>
      <c r="AI2527" s="19"/>
      <c r="AJ2527" s="19"/>
      <c r="AK2527" s="19"/>
      <c r="AL2527" s="19"/>
      <c r="AM2527" s="19" t="n">
        <v>4</v>
      </c>
      <c r="AN2527" s="19"/>
      <c r="AO2527" s="19"/>
      <c r="AP2527" s="19"/>
      <c r="AQ2527" s="19"/>
      <c r="AR2527" s="19"/>
      <c r="AS2527" s="20" t="str">
        <f aca="false">HYPERLINK("http://www.openstreetmap.org/?mlat=31.9787&amp;mlon=44.332&amp;zoom=12#map=12/31.9787/44.332","Maplink1")</f>
        <v>Maplink1</v>
      </c>
      <c r="AT2527" s="20" t="str">
        <f aca="false">HYPERLINK("https://www.google.iq/maps/search/+31.9787,44.332/@31.9787,44.332,14z?hl=en","Maplink2")</f>
        <v>Maplink2</v>
      </c>
      <c r="AU2527" s="20" t="str">
        <f aca="false">HYPERLINK("http://www.bing.com/maps/?lvl=14&amp;sty=h&amp;cp=31.9787~44.332&amp;sp=point.31.9787_44.332","Maplink3")</f>
        <v>Maplink3</v>
      </c>
    </row>
    <row r="2528" customFormat="false" ht="15" hidden="false" customHeight="true" outlineLevel="0" collapsed="false">
      <c r="A2528" s="15" t="n">
        <v>20282</v>
      </c>
      <c r="B2528" s="16" t="s">
        <v>26</v>
      </c>
      <c r="C2528" s="16" t="s">
        <v>26</v>
      </c>
      <c r="D2528" s="16" t="s">
        <v>4878</v>
      </c>
      <c r="E2528" s="17" t="s">
        <v>4879</v>
      </c>
      <c r="F2528" s="16" t="n">
        <v>31.98885</v>
      </c>
      <c r="G2528" s="16" t="n">
        <v>44.31339</v>
      </c>
      <c r="H2528" s="18" t="n">
        <v>210</v>
      </c>
      <c r="I2528" s="18" t="n">
        <v>1260</v>
      </c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 t="n">
        <v>210</v>
      </c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9"/>
      <c r="AH2528" s="19" t="n">
        <v>210</v>
      </c>
      <c r="AI2528" s="19"/>
      <c r="AJ2528" s="19"/>
      <c r="AK2528" s="19"/>
      <c r="AL2528" s="19"/>
      <c r="AM2528" s="19" t="n">
        <v>164</v>
      </c>
      <c r="AN2528" s="19"/>
      <c r="AO2528" s="19" t="n">
        <v>46</v>
      </c>
      <c r="AP2528" s="19"/>
      <c r="AQ2528" s="19"/>
      <c r="AR2528" s="19"/>
      <c r="AS2528" s="20" t="str">
        <f aca="false">HYPERLINK("http://www.openstreetmap.org/?mlat=31.9888&amp;mlon=44.3134&amp;zoom=12#map=12/31.9888/44.3134","Maplink1")</f>
        <v>Maplink1</v>
      </c>
      <c r="AT2528" s="20" t="str">
        <f aca="false">HYPERLINK("https://www.google.iq/maps/search/+31.9888,44.3134/@31.9888,44.3134,14z?hl=en","Maplink2")</f>
        <v>Maplink2</v>
      </c>
      <c r="AU2528" s="20" t="str">
        <f aca="false">HYPERLINK("http://www.bing.com/maps/?lvl=14&amp;sty=h&amp;cp=31.9888~44.3134&amp;sp=point.31.9888_44.3134","Maplink3")</f>
        <v>Maplink3</v>
      </c>
    </row>
    <row r="2529" customFormat="false" ht="15" hidden="false" customHeight="true" outlineLevel="0" collapsed="false">
      <c r="A2529" s="15" t="n">
        <v>17734</v>
      </c>
      <c r="B2529" s="16" t="s">
        <v>27</v>
      </c>
      <c r="C2529" s="16" t="s">
        <v>4880</v>
      </c>
      <c r="D2529" s="16" t="s">
        <v>4880</v>
      </c>
      <c r="E2529" s="17" t="s">
        <v>4881</v>
      </c>
      <c r="F2529" s="16" t="n">
        <v>36.73465574</v>
      </c>
      <c r="G2529" s="16" t="n">
        <v>43.87989954</v>
      </c>
      <c r="H2529" s="18" t="n">
        <v>2233</v>
      </c>
      <c r="I2529" s="18" t="n">
        <v>13398</v>
      </c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 t="n">
        <v>2233</v>
      </c>
      <c r="W2529" s="19"/>
      <c r="X2529" s="19"/>
      <c r="Y2529" s="19"/>
      <c r="Z2529" s="19"/>
      <c r="AA2529" s="19"/>
      <c r="AB2529" s="19"/>
      <c r="AC2529" s="19" t="n">
        <v>70</v>
      </c>
      <c r="AD2529" s="19"/>
      <c r="AE2529" s="19"/>
      <c r="AF2529" s="19"/>
      <c r="AG2529" s="19"/>
      <c r="AH2529" s="19" t="n">
        <v>1893</v>
      </c>
      <c r="AI2529" s="19"/>
      <c r="AJ2529" s="19" t="n">
        <v>270</v>
      </c>
      <c r="AK2529" s="19"/>
      <c r="AL2529" s="19"/>
      <c r="AM2529" s="19" t="n">
        <v>1160</v>
      </c>
      <c r="AN2529" s="19" t="n">
        <v>1073</v>
      </c>
      <c r="AO2529" s="19"/>
      <c r="AP2529" s="19"/>
      <c r="AQ2529" s="19"/>
      <c r="AR2529" s="19"/>
      <c r="AS2529" s="20" t="str">
        <f aca="false">HYPERLINK("http://www.openstreetmap.org/?mlat=36.7347&amp;mlon=43.8799&amp;zoom=12#map=12/36.7347/43.8799","Maplink1")</f>
        <v>Maplink1</v>
      </c>
      <c r="AT2529" s="20" t="str">
        <f aca="false">HYPERLINK("https://www.google.iq/maps/search/+36.7347,43.8799/@36.7347,43.8799,14z?hl=en","Maplink2")</f>
        <v>Maplink2</v>
      </c>
      <c r="AU2529" s="20" t="str">
        <f aca="false">HYPERLINK("http://www.bing.com/maps/?lvl=14&amp;sty=h&amp;cp=36.7347~43.8799&amp;sp=point.36.7347_43.8799","Maplink3")</f>
        <v>Maplink3</v>
      </c>
    </row>
    <row r="2530" customFormat="false" ht="15" hidden="false" customHeight="true" outlineLevel="0" collapsed="false">
      <c r="A2530" s="15" t="n">
        <v>17295</v>
      </c>
      <c r="B2530" s="16" t="s">
        <v>27</v>
      </c>
      <c r="C2530" s="16" t="s">
        <v>4880</v>
      </c>
      <c r="D2530" s="16" t="s">
        <v>4882</v>
      </c>
      <c r="E2530" s="17" t="s">
        <v>4883</v>
      </c>
      <c r="F2530" s="16" t="n">
        <v>36.53824914</v>
      </c>
      <c r="G2530" s="16" t="n">
        <v>43.60393918</v>
      </c>
      <c r="H2530" s="18" t="n">
        <v>38</v>
      </c>
      <c r="I2530" s="18" t="n">
        <v>228</v>
      </c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 t="n">
        <v>38</v>
      </c>
      <c r="W2530" s="19"/>
      <c r="X2530" s="19"/>
      <c r="Y2530" s="19"/>
      <c r="Z2530" s="19"/>
      <c r="AA2530" s="19"/>
      <c r="AB2530" s="19"/>
      <c r="AC2530" s="19" t="n">
        <v>2</v>
      </c>
      <c r="AD2530" s="19"/>
      <c r="AE2530" s="19"/>
      <c r="AF2530" s="19"/>
      <c r="AG2530" s="19"/>
      <c r="AH2530" s="19" t="n">
        <v>29</v>
      </c>
      <c r="AI2530" s="19"/>
      <c r="AJ2530" s="19" t="n">
        <v>7</v>
      </c>
      <c r="AK2530" s="19"/>
      <c r="AL2530" s="19"/>
      <c r="AM2530" s="19"/>
      <c r="AN2530" s="19" t="n">
        <v>38</v>
      </c>
      <c r="AO2530" s="19"/>
      <c r="AP2530" s="19"/>
      <c r="AQ2530" s="19"/>
      <c r="AR2530" s="19"/>
      <c r="AS2530" s="20" t="str">
        <f aca="false">HYPERLINK("http://www.openstreetmap.org/?mlat=36.5382&amp;mlon=43.6039&amp;zoom=12#map=12/36.5382/43.6039","Maplink1")</f>
        <v>Maplink1</v>
      </c>
      <c r="AT2530" s="20" t="str">
        <f aca="false">HYPERLINK("https://www.google.iq/maps/search/+36.5382,43.6039/@36.5382,43.6039,14z?hl=en","Maplink2")</f>
        <v>Maplink2</v>
      </c>
      <c r="AU2530" s="20" t="str">
        <f aca="false">HYPERLINK("http://www.bing.com/maps/?lvl=14&amp;sty=h&amp;cp=36.5382~43.6039&amp;sp=point.36.5382_43.6039","Maplink3")</f>
        <v>Maplink3</v>
      </c>
    </row>
    <row r="2531" customFormat="false" ht="15" hidden="false" customHeight="true" outlineLevel="0" collapsed="false">
      <c r="A2531" s="15" t="n">
        <v>8789</v>
      </c>
      <c r="B2531" s="16" t="s">
        <v>27</v>
      </c>
      <c r="C2531" s="16" t="s">
        <v>4880</v>
      </c>
      <c r="D2531" s="16" t="s">
        <v>4884</v>
      </c>
      <c r="E2531" s="17" t="s">
        <v>4885</v>
      </c>
      <c r="F2531" s="16" t="n">
        <v>36.53508549</v>
      </c>
      <c r="G2531" s="16" t="n">
        <v>43.59840694</v>
      </c>
      <c r="H2531" s="18" t="n">
        <v>51</v>
      </c>
      <c r="I2531" s="18" t="n">
        <v>306</v>
      </c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 t="n">
        <v>51</v>
      </c>
      <c r="W2531" s="19"/>
      <c r="X2531" s="19"/>
      <c r="Y2531" s="19"/>
      <c r="Z2531" s="19"/>
      <c r="AA2531" s="19"/>
      <c r="AB2531" s="19"/>
      <c r="AC2531" s="19" t="n">
        <v>28</v>
      </c>
      <c r="AD2531" s="19"/>
      <c r="AE2531" s="19"/>
      <c r="AF2531" s="19"/>
      <c r="AG2531" s="19"/>
      <c r="AH2531" s="19" t="n">
        <v>14</v>
      </c>
      <c r="AI2531" s="19"/>
      <c r="AJ2531" s="19" t="n">
        <v>9</v>
      </c>
      <c r="AK2531" s="19"/>
      <c r="AL2531" s="19"/>
      <c r="AM2531" s="19" t="n">
        <v>14</v>
      </c>
      <c r="AN2531" s="19" t="n">
        <v>37</v>
      </c>
      <c r="AO2531" s="19"/>
      <c r="AP2531" s="19"/>
      <c r="AQ2531" s="19"/>
      <c r="AR2531" s="19"/>
      <c r="AS2531" s="20" t="str">
        <f aca="false">HYPERLINK("http://www.openstreetmap.org/?mlat=36.5351&amp;mlon=43.5984&amp;zoom=12#map=12/36.5351/43.5984","Maplink1")</f>
        <v>Maplink1</v>
      </c>
      <c r="AT2531" s="20" t="str">
        <f aca="false">HYPERLINK("https://www.google.iq/maps/search/+36.5351,43.5984/@36.5351,43.5984,14z?hl=en","Maplink2")</f>
        <v>Maplink2</v>
      </c>
      <c r="AU2531" s="20" t="str">
        <f aca="false">HYPERLINK("http://www.bing.com/maps/?lvl=14&amp;sty=h&amp;cp=36.5351~43.5984&amp;sp=point.36.5351_43.5984","Maplink3")</f>
        <v>Maplink3</v>
      </c>
    </row>
    <row r="2532" customFormat="false" ht="15" hidden="false" customHeight="true" outlineLevel="0" collapsed="false">
      <c r="A2532" s="15" t="n">
        <v>18256</v>
      </c>
      <c r="B2532" s="16" t="s">
        <v>27</v>
      </c>
      <c r="C2532" s="16" t="s">
        <v>4880</v>
      </c>
      <c r="D2532" s="16" t="s">
        <v>4886</v>
      </c>
      <c r="E2532" s="17" t="s">
        <v>4887</v>
      </c>
      <c r="F2532" s="16" t="n">
        <v>36.70918377</v>
      </c>
      <c r="G2532" s="16" t="n">
        <v>43.97236216</v>
      </c>
      <c r="H2532" s="18" t="n">
        <v>80</v>
      </c>
      <c r="I2532" s="18" t="n">
        <v>480</v>
      </c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 t="n">
        <v>80</v>
      </c>
      <c r="W2532" s="19"/>
      <c r="X2532" s="19"/>
      <c r="Y2532" s="19"/>
      <c r="Z2532" s="19"/>
      <c r="AA2532" s="19"/>
      <c r="AB2532" s="19"/>
      <c r="AC2532" s="19" t="n">
        <v>16</v>
      </c>
      <c r="AD2532" s="19"/>
      <c r="AE2532" s="19"/>
      <c r="AF2532" s="19"/>
      <c r="AG2532" s="19"/>
      <c r="AH2532" s="19" t="n">
        <v>54</v>
      </c>
      <c r="AI2532" s="19"/>
      <c r="AJ2532" s="19" t="n">
        <v>10</v>
      </c>
      <c r="AK2532" s="19"/>
      <c r="AL2532" s="19"/>
      <c r="AM2532" s="19"/>
      <c r="AN2532" s="19" t="n">
        <v>80</v>
      </c>
      <c r="AO2532" s="19"/>
      <c r="AP2532" s="19"/>
      <c r="AQ2532" s="19"/>
      <c r="AR2532" s="19"/>
      <c r="AS2532" s="20" t="str">
        <f aca="false">HYPERLINK("http://www.openstreetmap.org/?mlat=36.7092&amp;mlon=43.9724&amp;zoom=12#map=12/36.7092/43.9724","Maplink1")</f>
        <v>Maplink1</v>
      </c>
      <c r="AT2532" s="20" t="str">
        <f aca="false">HYPERLINK("https://www.google.iq/maps/search/+36.7092,43.9724/@36.7092,43.9724,14z?hl=en","Maplink2")</f>
        <v>Maplink2</v>
      </c>
      <c r="AU2532" s="20" t="str">
        <f aca="false">HYPERLINK("http://www.bing.com/maps/?lvl=14&amp;sty=h&amp;cp=36.7092~43.9724&amp;sp=point.36.7092_43.9724","Maplink3")</f>
        <v>Maplink3</v>
      </c>
    </row>
    <row r="2533" customFormat="false" ht="15" hidden="false" customHeight="true" outlineLevel="0" collapsed="false">
      <c r="A2533" s="15" t="n">
        <v>8783</v>
      </c>
      <c r="B2533" s="16" t="s">
        <v>27</v>
      </c>
      <c r="C2533" s="16" t="s">
        <v>4880</v>
      </c>
      <c r="D2533" s="16" t="s">
        <v>4888</v>
      </c>
      <c r="E2533" s="17" t="s">
        <v>4889</v>
      </c>
      <c r="F2533" s="16" t="n">
        <v>36.50479134</v>
      </c>
      <c r="G2533" s="16" t="n">
        <v>43.59516347</v>
      </c>
      <c r="H2533" s="18" t="n">
        <v>1799</v>
      </c>
      <c r="I2533" s="18" t="n">
        <v>10794</v>
      </c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 t="n">
        <v>1799</v>
      </c>
      <c r="W2533" s="19"/>
      <c r="X2533" s="19"/>
      <c r="Y2533" s="19"/>
      <c r="Z2533" s="19"/>
      <c r="AA2533" s="19"/>
      <c r="AB2533" s="19"/>
      <c r="AC2533" s="19" t="n">
        <v>82</v>
      </c>
      <c r="AD2533" s="19"/>
      <c r="AE2533" s="19"/>
      <c r="AF2533" s="19"/>
      <c r="AG2533" s="19"/>
      <c r="AH2533" s="19" t="n">
        <v>1647</v>
      </c>
      <c r="AI2533" s="19"/>
      <c r="AJ2533" s="19" t="n">
        <v>70</v>
      </c>
      <c r="AK2533" s="19"/>
      <c r="AL2533" s="19"/>
      <c r="AM2533" s="19" t="n">
        <v>695</v>
      </c>
      <c r="AN2533" s="19" t="n">
        <v>1104</v>
      </c>
      <c r="AO2533" s="19"/>
      <c r="AP2533" s="19"/>
      <c r="AQ2533" s="19"/>
      <c r="AR2533" s="19"/>
      <c r="AS2533" s="20" t="str">
        <f aca="false">HYPERLINK("http://www.openstreetmap.org/?mlat=36.5048&amp;mlon=43.5952&amp;zoom=12#map=12/36.5048/43.5952","Maplink1")</f>
        <v>Maplink1</v>
      </c>
      <c r="AT2533" s="20" t="str">
        <f aca="false">HYPERLINK("https://www.google.iq/maps/search/+36.5048,43.5952/@36.5048,43.5952,14z?hl=en","Maplink2")</f>
        <v>Maplink2</v>
      </c>
      <c r="AU2533" s="20" t="str">
        <f aca="false">HYPERLINK("http://www.bing.com/maps/?lvl=14&amp;sty=h&amp;cp=36.5048~43.5952&amp;sp=point.36.5048_43.5952","Maplink3")</f>
        <v>Maplink3</v>
      </c>
    </row>
    <row r="2534" customFormat="false" ht="15" hidden="false" customHeight="true" outlineLevel="0" collapsed="false">
      <c r="A2534" s="15" t="n">
        <v>29571</v>
      </c>
      <c r="B2534" s="16" t="s">
        <v>27</v>
      </c>
      <c r="C2534" s="16" t="s">
        <v>4880</v>
      </c>
      <c r="D2534" s="16" t="s">
        <v>4890</v>
      </c>
      <c r="E2534" s="17" t="s">
        <v>4891</v>
      </c>
      <c r="F2534" s="16" t="n">
        <v>36.50376289</v>
      </c>
      <c r="G2534" s="16" t="n">
        <v>43.56979322</v>
      </c>
      <c r="H2534" s="18" t="n">
        <v>60</v>
      </c>
      <c r="I2534" s="18" t="n">
        <v>360</v>
      </c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 t="n">
        <v>60</v>
      </c>
      <c r="W2534" s="19"/>
      <c r="X2534" s="19"/>
      <c r="Y2534" s="19"/>
      <c r="Z2534" s="19"/>
      <c r="AA2534" s="19"/>
      <c r="AB2534" s="19"/>
      <c r="AC2534" s="19" t="n">
        <v>19</v>
      </c>
      <c r="AD2534" s="19"/>
      <c r="AE2534" s="19"/>
      <c r="AF2534" s="19"/>
      <c r="AG2534" s="19"/>
      <c r="AH2534" s="19" t="n">
        <v>33</v>
      </c>
      <c r="AI2534" s="19"/>
      <c r="AJ2534" s="19" t="n">
        <v>8</v>
      </c>
      <c r="AK2534" s="19"/>
      <c r="AL2534" s="19"/>
      <c r="AM2534" s="19" t="n">
        <v>15</v>
      </c>
      <c r="AN2534" s="19" t="n">
        <v>45</v>
      </c>
      <c r="AO2534" s="19"/>
      <c r="AP2534" s="19"/>
      <c r="AQ2534" s="19"/>
      <c r="AR2534" s="19"/>
      <c r="AS2534" s="20" t="str">
        <f aca="false">HYPERLINK("http://www.openstreetmap.org/?mlat=36.5038&amp;mlon=43.5698&amp;zoom=12#map=12/36.5038/43.5698","Maplink1")</f>
        <v>Maplink1</v>
      </c>
      <c r="AT2534" s="20" t="str">
        <f aca="false">HYPERLINK("https://www.google.iq/maps/search/+36.5038,43.5698/@36.5038,43.5698,14z?hl=en","Maplink2")</f>
        <v>Maplink2</v>
      </c>
      <c r="AU2534" s="20" t="str">
        <f aca="false">HYPERLINK("http://www.bing.com/maps/?lvl=14&amp;sty=h&amp;cp=36.5038~43.5698&amp;sp=point.36.5038_43.5698","Maplink3")</f>
        <v>Maplink3</v>
      </c>
    </row>
    <row r="2535" customFormat="false" ht="15" hidden="false" customHeight="true" outlineLevel="0" collapsed="false">
      <c r="A2535" s="15" t="n">
        <v>24907</v>
      </c>
      <c r="B2535" s="16" t="s">
        <v>27</v>
      </c>
      <c r="C2535" s="16" t="s">
        <v>4880</v>
      </c>
      <c r="D2535" s="16" t="s">
        <v>4892</v>
      </c>
      <c r="E2535" s="17" t="s">
        <v>4893</v>
      </c>
      <c r="F2535" s="16" t="n">
        <v>36.494357</v>
      </c>
      <c r="G2535" s="16" t="n">
        <v>43.566421</v>
      </c>
      <c r="H2535" s="18" t="n">
        <v>2377</v>
      </c>
      <c r="I2535" s="18" t="n">
        <v>14262</v>
      </c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 t="n">
        <v>2377</v>
      </c>
      <c r="W2535" s="19"/>
      <c r="X2535" s="19"/>
      <c r="Y2535" s="19"/>
      <c r="Z2535" s="19"/>
      <c r="AA2535" s="19"/>
      <c r="AB2535" s="19" t="n">
        <v>2377</v>
      </c>
      <c r="AC2535" s="19"/>
      <c r="AD2535" s="19"/>
      <c r="AE2535" s="19"/>
      <c r="AF2535" s="19"/>
      <c r="AG2535" s="19"/>
      <c r="AH2535" s="19"/>
      <c r="AI2535" s="19"/>
      <c r="AJ2535" s="19"/>
      <c r="AK2535" s="19"/>
      <c r="AL2535" s="19"/>
      <c r="AM2535" s="19"/>
      <c r="AN2535" s="19" t="n">
        <v>2355</v>
      </c>
      <c r="AO2535" s="19"/>
      <c r="AP2535" s="19" t="n">
        <v>5</v>
      </c>
      <c r="AQ2535" s="19" t="n">
        <v>17</v>
      </c>
      <c r="AR2535" s="19"/>
      <c r="AS2535" s="20" t="str">
        <f aca="false">HYPERLINK("http://www.openstreetmap.org/?mlat=36.4944&amp;mlon=43.5664&amp;zoom=12#map=12/36.4944/43.5664","Maplink1")</f>
        <v>Maplink1</v>
      </c>
      <c r="AT2535" s="20" t="str">
        <f aca="false">HYPERLINK("https://www.google.iq/maps/search/+36.4944,43.5664/@36.4944,43.5664,14z?hl=en","Maplink2")</f>
        <v>Maplink2</v>
      </c>
      <c r="AU2535" s="20" t="str">
        <f aca="false">HYPERLINK("http://www.bing.com/maps/?lvl=14&amp;sty=h&amp;cp=36.4944~43.5664&amp;sp=point.36.4944_43.5664","Maplink3")</f>
        <v>Maplink3</v>
      </c>
    </row>
    <row r="2536" customFormat="false" ht="15" hidden="false" customHeight="true" outlineLevel="0" collapsed="false">
      <c r="A2536" s="15" t="n">
        <v>8777</v>
      </c>
      <c r="B2536" s="16" t="s">
        <v>27</v>
      </c>
      <c r="C2536" s="16" t="s">
        <v>4880</v>
      </c>
      <c r="D2536" s="16" t="s">
        <v>4894</v>
      </c>
      <c r="E2536" s="17" t="s">
        <v>4895</v>
      </c>
      <c r="F2536" s="16" t="n">
        <v>36.48444</v>
      </c>
      <c r="G2536" s="16" t="n">
        <v>43.690456</v>
      </c>
      <c r="H2536" s="18" t="n">
        <v>10</v>
      </c>
      <c r="I2536" s="18" t="n">
        <v>60</v>
      </c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 t="n">
        <v>10</v>
      </c>
      <c r="W2536" s="19"/>
      <c r="X2536" s="19"/>
      <c r="Y2536" s="19"/>
      <c r="Z2536" s="19"/>
      <c r="AA2536" s="19"/>
      <c r="AB2536" s="19"/>
      <c r="AC2536" s="19" t="n">
        <v>7</v>
      </c>
      <c r="AD2536" s="19"/>
      <c r="AE2536" s="19"/>
      <c r="AF2536" s="19"/>
      <c r="AG2536" s="19"/>
      <c r="AH2536" s="19" t="n">
        <v>3</v>
      </c>
      <c r="AI2536" s="19"/>
      <c r="AJ2536" s="19"/>
      <c r="AK2536" s="19"/>
      <c r="AL2536" s="19"/>
      <c r="AM2536" s="19" t="n">
        <v>7</v>
      </c>
      <c r="AN2536" s="19" t="n">
        <v>3</v>
      </c>
      <c r="AO2536" s="19"/>
      <c r="AP2536" s="19"/>
      <c r="AQ2536" s="19"/>
      <c r="AR2536" s="19"/>
      <c r="AS2536" s="20" t="str">
        <f aca="false">HYPERLINK("http://www.openstreetmap.org/?mlat=36.4844&amp;mlon=43.6905&amp;zoom=12#map=12/36.4844/43.6905","Maplink1")</f>
        <v>Maplink1</v>
      </c>
      <c r="AT2536" s="20" t="str">
        <f aca="false">HYPERLINK("https://www.google.iq/maps/search/+36.4844,43.6905/@36.4844,43.6905,14z?hl=en","Maplink2")</f>
        <v>Maplink2</v>
      </c>
      <c r="AU2536" s="20" t="str">
        <f aca="false">HYPERLINK("http://www.bing.com/maps/?lvl=14&amp;sty=h&amp;cp=36.4844~43.6905&amp;sp=point.36.4844_43.6905","Maplink3")</f>
        <v>Maplink3</v>
      </c>
    </row>
    <row r="2537" customFormat="false" ht="15" hidden="false" customHeight="true" outlineLevel="0" collapsed="false">
      <c r="A2537" s="15" t="n">
        <v>17323</v>
      </c>
      <c r="B2537" s="16" t="s">
        <v>27</v>
      </c>
      <c r="C2537" s="16" t="s">
        <v>4880</v>
      </c>
      <c r="D2537" s="16" t="s">
        <v>4896</v>
      </c>
      <c r="E2537" s="17" t="s">
        <v>4897</v>
      </c>
      <c r="F2537" s="16" t="n">
        <v>36.563503</v>
      </c>
      <c r="G2537" s="16" t="n">
        <v>43.759306</v>
      </c>
      <c r="H2537" s="18" t="n">
        <v>22</v>
      </c>
      <c r="I2537" s="18" t="n">
        <v>132</v>
      </c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 t="n">
        <v>22</v>
      </c>
      <c r="W2537" s="19"/>
      <c r="X2537" s="19"/>
      <c r="Y2537" s="19"/>
      <c r="Z2537" s="19"/>
      <c r="AA2537" s="19"/>
      <c r="AB2537" s="19"/>
      <c r="AC2537" s="19" t="n">
        <v>22</v>
      </c>
      <c r="AD2537" s="19"/>
      <c r="AE2537" s="19"/>
      <c r="AF2537" s="19"/>
      <c r="AG2537" s="19"/>
      <c r="AH2537" s="19"/>
      <c r="AI2537" s="19"/>
      <c r="AJ2537" s="19"/>
      <c r="AK2537" s="19"/>
      <c r="AL2537" s="19"/>
      <c r="AM2537" s="19"/>
      <c r="AN2537" s="19" t="n">
        <v>22</v>
      </c>
      <c r="AO2537" s="19"/>
      <c r="AP2537" s="19"/>
      <c r="AQ2537" s="19"/>
      <c r="AR2537" s="19"/>
      <c r="AS2537" s="20" t="str">
        <f aca="false">HYPERLINK("http://www.openstreetmap.org/?mlat=36.5635&amp;mlon=43.7593&amp;zoom=12#map=12/36.5635/43.7593","Maplink1")</f>
        <v>Maplink1</v>
      </c>
      <c r="AT2537" s="20" t="str">
        <f aca="false">HYPERLINK("https://www.google.iq/maps/search/+36.5635,43.7593/@36.5635,43.7593,14z?hl=en","Maplink2")</f>
        <v>Maplink2</v>
      </c>
      <c r="AU2537" s="20" t="str">
        <f aca="false">HYPERLINK("http://www.bing.com/maps/?lvl=14&amp;sty=h&amp;cp=36.5635~43.7593&amp;sp=point.36.5635_43.7593","Maplink3")</f>
        <v>Maplink3</v>
      </c>
    </row>
    <row r="2538" customFormat="false" ht="15" hidden="false" customHeight="true" outlineLevel="0" collapsed="false">
      <c r="A2538" s="15" t="n">
        <v>25816</v>
      </c>
      <c r="B2538" s="16" t="s">
        <v>27</v>
      </c>
      <c r="C2538" s="16" t="s">
        <v>4880</v>
      </c>
      <c r="D2538" s="16" t="s">
        <v>4898</v>
      </c>
      <c r="E2538" s="17" t="s">
        <v>4899</v>
      </c>
      <c r="F2538" s="16" t="n">
        <v>36.31007446</v>
      </c>
      <c r="G2538" s="16" t="n">
        <v>43.67410941</v>
      </c>
      <c r="H2538" s="18" t="n">
        <v>100</v>
      </c>
      <c r="I2538" s="18" t="n">
        <v>600</v>
      </c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 t="n">
        <v>100</v>
      </c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  <c r="AH2538" s="19" t="n">
        <v>78</v>
      </c>
      <c r="AI2538" s="19"/>
      <c r="AJ2538" s="19" t="n">
        <v>22</v>
      </c>
      <c r="AK2538" s="19"/>
      <c r="AL2538" s="19"/>
      <c r="AM2538" s="19" t="n">
        <v>60</v>
      </c>
      <c r="AN2538" s="19" t="n">
        <v>40</v>
      </c>
      <c r="AO2538" s="19"/>
      <c r="AP2538" s="19"/>
      <c r="AQ2538" s="19"/>
      <c r="AR2538" s="19"/>
      <c r="AS2538" s="20" t="str">
        <f aca="false">HYPERLINK("http://www.openstreetmap.org/?mlat=36.3101&amp;mlon=43.6741&amp;zoom=12#map=12/36.3101/43.6741","Maplink1")</f>
        <v>Maplink1</v>
      </c>
      <c r="AT2538" s="20" t="str">
        <f aca="false">HYPERLINK("https://www.google.iq/maps/search/+36.3101,43.6741/@36.3101,43.6741,14z?hl=en","Maplink2")</f>
        <v>Maplink2</v>
      </c>
      <c r="AU2538" s="20" t="str">
        <f aca="false">HYPERLINK("http://www.bing.com/maps/?lvl=14&amp;sty=h&amp;cp=36.3101~43.6741&amp;sp=point.36.3101_43.6741","Maplink3")</f>
        <v>Maplink3</v>
      </c>
    </row>
    <row r="2539" customFormat="false" ht="15" hidden="false" customHeight="true" outlineLevel="0" collapsed="false">
      <c r="A2539" s="15" t="n">
        <v>17776</v>
      </c>
      <c r="B2539" s="16" t="s">
        <v>27</v>
      </c>
      <c r="C2539" s="16" t="s">
        <v>4880</v>
      </c>
      <c r="D2539" s="16" t="s">
        <v>4900</v>
      </c>
      <c r="E2539" s="17" t="s">
        <v>4901</v>
      </c>
      <c r="F2539" s="16" t="n">
        <v>36.72507866</v>
      </c>
      <c r="G2539" s="16" t="n">
        <v>44.08447003</v>
      </c>
      <c r="H2539" s="18" t="n">
        <v>82</v>
      </c>
      <c r="I2539" s="18" t="n">
        <v>492</v>
      </c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 t="n">
        <v>82</v>
      </c>
      <c r="W2539" s="19"/>
      <c r="X2539" s="19"/>
      <c r="Y2539" s="19"/>
      <c r="Z2539" s="19"/>
      <c r="AA2539" s="19"/>
      <c r="AB2539" s="19"/>
      <c r="AC2539" s="19" t="n">
        <v>9</v>
      </c>
      <c r="AD2539" s="19"/>
      <c r="AE2539" s="19"/>
      <c r="AF2539" s="19"/>
      <c r="AG2539" s="19"/>
      <c r="AH2539" s="19" t="n">
        <v>48</v>
      </c>
      <c r="AI2539" s="19"/>
      <c r="AJ2539" s="19" t="n">
        <v>25</v>
      </c>
      <c r="AK2539" s="19"/>
      <c r="AL2539" s="19"/>
      <c r="AM2539" s="19"/>
      <c r="AN2539" s="19" t="n">
        <v>82</v>
      </c>
      <c r="AO2539" s="19"/>
      <c r="AP2539" s="19"/>
      <c r="AQ2539" s="19"/>
      <c r="AR2539" s="19"/>
      <c r="AS2539" s="20" t="str">
        <f aca="false">HYPERLINK("http://www.openstreetmap.org/?mlat=36.7251&amp;mlon=44.0845&amp;zoom=12#map=12/36.7251/44.0845","Maplink1")</f>
        <v>Maplink1</v>
      </c>
      <c r="AT2539" s="20" t="str">
        <f aca="false">HYPERLINK("https://www.google.iq/maps/search/+36.7251,44.0845/@36.7251,44.0845,14z?hl=en","Maplink2")</f>
        <v>Maplink2</v>
      </c>
      <c r="AU2539" s="20" t="str">
        <f aca="false">HYPERLINK("http://www.bing.com/maps/?lvl=14&amp;sty=h&amp;cp=36.7251~44.0845&amp;sp=point.36.7251_44.0845","Maplink3")</f>
        <v>Maplink3</v>
      </c>
    </row>
    <row r="2540" customFormat="false" ht="15" hidden="false" customHeight="true" outlineLevel="0" collapsed="false">
      <c r="A2540" s="15" t="n">
        <v>8776</v>
      </c>
      <c r="B2540" s="16" t="s">
        <v>27</v>
      </c>
      <c r="C2540" s="16" t="s">
        <v>4880</v>
      </c>
      <c r="D2540" s="16" t="s">
        <v>4902</v>
      </c>
      <c r="E2540" s="17" t="s">
        <v>4903</v>
      </c>
      <c r="F2540" s="16" t="n">
        <v>36.47921209</v>
      </c>
      <c r="G2540" s="16" t="n">
        <v>43.72744462</v>
      </c>
      <c r="H2540" s="18" t="n">
        <v>436</v>
      </c>
      <c r="I2540" s="18" t="n">
        <v>2616</v>
      </c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 t="n">
        <v>436</v>
      </c>
      <c r="W2540" s="19"/>
      <c r="X2540" s="19"/>
      <c r="Y2540" s="19"/>
      <c r="Z2540" s="19"/>
      <c r="AA2540" s="19"/>
      <c r="AB2540" s="19"/>
      <c r="AC2540" s="19" t="n">
        <v>70</v>
      </c>
      <c r="AD2540" s="19"/>
      <c r="AE2540" s="19"/>
      <c r="AF2540" s="19"/>
      <c r="AG2540" s="19"/>
      <c r="AH2540" s="19" t="n">
        <v>228</v>
      </c>
      <c r="AI2540" s="19"/>
      <c r="AJ2540" s="19" t="n">
        <v>138</v>
      </c>
      <c r="AK2540" s="19"/>
      <c r="AL2540" s="19"/>
      <c r="AM2540" s="19" t="n">
        <v>70</v>
      </c>
      <c r="AN2540" s="19" t="n">
        <v>366</v>
      </c>
      <c r="AO2540" s="19"/>
      <c r="AP2540" s="19"/>
      <c r="AQ2540" s="19"/>
      <c r="AR2540" s="19"/>
      <c r="AS2540" s="20" t="str">
        <f aca="false">HYPERLINK("http://www.openstreetmap.org/?mlat=36.4792&amp;mlon=43.7274&amp;zoom=12#map=12/36.4792/43.7274","Maplink1")</f>
        <v>Maplink1</v>
      </c>
      <c r="AT2540" s="20" t="str">
        <f aca="false">HYPERLINK("https://www.google.iq/maps/search/+36.4792,43.7274/@36.4792,43.7274,14z?hl=en","Maplink2")</f>
        <v>Maplink2</v>
      </c>
      <c r="AU2540" s="20" t="str">
        <f aca="false">HYPERLINK("http://www.bing.com/maps/?lvl=14&amp;sty=h&amp;cp=36.4792~43.7274&amp;sp=point.36.4792_43.7274","Maplink3")</f>
        <v>Maplink3</v>
      </c>
    </row>
    <row r="2541" customFormat="false" ht="15" hidden="false" customHeight="true" outlineLevel="0" collapsed="false">
      <c r="A2541" s="15" t="n">
        <v>16953</v>
      </c>
      <c r="B2541" s="16" t="s">
        <v>27</v>
      </c>
      <c r="C2541" s="16" t="s">
        <v>4880</v>
      </c>
      <c r="D2541" s="16" t="s">
        <v>4904</v>
      </c>
      <c r="E2541" s="17" t="s">
        <v>4905</v>
      </c>
      <c r="F2541" s="16" t="n">
        <v>36.79346975</v>
      </c>
      <c r="G2541" s="16" t="n">
        <v>43.98421015</v>
      </c>
      <c r="H2541" s="18" t="n">
        <v>134</v>
      </c>
      <c r="I2541" s="18" t="n">
        <v>804</v>
      </c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 t="n">
        <v>134</v>
      </c>
      <c r="W2541" s="19"/>
      <c r="X2541" s="19"/>
      <c r="Y2541" s="19"/>
      <c r="Z2541" s="19"/>
      <c r="AA2541" s="19"/>
      <c r="AB2541" s="19"/>
      <c r="AC2541" s="19" t="n">
        <v>41</v>
      </c>
      <c r="AD2541" s="19"/>
      <c r="AE2541" s="19"/>
      <c r="AF2541" s="19"/>
      <c r="AG2541" s="19"/>
      <c r="AH2541" s="19" t="n">
        <v>60</v>
      </c>
      <c r="AI2541" s="19"/>
      <c r="AJ2541" s="19" t="n">
        <v>33</v>
      </c>
      <c r="AK2541" s="19"/>
      <c r="AL2541" s="19"/>
      <c r="AM2541" s="19" t="n">
        <v>60</v>
      </c>
      <c r="AN2541" s="19" t="n">
        <v>74</v>
      </c>
      <c r="AO2541" s="19"/>
      <c r="AP2541" s="19"/>
      <c r="AQ2541" s="19"/>
      <c r="AR2541" s="19"/>
      <c r="AS2541" s="20" t="str">
        <f aca="false">HYPERLINK("http://www.openstreetmap.org/?mlat=36.7935&amp;mlon=43.9842&amp;zoom=12#map=12/36.7935/43.9842","Maplink1")</f>
        <v>Maplink1</v>
      </c>
      <c r="AT2541" s="20" t="str">
        <f aca="false">HYPERLINK("https://www.google.iq/maps/search/+36.7935,43.9842/@36.7935,43.9842,14z?hl=en","Maplink2")</f>
        <v>Maplink2</v>
      </c>
      <c r="AU2541" s="20" t="str">
        <f aca="false">HYPERLINK("http://www.bing.com/maps/?lvl=14&amp;sty=h&amp;cp=36.7935~43.9842&amp;sp=point.36.7935_43.9842","Maplink3")</f>
        <v>Maplink3</v>
      </c>
    </row>
    <row r="2542" customFormat="false" ht="15" hidden="false" customHeight="true" outlineLevel="0" collapsed="false">
      <c r="A2542" s="15" t="n">
        <v>18223</v>
      </c>
      <c r="B2542" s="16" t="s">
        <v>27</v>
      </c>
      <c r="C2542" s="16" t="s">
        <v>4880</v>
      </c>
      <c r="D2542" s="16" t="s">
        <v>4906</v>
      </c>
      <c r="E2542" s="17" t="s">
        <v>4907</v>
      </c>
      <c r="F2542" s="16" t="n">
        <v>36.35169</v>
      </c>
      <c r="G2542" s="16" t="n">
        <v>43.65059</v>
      </c>
      <c r="H2542" s="18" t="n">
        <v>44</v>
      </c>
      <c r="I2542" s="18" t="n">
        <v>264</v>
      </c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 t="n">
        <v>44</v>
      </c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9"/>
      <c r="AH2542" s="19"/>
      <c r="AI2542" s="19"/>
      <c r="AJ2542" s="19" t="n">
        <v>44</v>
      </c>
      <c r="AK2542" s="19"/>
      <c r="AL2542" s="19"/>
      <c r="AM2542" s="19"/>
      <c r="AN2542" s="19" t="n">
        <v>44</v>
      </c>
      <c r="AO2542" s="19"/>
      <c r="AP2542" s="19"/>
      <c r="AQ2542" s="19"/>
      <c r="AR2542" s="19"/>
      <c r="AS2542" s="20" t="str">
        <f aca="false">HYPERLINK("http://www.openstreetmap.org/?mlat=36.3517&amp;mlon=43.6506&amp;zoom=12#map=12/36.3517/43.6506","Maplink1")</f>
        <v>Maplink1</v>
      </c>
      <c r="AT2542" s="20" t="str">
        <f aca="false">HYPERLINK("https://www.google.iq/maps/search/+36.3517,43.6506/@36.3517,43.6506,14z?hl=en","Maplink2")</f>
        <v>Maplink2</v>
      </c>
      <c r="AU2542" s="20" t="str">
        <f aca="false">HYPERLINK("http://www.bing.com/maps/?lvl=14&amp;sty=h&amp;cp=36.3517~43.6506&amp;sp=point.36.3517_43.6506","Maplink3")</f>
        <v>Maplink3</v>
      </c>
    </row>
    <row r="2543" customFormat="false" ht="15" hidden="false" customHeight="true" outlineLevel="0" collapsed="false">
      <c r="A2543" s="15" t="n">
        <v>29625</v>
      </c>
      <c r="B2543" s="16" t="s">
        <v>27</v>
      </c>
      <c r="C2543" s="16" t="s">
        <v>4880</v>
      </c>
      <c r="D2543" s="16" t="s">
        <v>4908</v>
      </c>
      <c r="E2543" s="17" t="s">
        <v>4909</v>
      </c>
      <c r="F2543" s="16" t="n">
        <v>36.291883</v>
      </c>
      <c r="G2543" s="16" t="n">
        <v>43.648128</v>
      </c>
      <c r="H2543" s="18" t="n">
        <v>25</v>
      </c>
      <c r="I2543" s="18" t="n">
        <v>150</v>
      </c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 t="n">
        <v>25</v>
      </c>
      <c r="W2543" s="19"/>
      <c r="X2543" s="19"/>
      <c r="Y2543" s="19"/>
      <c r="Z2543" s="19"/>
      <c r="AA2543" s="19"/>
      <c r="AB2543" s="19"/>
      <c r="AC2543" s="19" t="n">
        <v>20</v>
      </c>
      <c r="AD2543" s="19"/>
      <c r="AE2543" s="19"/>
      <c r="AF2543" s="19"/>
      <c r="AG2543" s="19"/>
      <c r="AH2543" s="19"/>
      <c r="AI2543" s="19"/>
      <c r="AJ2543" s="19" t="n">
        <v>5</v>
      </c>
      <c r="AK2543" s="19"/>
      <c r="AL2543" s="19"/>
      <c r="AM2543" s="19"/>
      <c r="AN2543" s="19" t="n">
        <v>25</v>
      </c>
      <c r="AO2543" s="19"/>
      <c r="AP2543" s="19"/>
      <c r="AQ2543" s="19"/>
      <c r="AR2543" s="19"/>
      <c r="AS2543" s="20" t="str">
        <f aca="false">HYPERLINK("http://www.openstreetmap.org/?mlat=36.2919&amp;mlon=43.6481&amp;zoom=12#map=12/36.2919/43.6481","Maplink1")</f>
        <v>Maplink1</v>
      </c>
      <c r="AT2543" s="20" t="str">
        <f aca="false">HYPERLINK("https://www.google.iq/maps/search/+36.2919,43.6481/@36.2919,43.6481,14z?hl=en","Maplink2")</f>
        <v>Maplink2</v>
      </c>
      <c r="AU2543" s="20" t="str">
        <f aca="false">HYPERLINK("http://www.bing.com/maps/?lvl=14&amp;sty=h&amp;cp=36.2919~43.6481&amp;sp=point.36.2919_43.6481","Maplink3")</f>
        <v>Maplink3</v>
      </c>
    </row>
    <row r="2544" customFormat="false" ht="15" hidden="false" customHeight="true" outlineLevel="0" collapsed="false">
      <c r="A2544" s="15" t="n">
        <v>17802</v>
      </c>
      <c r="B2544" s="16" t="s">
        <v>27</v>
      </c>
      <c r="C2544" s="16" t="s">
        <v>4880</v>
      </c>
      <c r="D2544" s="16" t="s">
        <v>4910</v>
      </c>
      <c r="E2544" s="17" t="s">
        <v>4911</v>
      </c>
      <c r="F2544" s="16" t="n">
        <v>36.65335082</v>
      </c>
      <c r="G2544" s="16" t="n">
        <v>43.80622647</v>
      </c>
      <c r="H2544" s="18" t="n">
        <v>371</v>
      </c>
      <c r="I2544" s="18" t="n">
        <v>2226</v>
      </c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 t="n">
        <v>371</v>
      </c>
      <c r="W2544" s="19"/>
      <c r="X2544" s="19"/>
      <c r="Y2544" s="19"/>
      <c r="Z2544" s="19"/>
      <c r="AA2544" s="19"/>
      <c r="AB2544" s="19"/>
      <c r="AC2544" s="19" t="n">
        <v>183</v>
      </c>
      <c r="AD2544" s="19"/>
      <c r="AE2544" s="19"/>
      <c r="AF2544" s="19"/>
      <c r="AG2544" s="19"/>
      <c r="AH2544" s="19" t="n">
        <v>45</v>
      </c>
      <c r="AI2544" s="19"/>
      <c r="AJ2544" s="19" t="n">
        <v>143</v>
      </c>
      <c r="AK2544" s="19"/>
      <c r="AL2544" s="19"/>
      <c r="AM2544" s="19" t="n">
        <v>96</v>
      </c>
      <c r="AN2544" s="19" t="n">
        <v>275</v>
      </c>
      <c r="AO2544" s="19"/>
      <c r="AP2544" s="19"/>
      <c r="AQ2544" s="19"/>
      <c r="AR2544" s="19"/>
      <c r="AS2544" s="20" t="str">
        <f aca="false">HYPERLINK("http://www.openstreetmap.org/?mlat=36.6534&amp;mlon=43.8062&amp;zoom=12#map=12/36.6534/43.8062","Maplink1")</f>
        <v>Maplink1</v>
      </c>
      <c r="AT2544" s="20" t="str">
        <f aca="false">HYPERLINK("https://www.google.iq/maps/search/+36.6534,43.8062/@36.6534,43.8062,14z?hl=en","Maplink2")</f>
        <v>Maplink2</v>
      </c>
      <c r="AU2544" s="20" t="str">
        <f aca="false">HYPERLINK("http://www.bing.com/maps/?lvl=14&amp;sty=h&amp;cp=36.6534~43.8062&amp;sp=point.36.6534_43.8062","Maplink3")</f>
        <v>Maplink3</v>
      </c>
    </row>
    <row r="2545" customFormat="false" ht="15" hidden="false" customHeight="true" outlineLevel="0" collapsed="false">
      <c r="A2545" s="15" t="n">
        <v>29626</v>
      </c>
      <c r="B2545" s="16" t="s">
        <v>27</v>
      </c>
      <c r="C2545" s="16" t="s">
        <v>4880</v>
      </c>
      <c r="D2545" s="16" t="s">
        <v>4912</v>
      </c>
      <c r="E2545" s="17" t="s">
        <v>4913</v>
      </c>
      <c r="F2545" s="16" t="n">
        <v>36.638933</v>
      </c>
      <c r="G2545" s="16" t="n">
        <v>43.578272</v>
      </c>
      <c r="H2545" s="18" t="n">
        <v>43</v>
      </c>
      <c r="I2545" s="18" t="n">
        <v>258</v>
      </c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 t="n">
        <v>43</v>
      </c>
      <c r="W2545" s="19"/>
      <c r="X2545" s="19"/>
      <c r="Y2545" s="19"/>
      <c r="Z2545" s="19"/>
      <c r="AA2545" s="19"/>
      <c r="AB2545" s="19"/>
      <c r="AC2545" s="19" t="n">
        <v>32</v>
      </c>
      <c r="AD2545" s="19"/>
      <c r="AE2545" s="19"/>
      <c r="AF2545" s="19"/>
      <c r="AG2545" s="19"/>
      <c r="AH2545" s="19" t="n">
        <v>6</v>
      </c>
      <c r="AI2545" s="19"/>
      <c r="AJ2545" s="19" t="n">
        <v>5</v>
      </c>
      <c r="AK2545" s="19"/>
      <c r="AL2545" s="19"/>
      <c r="AM2545" s="19"/>
      <c r="AN2545" s="19" t="n">
        <v>43</v>
      </c>
      <c r="AO2545" s="19"/>
      <c r="AP2545" s="19"/>
      <c r="AQ2545" s="19"/>
      <c r="AR2545" s="19"/>
      <c r="AS2545" s="20" t="str">
        <f aca="false">HYPERLINK("http://www.openstreetmap.org/?mlat=36.6389&amp;mlon=43.5783&amp;zoom=12#map=12/36.6389/43.5783","Maplink1")</f>
        <v>Maplink1</v>
      </c>
      <c r="AT2545" s="20" t="str">
        <f aca="false">HYPERLINK("https://www.google.iq/maps/search/+36.6389,43.5783/@36.6389,43.5783,14z?hl=en","Maplink2")</f>
        <v>Maplink2</v>
      </c>
      <c r="AU2545" s="20" t="str">
        <f aca="false">HYPERLINK("http://www.bing.com/maps/?lvl=14&amp;sty=h&amp;cp=36.6389~43.5783&amp;sp=point.36.6389_43.5783","Maplink3")</f>
        <v>Maplink3</v>
      </c>
    </row>
    <row r="2546" customFormat="false" ht="15" hidden="false" customHeight="true" outlineLevel="0" collapsed="false">
      <c r="A2546" s="15" t="n">
        <v>17096</v>
      </c>
      <c r="B2546" s="16" t="s">
        <v>27</v>
      </c>
      <c r="C2546" s="16" t="s">
        <v>4880</v>
      </c>
      <c r="D2546" s="16" t="s">
        <v>4914</v>
      </c>
      <c r="E2546" s="17" t="s">
        <v>4915</v>
      </c>
      <c r="F2546" s="16" t="n">
        <v>36.561731</v>
      </c>
      <c r="G2546" s="16" t="n">
        <v>43.565051</v>
      </c>
      <c r="H2546" s="18" t="n">
        <v>65</v>
      </c>
      <c r="I2546" s="18" t="n">
        <v>390</v>
      </c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 t="n">
        <v>65</v>
      </c>
      <c r="W2546" s="19"/>
      <c r="X2546" s="19"/>
      <c r="Y2546" s="19"/>
      <c r="Z2546" s="19"/>
      <c r="AA2546" s="19"/>
      <c r="AB2546" s="19"/>
      <c r="AC2546" s="19" t="n">
        <v>37</v>
      </c>
      <c r="AD2546" s="19"/>
      <c r="AE2546" s="19"/>
      <c r="AF2546" s="19"/>
      <c r="AG2546" s="19"/>
      <c r="AH2546" s="19" t="n">
        <v>24</v>
      </c>
      <c r="AI2546" s="19"/>
      <c r="AJ2546" s="19" t="n">
        <v>4</v>
      </c>
      <c r="AK2546" s="19"/>
      <c r="AL2546" s="19"/>
      <c r="AM2546" s="19"/>
      <c r="AN2546" s="19" t="n">
        <v>65</v>
      </c>
      <c r="AO2546" s="19"/>
      <c r="AP2546" s="19"/>
      <c r="AQ2546" s="19"/>
      <c r="AR2546" s="19"/>
      <c r="AS2546" s="20" t="str">
        <f aca="false">HYPERLINK("http://www.openstreetmap.org/?mlat=36.5617&amp;mlon=43.5651&amp;zoom=12#map=12/36.5617/43.5651","Maplink1")</f>
        <v>Maplink1</v>
      </c>
      <c r="AT2546" s="20" t="str">
        <f aca="false">HYPERLINK("https://www.google.iq/maps/search/+36.5617,43.5651/@36.5617,43.5651,14z?hl=en","Maplink2")</f>
        <v>Maplink2</v>
      </c>
      <c r="AU2546" s="20" t="str">
        <f aca="false">HYPERLINK("http://www.bing.com/maps/?lvl=14&amp;sty=h&amp;cp=36.5617~43.5651&amp;sp=point.36.5617_43.5651","Maplink3")</f>
        <v>Maplink3</v>
      </c>
    </row>
    <row r="2547" customFormat="false" ht="15" hidden="false" customHeight="true" outlineLevel="0" collapsed="false">
      <c r="A2547" s="15" t="n">
        <v>24581</v>
      </c>
      <c r="B2547" s="16" t="s">
        <v>27</v>
      </c>
      <c r="C2547" s="16" t="s">
        <v>4880</v>
      </c>
      <c r="D2547" s="16" t="s">
        <v>4916</v>
      </c>
      <c r="E2547" s="17" t="s">
        <v>4917</v>
      </c>
      <c r="F2547" s="16" t="n">
        <v>36.27098204</v>
      </c>
      <c r="G2547" s="16" t="n">
        <v>43.63587061</v>
      </c>
      <c r="H2547" s="18" t="n">
        <v>934</v>
      </c>
      <c r="I2547" s="18" t="n">
        <v>5604</v>
      </c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 t="n">
        <v>934</v>
      </c>
      <c r="W2547" s="19"/>
      <c r="X2547" s="19"/>
      <c r="Y2547" s="19"/>
      <c r="Z2547" s="19"/>
      <c r="AA2547" s="19"/>
      <c r="AB2547" s="19"/>
      <c r="AC2547" s="19" t="n">
        <v>74</v>
      </c>
      <c r="AD2547" s="19"/>
      <c r="AE2547" s="19"/>
      <c r="AF2547" s="19"/>
      <c r="AG2547" s="19"/>
      <c r="AH2547" s="19" t="n">
        <v>803</v>
      </c>
      <c r="AI2547" s="19"/>
      <c r="AJ2547" s="19" t="n">
        <v>57</v>
      </c>
      <c r="AK2547" s="19"/>
      <c r="AL2547" s="19"/>
      <c r="AM2547" s="19" t="n">
        <v>146</v>
      </c>
      <c r="AN2547" s="19" t="n">
        <v>788</v>
      </c>
      <c r="AO2547" s="19"/>
      <c r="AP2547" s="19"/>
      <c r="AQ2547" s="19"/>
      <c r="AR2547" s="19"/>
      <c r="AS2547" s="20" t="str">
        <f aca="false">HYPERLINK("http://www.openstreetmap.org/?mlat=36.271&amp;mlon=43.6359&amp;zoom=12#map=12/36.271/43.6359","Maplink1")</f>
        <v>Maplink1</v>
      </c>
      <c r="AT2547" s="20" t="str">
        <f aca="false">HYPERLINK("https://www.google.iq/maps/search/+36.271,43.6359/@36.271,43.6359,14z?hl=en","Maplink2")</f>
        <v>Maplink2</v>
      </c>
      <c r="AU2547" s="20" t="str">
        <f aca="false">HYPERLINK("http://www.bing.com/maps/?lvl=14&amp;sty=h&amp;cp=36.271~43.6359&amp;sp=point.36.271_43.6359","Maplink3")</f>
        <v>Maplink3</v>
      </c>
    </row>
    <row r="2548" customFormat="false" ht="15" hidden="false" customHeight="true" outlineLevel="0" collapsed="false">
      <c r="A2548" s="15" t="n">
        <v>17142</v>
      </c>
      <c r="B2548" s="16" t="s">
        <v>27</v>
      </c>
      <c r="C2548" s="16" t="s">
        <v>4880</v>
      </c>
      <c r="D2548" s="16" t="s">
        <v>4918</v>
      </c>
      <c r="E2548" s="17" t="s">
        <v>4919</v>
      </c>
      <c r="F2548" s="16" t="n">
        <v>36.49204561</v>
      </c>
      <c r="G2548" s="16" t="n">
        <v>43.52660597</v>
      </c>
      <c r="H2548" s="18" t="n">
        <v>33</v>
      </c>
      <c r="I2548" s="18" t="n">
        <v>198</v>
      </c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 t="n">
        <v>33</v>
      </c>
      <c r="W2548" s="19"/>
      <c r="X2548" s="19"/>
      <c r="Y2548" s="19"/>
      <c r="Z2548" s="19"/>
      <c r="AA2548" s="19"/>
      <c r="AB2548" s="19"/>
      <c r="AC2548" s="19" t="n">
        <v>5</v>
      </c>
      <c r="AD2548" s="19"/>
      <c r="AE2548" s="19"/>
      <c r="AF2548" s="19"/>
      <c r="AG2548" s="19"/>
      <c r="AH2548" s="19" t="n">
        <v>16</v>
      </c>
      <c r="AI2548" s="19"/>
      <c r="AJ2548" s="19" t="n">
        <v>12</v>
      </c>
      <c r="AK2548" s="19"/>
      <c r="AL2548" s="19"/>
      <c r="AM2548" s="19"/>
      <c r="AN2548" s="19" t="n">
        <v>33</v>
      </c>
      <c r="AO2548" s="19"/>
      <c r="AP2548" s="19"/>
      <c r="AQ2548" s="19"/>
      <c r="AR2548" s="19"/>
      <c r="AS2548" s="20" t="str">
        <f aca="false">HYPERLINK("http://www.openstreetmap.org/?mlat=36.492&amp;mlon=43.5266&amp;zoom=12#map=12/36.492/43.5266","Maplink1")</f>
        <v>Maplink1</v>
      </c>
      <c r="AT2548" s="20" t="str">
        <f aca="false">HYPERLINK("https://www.google.iq/maps/search/+36.492,43.5266/@36.492,43.5266,14z?hl=en","Maplink2")</f>
        <v>Maplink2</v>
      </c>
      <c r="AU2548" s="20" t="str">
        <f aca="false">HYPERLINK("http://www.bing.com/maps/?lvl=14&amp;sty=h&amp;cp=36.492~43.5266&amp;sp=point.36.492_43.5266","Maplink3")</f>
        <v>Maplink3</v>
      </c>
    </row>
    <row r="2549" customFormat="false" ht="15" hidden="false" customHeight="true" outlineLevel="0" collapsed="false">
      <c r="A2549" s="15" t="n">
        <v>29605</v>
      </c>
      <c r="B2549" s="16" t="s">
        <v>27</v>
      </c>
      <c r="C2549" s="16" t="s">
        <v>4880</v>
      </c>
      <c r="D2549" s="16" t="s">
        <v>4920</v>
      </c>
      <c r="E2549" s="17" t="s">
        <v>4921</v>
      </c>
      <c r="F2549" s="16" t="n">
        <v>36.49379</v>
      </c>
      <c r="G2549" s="16" t="n">
        <v>43.643488</v>
      </c>
      <c r="H2549" s="18" t="n">
        <v>51</v>
      </c>
      <c r="I2549" s="18" t="n">
        <v>306</v>
      </c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 t="n">
        <v>51</v>
      </c>
      <c r="W2549" s="19"/>
      <c r="X2549" s="19"/>
      <c r="Y2549" s="19"/>
      <c r="Z2549" s="19"/>
      <c r="AA2549" s="19"/>
      <c r="AB2549" s="19"/>
      <c r="AC2549" s="19" t="n">
        <v>7</v>
      </c>
      <c r="AD2549" s="19"/>
      <c r="AE2549" s="19"/>
      <c r="AF2549" s="19"/>
      <c r="AG2549" s="19"/>
      <c r="AH2549" s="19" t="n">
        <v>10</v>
      </c>
      <c r="AI2549" s="19"/>
      <c r="AJ2549" s="19" t="n">
        <v>34</v>
      </c>
      <c r="AK2549" s="19"/>
      <c r="AL2549" s="19"/>
      <c r="AM2549" s="19"/>
      <c r="AN2549" s="19" t="n">
        <v>51</v>
      </c>
      <c r="AO2549" s="19"/>
      <c r="AP2549" s="19"/>
      <c r="AQ2549" s="19"/>
      <c r="AR2549" s="19"/>
      <c r="AS2549" s="20" t="str">
        <f aca="false">HYPERLINK("http://www.openstreetmap.org/?mlat=36.4938&amp;mlon=43.6435&amp;zoom=12#map=12/36.4938/43.6435","Maplink1")</f>
        <v>Maplink1</v>
      </c>
      <c r="AT2549" s="20" t="str">
        <f aca="false">HYPERLINK("https://www.google.iq/maps/search/+36.4938,43.6435/@36.4938,43.6435,14z?hl=en","Maplink2")</f>
        <v>Maplink2</v>
      </c>
      <c r="AU2549" s="20" t="str">
        <f aca="false">HYPERLINK("http://www.bing.com/maps/?lvl=14&amp;sty=h&amp;cp=36.4938~43.6435&amp;sp=point.36.4938_43.6435","Maplink3")</f>
        <v>Maplink3</v>
      </c>
    </row>
    <row r="2550" customFormat="false" ht="15" hidden="false" customHeight="true" outlineLevel="0" collapsed="false">
      <c r="A2550" s="15" t="n">
        <v>17012</v>
      </c>
      <c r="B2550" s="16" t="s">
        <v>27</v>
      </c>
      <c r="C2550" s="16" t="s">
        <v>4880</v>
      </c>
      <c r="D2550" s="16" t="s">
        <v>4922</v>
      </c>
      <c r="E2550" s="17" t="s">
        <v>4923</v>
      </c>
      <c r="F2550" s="16" t="n">
        <v>36.68493656</v>
      </c>
      <c r="G2550" s="16" t="n">
        <v>43.62266396</v>
      </c>
      <c r="H2550" s="18" t="n">
        <v>37</v>
      </c>
      <c r="I2550" s="18" t="n">
        <v>222</v>
      </c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 t="n">
        <v>37</v>
      </c>
      <c r="W2550" s="19"/>
      <c r="X2550" s="19"/>
      <c r="Y2550" s="19"/>
      <c r="Z2550" s="19"/>
      <c r="AA2550" s="19"/>
      <c r="AB2550" s="19"/>
      <c r="AC2550" s="19" t="n">
        <v>34</v>
      </c>
      <c r="AD2550" s="19"/>
      <c r="AE2550" s="19"/>
      <c r="AF2550" s="19"/>
      <c r="AG2550" s="19"/>
      <c r="AH2550" s="19"/>
      <c r="AI2550" s="19"/>
      <c r="AJ2550" s="19" t="n">
        <v>3</v>
      </c>
      <c r="AK2550" s="19"/>
      <c r="AL2550" s="19"/>
      <c r="AM2550" s="19"/>
      <c r="AN2550" s="19" t="n">
        <v>37</v>
      </c>
      <c r="AO2550" s="19"/>
      <c r="AP2550" s="19"/>
      <c r="AQ2550" s="19"/>
      <c r="AR2550" s="19"/>
      <c r="AS2550" s="20" t="str">
        <f aca="false">HYPERLINK("http://www.openstreetmap.org/?mlat=36.6849&amp;mlon=43.6227&amp;zoom=12#map=12/36.6849/43.6227","Maplink1")</f>
        <v>Maplink1</v>
      </c>
      <c r="AT2550" s="20" t="str">
        <f aca="false">HYPERLINK("https://www.google.iq/maps/search/+36.6849,43.6227/@36.6849,43.6227,14z?hl=en","Maplink2")</f>
        <v>Maplink2</v>
      </c>
      <c r="AU2550" s="20" t="str">
        <f aca="false">HYPERLINK("http://www.bing.com/maps/?lvl=14&amp;sty=h&amp;cp=36.6849~43.6227&amp;sp=point.36.6849_43.6227","Maplink3")</f>
        <v>Maplink3</v>
      </c>
    </row>
    <row r="2551" customFormat="false" ht="15" hidden="false" customHeight="true" outlineLevel="0" collapsed="false">
      <c r="A2551" s="15" t="n">
        <v>17293</v>
      </c>
      <c r="B2551" s="16" t="s">
        <v>27</v>
      </c>
      <c r="C2551" s="16" t="s">
        <v>4880</v>
      </c>
      <c r="D2551" s="16" t="s">
        <v>4924</v>
      </c>
      <c r="E2551" s="17" t="s">
        <v>4925</v>
      </c>
      <c r="F2551" s="16" t="n">
        <v>36.54404906</v>
      </c>
      <c r="G2551" s="16" t="n">
        <v>43.61868079</v>
      </c>
      <c r="H2551" s="18" t="n">
        <v>7</v>
      </c>
      <c r="I2551" s="18" t="n">
        <v>42</v>
      </c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 t="n">
        <v>7</v>
      </c>
      <c r="W2551" s="19"/>
      <c r="X2551" s="19"/>
      <c r="Y2551" s="19"/>
      <c r="Z2551" s="19"/>
      <c r="AA2551" s="19"/>
      <c r="AB2551" s="19"/>
      <c r="AC2551" s="19" t="n">
        <v>7</v>
      </c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 t="n">
        <v>5</v>
      </c>
      <c r="AN2551" s="19" t="n">
        <v>2</v>
      </c>
      <c r="AO2551" s="19"/>
      <c r="AP2551" s="19"/>
      <c r="AQ2551" s="19"/>
      <c r="AR2551" s="19"/>
      <c r="AS2551" s="20" t="str">
        <f aca="false">HYPERLINK("http://www.openstreetmap.org/?mlat=36.544&amp;mlon=43.6187&amp;zoom=12#map=12/36.544/43.6187","Maplink1")</f>
        <v>Maplink1</v>
      </c>
      <c r="AT2551" s="20" t="str">
        <f aca="false">HYPERLINK("https://www.google.iq/maps/search/+36.544,43.6187/@36.544,43.6187,14z?hl=en","Maplink2")</f>
        <v>Maplink2</v>
      </c>
      <c r="AU2551" s="20" t="str">
        <f aca="false">HYPERLINK("http://www.bing.com/maps/?lvl=14&amp;sty=h&amp;cp=36.544~43.6187&amp;sp=point.36.544_43.6187","Maplink3")</f>
        <v>Maplink3</v>
      </c>
    </row>
    <row r="2552" customFormat="false" ht="15" hidden="false" customHeight="true" outlineLevel="0" collapsed="false">
      <c r="A2552" s="15" t="n">
        <v>17272</v>
      </c>
      <c r="B2552" s="16" t="s">
        <v>27</v>
      </c>
      <c r="C2552" s="16" t="s">
        <v>4880</v>
      </c>
      <c r="D2552" s="16" t="s">
        <v>4926</v>
      </c>
      <c r="E2552" s="17" t="s">
        <v>4927</v>
      </c>
      <c r="F2552" s="16" t="n">
        <v>36.68918291</v>
      </c>
      <c r="G2552" s="16" t="n">
        <v>43.79953595</v>
      </c>
      <c r="H2552" s="18" t="n">
        <v>1092</v>
      </c>
      <c r="I2552" s="18" t="n">
        <v>6552</v>
      </c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 t="n">
        <v>1092</v>
      </c>
      <c r="W2552" s="19"/>
      <c r="X2552" s="19"/>
      <c r="Y2552" s="19"/>
      <c r="Z2552" s="19"/>
      <c r="AA2552" s="19"/>
      <c r="AB2552" s="19" t="n">
        <v>1092</v>
      </c>
      <c r="AC2552" s="19"/>
      <c r="AD2552" s="19"/>
      <c r="AE2552" s="19"/>
      <c r="AF2552" s="19"/>
      <c r="AG2552" s="19"/>
      <c r="AH2552" s="19"/>
      <c r="AI2552" s="19"/>
      <c r="AJ2552" s="19"/>
      <c r="AK2552" s="19"/>
      <c r="AL2552" s="19"/>
      <c r="AM2552" s="19"/>
      <c r="AN2552" s="19" t="n">
        <v>1084</v>
      </c>
      <c r="AO2552" s="19"/>
      <c r="AP2552" s="19"/>
      <c r="AQ2552" s="19"/>
      <c r="AR2552" s="19" t="n">
        <v>8</v>
      </c>
      <c r="AS2552" s="20" t="str">
        <f aca="false">HYPERLINK("http://www.openstreetmap.org/?mlat=36.6892&amp;mlon=43.7995&amp;zoom=12#map=12/36.6892/43.7995","Maplink1")</f>
        <v>Maplink1</v>
      </c>
      <c r="AT2552" s="20" t="str">
        <f aca="false">HYPERLINK("https://www.google.iq/maps/search/+36.6892,43.7995/@36.6892,43.7995,14z?hl=en","Maplink2")</f>
        <v>Maplink2</v>
      </c>
      <c r="AU2552" s="20" t="str">
        <f aca="false">HYPERLINK("http://www.bing.com/maps/?lvl=14&amp;sty=h&amp;cp=36.6892~43.7995&amp;sp=point.36.6892_43.7995","Maplink3")</f>
        <v>Maplink3</v>
      </c>
    </row>
    <row r="2553" customFormat="false" ht="15" hidden="false" customHeight="true" outlineLevel="0" collapsed="false">
      <c r="A2553" s="15" t="n">
        <v>24580</v>
      </c>
      <c r="B2553" s="16" t="s">
        <v>27</v>
      </c>
      <c r="C2553" s="16" t="s">
        <v>4880</v>
      </c>
      <c r="D2553" s="16" t="s">
        <v>4928</v>
      </c>
      <c r="E2553" s="17" t="s">
        <v>4929</v>
      </c>
      <c r="F2553" s="16" t="n">
        <v>36.61858151</v>
      </c>
      <c r="G2553" s="16" t="n">
        <v>43.7022063</v>
      </c>
      <c r="H2553" s="18" t="n">
        <v>1010</v>
      </c>
      <c r="I2553" s="18" t="n">
        <v>6060</v>
      </c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 t="n">
        <v>1010</v>
      </c>
      <c r="W2553" s="19"/>
      <c r="X2553" s="19"/>
      <c r="Y2553" s="19"/>
      <c r="Z2553" s="19"/>
      <c r="AA2553" s="19"/>
      <c r="AB2553" s="19"/>
      <c r="AC2553" s="19" t="n">
        <v>376</v>
      </c>
      <c r="AD2553" s="19"/>
      <c r="AE2553" s="19"/>
      <c r="AF2553" s="19"/>
      <c r="AG2553" s="19"/>
      <c r="AH2553" s="19" t="n">
        <v>609</v>
      </c>
      <c r="AI2553" s="19"/>
      <c r="AJ2553" s="19" t="n">
        <v>25</v>
      </c>
      <c r="AK2553" s="19"/>
      <c r="AL2553" s="19"/>
      <c r="AM2553" s="19" t="n">
        <v>675</v>
      </c>
      <c r="AN2553" s="19" t="n">
        <v>335</v>
      </c>
      <c r="AO2553" s="19"/>
      <c r="AP2553" s="19"/>
      <c r="AQ2553" s="19"/>
      <c r="AR2553" s="19"/>
      <c r="AS2553" s="20" t="str">
        <f aca="false">HYPERLINK("http://www.openstreetmap.org/?mlat=36.6186&amp;mlon=43.7022&amp;zoom=12#map=12/36.6186/43.7022","Maplink1")</f>
        <v>Maplink1</v>
      </c>
      <c r="AT2553" s="20" t="str">
        <f aca="false">HYPERLINK("https://www.google.iq/maps/search/+36.6186,43.7022/@36.6186,43.7022,14z?hl=en","Maplink2")</f>
        <v>Maplink2</v>
      </c>
      <c r="AU2553" s="20" t="str">
        <f aca="false">HYPERLINK("http://www.bing.com/maps/?lvl=14&amp;sty=h&amp;cp=36.6186~43.7022&amp;sp=point.36.6186_43.7022","Maplink3")</f>
        <v>Maplink3</v>
      </c>
    </row>
    <row r="2554" customFormat="false" ht="15" hidden="false" customHeight="true" outlineLevel="0" collapsed="false">
      <c r="A2554" s="15" t="n">
        <v>29627</v>
      </c>
      <c r="B2554" s="16" t="s">
        <v>27</v>
      </c>
      <c r="C2554" s="16" t="s">
        <v>4880</v>
      </c>
      <c r="D2554" s="16" t="s">
        <v>4930</v>
      </c>
      <c r="E2554" s="17" t="s">
        <v>4931</v>
      </c>
      <c r="F2554" s="16" t="n">
        <v>36.640097</v>
      </c>
      <c r="G2554" s="16" t="n">
        <v>43.710126</v>
      </c>
      <c r="H2554" s="18" t="n">
        <v>87</v>
      </c>
      <c r="I2554" s="18" t="n">
        <v>522</v>
      </c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 t="n">
        <v>87</v>
      </c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9"/>
      <c r="AH2554" s="19" t="n">
        <v>87</v>
      </c>
      <c r="AI2554" s="19"/>
      <c r="AJ2554" s="19"/>
      <c r="AK2554" s="19"/>
      <c r="AL2554" s="19"/>
      <c r="AM2554" s="19"/>
      <c r="AN2554" s="19" t="n">
        <v>87</v>
      </c>
      <c r="AO2554" s="19"/>
      <c r="AP2554" s="19"/>
      <c r="AQ2554" s="19"/>
      <c r="AR2554" s="19"/>
      <c r="AS2554" s="20" t="str">
        <f aca="false">HYPERLINK("http://www.openstreetmap.org/?mlat=36.6401&amp;mlon=43.7101&amp;zoom=12#map=12/36.6401/43.7101","Maplink1")</f>
        <v>Maplink1</v>
      </c>
      <c r="AT2554" s="20" t="str">
        <f aca="false">HYPERLINK("https://www.google.iq/maps/search/+36.6401,43.7101/@36.6401,43.7101,14z?hl=en","Maplink2")</f>
        <v>Maplink2</v>
      </c>
      <c r="AU2554" s="20" t="str">
        <f aca="false">HYPERLINK("http://www.bing.com/maps/?lvl=14&amp;sty=h&amp;cp=36.6401~43.7101&amp;sp=point.36.6401_43.7101","Maplink3")</f>
        <v>Maplink3</v>
      </c>
    </row>
    <row r="2555" customFormat="false" ht="15" hidden="false" customHeight="true" outlineLevel="0" collapsed="false">
      <c r="A2555" s="15" t="n">
        <v>8780</v>
      </c>
      <c r="B2555" s="16" t="s">
        <v>27</v>
      </c>
      <c r="C2555" s="16" t="s">
        <v>4880</v>
      </c>
      <c r="D2555" s="16" t="s">
        <v>4932</v>
      </c>
      <c r="E2555" s="17" t="s">
        <v>4933</v>
      </c>
      <c r="F2555" s="16" t="n">
        <v>36.490503</v>
      </c>
      <c r="G2555" s="16" t="n">
        <v>43.663181</v>
      </c>
      <c r="H2555" s="18" t="n">
        <v>45</v>
      </c>
      <c r="I2555" s="18" t="n">
        <v>270</v>
      </c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 t="n">
        <v>45</v>
      </c>
      <c r="W2555" s="19"/>
      <c r="X2555" s="19"/>
      <c r="Y2555" s="19"/>
      <c r="Z2555" s="19"/>
      <c r="AA2555" s="19"/>
      <c r="AB2555" s="19"/>
      <c r="AC2555" s="19" t="n">
        <v>15</v>
      </c>
      <c r="AD2555" s="19"/>
      <c r="AE2555" s="19"/>
      <c r="AF2555" s="19"/>
      <c r="AG2555" s="19"/>
      <c r="AH2555" s="19" t="n">
        <v>10</v>
      </c>
      <c r="AI2555" s="19"/>
      <c r="AJ2555" s="19" t="n">
        <v>20</v>
      </c>
      <c r="AK2555" s="19"/>
      <c r="AL2555" s="19"/>
      <c r="AM2555" s="19" t="n">
        <v>10</v>
      </c>
      <c r="AN2555" s="19" t="n">
        <v>35</v>
      </c>
      <c r="AO2555" s="19"/>
      <c r="AP2555" s="19"/>
      <c r="AQ2555" s="19"/>
      <c r="AR2555" s="19"/>
      <c r="AS2555" s="20" t="str">
        <f aca="false">HYPERLINK("http://www.openstreetmap.org/?mlat=36.4905&amp;mlon=43.6632&amp;zoom=12#map=12/36.4905/43.6632","Maplink1")</f>
        <v>Maplink1</v>
      </c>
      <c r="AT2555" s="20" t="str">
        <f aca="false">HYPERLINK("https://www.google.iq/maps/search/+36.4905,43.6632/@36.4905,43.6632,14z?hl=en","Maplink2")</f>
        <v>Maplink2</v>
      </c>
      <c r="AU2555" s="20" t="str">
        <f aca="false">HYPERLINK("http://www.bing.com/maps/?lvl=14&amp;sty=h&amp;cp=36.4905~43.6632&amp;sp=point.36.4905_43.6632","Maplink3")</f>
        <v>Maplink3</v>
      </c>
    </row>
    <row r="2556" customFormat="false" ht="15" hidden="false" customHeight="true" outlineLevel="0" collapsed="false">
      <c r="A2556" s="15" t="n">
        <v>18162</v>
      </c>
      <c r="B2556" s="16" t="s">
        <v>27</v>
      </c>
      <c r="C2556" s="16" t="s">
        <v>4880</v>
      </c>
      <c r="D2556" s="16" t="s">
        <v>4934</v>
      </c>
      <c r="E2556" s="17" t="s">
        <v>4935</v>
      </c>
      <c r="F2556" s="16" t="n">
        <v>36.51311452</v>
      </c>
      <c r="G2556" s="16" t="n">
        <v>43.57172826</v>
      </c>
      <c r="H2556" s="18" t="n">
        <v>18</v>
      </c>
      <c r="I2556" s="18" t="n">
        <v>108</v>
      </c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 t="n">
        <v>18</v>
      </c>
      <c r="W2556" s="19"/>
      <c r="X2556" s="19"/>
      <c r="Y2556" s="19"/>
      <c r="Z2556" s="19"/>
      <c r="AA2556" s="19"/>
      <c r="AB2556" s="19"/>
      <c r="AC2556" s="19" t="n">
        <v>3</v>
      </c>
      <c r="AD2556" s="19"/>
      <c r="AE2556" s="19"/>
      <c r="AF2556" s="19"/>
      <c r="AG2556" s="19"/>
      <c r="AH2556" s="19" t="n">
        <v>6</v>
      </c>
      <c r="AI2556" s="19"/>
      <c r="AJ2556" s="19" t="n">
        <v>9</v>
      </c>
      <c r="AK2556" s="19"/>
      <c r="AL2556" s="19"/>
      <c r="AM2556" s="19" t="n">
        <v>3</v>
      </c>
      <c r="AN2556" s="19" t="n">
        <v>15</v>
      </c>
      <c r="AO2556" s="19"/>
      <c r="AP2556" s="19"/>
      <c r="AQ2556" s="19"/>
      <c r="AR2556" s="19"/>
      <c r="AS2556" s="20" t="str">
        <f aca="false">HYPERLINK("http://www.openstreetmap.org/?mlat=36.5131&amp;mlon=43.5717&amp;zoom=12#map=12/36.5131/43.5717","Maplink1")</f>
        <v>Maplink1</v>
      </c>
      <c r="AT2556" s="20" t="str">
        <f aca="false">HYPERLINK("https://www.google.iq/maps/search/+36.5131,43.5717/@36.5131,43.5717,14z?hl=en","Maplink2")</f>
        <v>Maplink2</v>
      </c>
      <c r="AU2556" s="20" t="str">
        <f aca="false">HYPERLINK("http://www.bing.com/maps/?lvl=14&amp;sty=h&amp;cp=36.5131~43.5717&amp;sp=point.36.5131_43.5717","Maplink3")</f>
        <v>Maplink3</v>
      </c>
    </row>
    <row r="2557" customFormat="false" ht="15" hidden="false" customHeight="true" outlineLevel="0" collapsed="false">
      <c r="A2557" s="15" t="n">
        <v>17147</v>
      </c>
      <c r="B2557" s="16" t="s">
        <v>27</v>
      </c>
      <c r="C2557" s="16" t="s">
        <v>4880</v>
      </c>
      <c r="D2557" s="16" t="s">
        <v>4936</v>
      </c>
      <c r="E2557" s="17" t="s">
        <v>4937</v>
      </c>
      <c r="F2557" s="16" t="n">
        <v>36.49560741</v>
      </c>
      <c r="G2557" s="16" t="n">
        <v>43.62263387</v>
      </c>
      <c r="H2557" s="18" t="n">
        <v>50</v>
      </c>
      <c r="I2557" s="18" t="n">
        <v>300</v>
      </c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 t="n">
        <v>50</v>
      </c>
      <c r="W2557" s="19"/>
      <c r="X2557" s="19"/>
      <c r="Y2557" s="19"/>
      <c r="Z2557" s="19"/>
      <c r="AA2557" s="19"/>
      <c r="AB2557" s="19"/>
      <c r="AC2557" s="19" t="n">
        <v>30</v>
      </c>
      <c r="AD2557" s="19"/>
      <c r="AE2557" s="19"/>
      <c r="AF2557" s="19"/>
      <c r="AG2557" s="19"/>
      <c r="AH2557" s="19" t="n">
        <v>10</v>
      </c>
      <c r="AI2557" s="19"/>
      <c r="AJ2557" s="19" t="n">
        <v>10</v>
      </c>
      <c r="AK2557" s="19"/>
      <c r="AL2557" s="19"/>
      <c r="AM2557" s="19" t="n">
        <v>10</v>
      </c>
      <c r="AN2557" s="19" t="n">
        <v>40</v>
      </c>
      <c r="AO2557" s="19"/>
      <c r="AP2557" s="19"/>
      <c r="AQ2557" s="19"/>
      <c r="AR2557" s="19"/>
      <c r="AS2557" s="20" t="str">
        <f aca="false">HYPERLINK("http://www.openstreetmap.org/?mlat=36.4956&amp;mlon=43.6226&amp;zoom=12#map=12/36.4956/43.6226","Maplink1")</f>
        <v>Maplink1</v>
      </c>
      <c r="AT2557" s="20" t="str">
        <f aca="false">HYPERLINK("https://www.google.iq/maps/search/+36.4956,43.6226/@36.4956,43.6226,14z?hl=en","Maplink2")</f>
        <v>Maplink2</v>
      </c>
      <c r="AU2557" s="20" t="str">
        <f aca="false">HYPERLINK("http://www.bing.com/maps/?lvl=14&amp;sty=h&amp;cp=36.4956~43.6226&amp;sp=point.36.4956_43.6226","Maplink3")</f>
        <v>Maplink3</v>
      </c>
    </row>
    <row r="2558" customFormat="false" ht="15" hidden="false" customHeight="true" outlineLevel="0" collapsed="false">
      <c r="A2558" s="15" t="n">
        <v>17995</v>
      </c>
      <c r="B2558" s="16" t="s">
        <v>27</v>
      </c>
      <c r="C2558" s="16" t="s">
        <v>4938</v>
      </c>
      <c r="D2558" s="16" t="s">
        <v>4939</v>
      </c>
      <c r="E2558" s="17" t="s">
        <v>4940</v>
      </c>
      <c r="F2558" s="16" t="n">
        <v>36.0251</v>
      </c>
      <c r="G2558" s="16" t="n">
        <v>43.4044</v>
      </c>
      <c r="H2558" s="18" t="n">
        <v>150</v>
      </c>
      <c r="I2558" s="18" t="n">
        <v>900</v>
      </c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 t="n">
        <v>150</v>
      </c>
      <c r="W2558" s="19"/>
      <c r="X2558" s="19"/>
      <c r="Y2558" s="19"/>
      <c r="Z2558" s="19"/>
      <c r="AA2558" s="19"/>
      <c r="AB2558" s="19"/>
      <c r="AC2558" s="19" t="n">
        <v>120</v>
      </c>
      <c r="AD2558" s="19"/>
      <c r="AE2558" s="19"/>
      <c r="AF2558" s="19"/>
      <c r="AG2558" s="19"/>
      <c r="AH2558" s="19"/>
      <c r="AI2558" s="19" t="n">
        <v>30</v>
      </c>
      <c r="AJ2558" s="19"/>
      <c r="AK2558" s="19"/>
      <c r="AL2558" s="19"/>
      <c r="AM2558" s="19"/>
      <c r="AN2558" s="19"/>
      <c r="AO2558" s="19"/>
      <c r="AP2558" s="19"/>
      <c r="AQ2558" s="19"/>
      <c r="AR2558" s="19" t="n">
        <v>150</v>
      </c>
      <c r="AS2558" s="20" t="str">
        <f aca="false">HYPERLINK("http://www.openstreetmap.org/?mlat=36.0251&amp;mlon=43.4044&amp;zoom=12#map=12/36.0251/43.4044","Maplink1")</f>
        <v>Maplink1</v>
      </c>
      <c r="AT2558" s="20" t="str">
        <f aca="false">HYPERLINK("https://www.google.iq/maps/search/+36.0251,43.4044/@36.0251,43.4044,14z?hl=en","Maplink2")</f>
        <v>Maplink2</v>
      </c>
      <c r="AU2558" s="20" t="str">
        <f aca="false">HYPERLINK("http://www.bing.com/maps/?lvl=14&amp;sty=h&amp;cp=36.0251~43.4044&amp;sp=point.36.0251_43.4044","Maplink3")</f>
        <v>Maplink3</v>
      </c>
    </row>
    <row r="2559" customFormat="false" ht="15" hidden="false" customHeight="true" outlineLevel="0" collapsed="false">
      <c r="A2559" s="15" t="n">
        <v>29647</v>
      </c>
      <c r="B2559" s="16" t="s">
        <v>27</v>
      </c>
      <c r="C2559" s="16" t="s">
        <v>4938</v>
      </c>
      <c r="D2559" s="16" t="s">
        <v>4941</v>
      </c>
      <c r="E2559" s="17" t="s">
        <v>4942</v>
      </c>
      <c r="F2559" s="16" t="n">
        <v>36.32304</v>
      </c>
      <c r="G2559" s="16" t="n">
        <v>43.5395</v>
      </c>
      <c r="H2559" s="18" t="n">
        <v>1805</v>
      </c>
      <c r="I2559" s="18" t="n">
        <v>10830</v>
      </c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 t="n">
        <v>1805</v>
      </c>
      <c r="W2559" s="19"/>
      <c r="X2559" s="19"/>
      <c r="Y2559" s="19"/>
      <c r="Z2559" s="19"/>
      <c r="AA2559" s="19"/>
      <c r="AB2559" s="19" t="n">
        <v>1805</v>
      </c>
      <c r="AC2559" s="19"/>
      <c r="AD2559" s="19"/>
      <c r="AE2559" s="19"/>
      <c r="AF2559" s="19"/>
      <c r="AG2559" s="19"/>
      <c r="AH2559" s="19"/>
      <c r="AI2559" s="19"/>
      <c r="AJ2559" s="19"/>
      <c r="AK2559" s="19"/>
      <c r="AL2559" s="19"/>
      <c r="AM2559" s="19"/>
      <c r="AN2559" s="19"/>
      <c r="AO2559" s="19"/>
      <c r="AP2559" s="19"/>
      <c r="AQ2559" s="19"/>
      <c r="AR2559" s="19" t="n">
        <v>1805</v>
      </c>
      <c r="AS2559" s="20" t="str">
        <f aca="false">HYPERLINK("http://www.openstreetmap.org/?mlat=36.323&amp;mlon=43.5395&amp;zoom=12#map=12/36.323/43.5395","Maplink1")</f>
        <v>Maplink1</v>
      </c>
      <c r="AT2559" s="20" t="str">
        <f aca="false">HYPERLINK("https://www.google.iq/maps/search/+36.323,43.5395/@36.323,43.5395,14z?hl=en","Maplink2")</f>
        <v>Maplink2</v>
      </c>
      <c r="AU2559" s="20" t="str">
        <f aca="false">HYPERLINK("http://www.bing.com/maps/?lvl=14&amp;sty=h&amp;cp=36.323~43.5395&amp;sp=point.36.323_43.5395","Maplink3")</f>
        <v>Maplink3</v>
      </c>
    </row>
    <row r="2560" customFormat="false" ht="15" hidden="false" customHeight="true" outlineLevel="0" collapsed="false">
      <c r="A2560" s="15" t="n">
        <v>29643</v>
      </c>
      <c r="B2560" s="16" t="s">
        <v>27</v>
      </c>
      <c r="C2560" s="16" t="s">
        <v>4938</v>
      </c>
      <c r="D2560" s="16" t="s">
        <v>4943</v>
      </c>
      <c r="E2560" s="17" t="s">
        <v>4944</v>
      </c>
      <c r="F2560" s="16" t="n">
        <v>36.0335</v>
      </c>
      <c r="G2560" s="16" t="n">
        <v>43.4355</v>
      </c>
      <c r="H2560" s="18" t="n">
        <v>150</v>
      </c>
      <c r="I2560" s="18" t="n">
        <v>900</v>
      </c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 t="n">
        <v>150</v>
      </c>
      <c r="W2560" s="19"/>
      <c r="X2560" s="19"/>
      <c r="Y2560" s="19"/>
      <c r="Z2560" s="19"/>
      <c r="AA2560" s="19"/>
      <c r="AB2560" s="19"/>
      <c r="AC2560" s="19" t="n">
        <v>120</v>
      </c>
      <c r="AD2560" s="19"/>
      <c r="AE2560" s="19"/>
      <c r="AF2560" s="19"/>
      <c r="AG2560" s="19"/>
      <c r="AH2560" s="19"/>
      <c r="AI2560" s="19" t="n">
        <v>30</v>
      </c>
      <c r="AJ2560" s="19"/>
      <c r="AK2560" s="19"/>
      <c r="AL2560" s="19"/>
      <c r="AM2560" s="19"/>
      <c r="AN2560" s="19"/>
      <c r="AO2560" s="19"/>
      <c r="AP2560" s="19"/>
      <c r="AQ2560" s="19"/>
      <c r="AR2560" s="19" t="n">
        <v>150</v>
      </c>
      <c r="AS2560" s="20" t="str">
        <f aca="false">HYPERLINK("http://www.openstreetmap.org/?mlat=36.0335&amp;mlon=43.4355&amp;zoom=12#map=12/36.0335/43.4355","Maplink1")</f>
        <v>Maplink1</v>
      </c>
      <c r="AT2560" s="20" t="str">
        <f aca="false">HYPERLINK("https://www.google.iq/maps/search/+36.0335,43.4355/@36.0335,43.4355,14z?hl=en","Maplink2")</f>
        <v>Maplink2</v>
      </c>
      <c r="AU2560" s="20" t="str">
        <f aca="false">HYPERLINK("http://www.bing.com/maps/?lvl=14&amp;sty=h&amp;cp=36.0335~43.4355&amp;sp=point.36.0335_43.4355","Maplink3")</f>
        <v>Maplink3</v>
      </c>
    </row>
    <row r="2561" customFormat="false" ht="15" hidden="false" customHeight="true" outlineLevel="0" collapsed="false">
      <c r="A2561" s="15" t="n">
        <v>29645</v>
      </c>
      <c r="B2561" s="16" t="s">
        <v>27</v>
      </c>
      <c r="C2561" s="16" t="s">
        <v>4938</v>
      </c>
      <c r="D2561" s="16" t="s">
        <v>4945</v>
      </c>
      <c r="E2561" s="17" t="s">
        <v>4946</v>
      </c>
      <c r="F2561" s="16" t="n">
        <v>36.30807</v>
      </c>
      <c r="G2561" s="16" t="n">
        <v>43.54371</v>
      </c>
      <c r="H2561" s="18" t="n">
        <v>6900</v>
      </c>
      <c r="I2561" s="18" t="n">
        <v>41400</v>
      </c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 t="n">
        <v>6900</v>
      </c>
      <c r="W2561" s="19"/>
      <c r="X2561" s="19"/>
      <c r="Y2561" s="19"/>
      <c r="Z2561" s="19"/>
      <c r="AA2561" s="19"/>
      <c r="AB2561" s="19" t="n">
        <v>6900</v>
      </c>
      <c r="AC2561" s="19"/>
      <c r="AD2561" s="19"/>
      <c r="AE2561" s="19"/>
      <c r="AF2561" s="19"/>
      <c r="AG2561" s="19"/>
      <c r="AH2561" s="19"/>
      <c r="AI2561" s="19"/>
      <c r="AJ2561" s="19"/>
      <c r="AK2561" s="19"/>
      <c r="AL2561" s="19"/>
      <c r="AM2561" s="19"/>
      <c r="AN2561" s="19"/>
      <c r="AO2561" s="19"/>
      <c r="AP2561" s="19"/>
      <c r="AQ2561" s="19"/>
      <c r="AR2561" s="19" t="n">
        <v>6900</v>
      </c>
      <c r="AS2561" s="20" t="str">
        <f aca="false">HYPERLINK("http://www.openstreetmap.org/?mlat=36.3081&amp;mlon=43.5437&amp;zoom=12#map=12/36.3081/43.5437","Maplink1")</f>
        <v>Maplink1</v>
      </c>
      <c r="AT2561" s="20" t="str">
        <f aca="false">HYPERLINK("https://www.google.iq/maps/search/+36.3081,43.5437/@36.3081,43.5437,14z?hl=en","Maplink2")</f>
        <v>Maplink2</v>
      </c>
      <c r="AU2561" s="20" t="str">
        <f aca="false">HYPERLINK("http://www.bing.com/maps/?lvl=14&amp;sty=h&amp;cp=36.3081~43.5437&amp;sp=point.36.3081_43.5437","Maplink3")</f>
        <v>Maplink3</v>
      </c>
    </row>
    <row r="2562" customFormat="false" ht="15" hidden="false" customHeight="true" outlineLevel="0" collapsed="false">
      <c r="A2562" s="15" t="n">
        <v>29671</v>
      </c>
      <c r="B2562" s="16" t="s">
        <v>27</v>
      </c>
      <c r="C2562" s="16" t="s">
        <v>4938</v>
      </c>
      <c r="D2562" s="16" t="s">
        <v>4947</v>
      </c>
      <c r="E2562" s="17" t="s">
        <v>4948</v>
      </c>
      <c r="F2562" s="16" t="n">
        <v>36.33509</v>
      </c>
      <c r="G2562" s="16" t="n">
        <v>43.547687</v>
      </c>
      <c r="H2562" s="18" t="n">
        <v>5000</v>
      </c>
      <c r="I2562" s="18" t="n">
        <v>30000</v>
      </c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 t="n">
        <v>5000</v>
      </c>
      <c r="W2562" s="19"/>
      <c r="X2562" s="19"/>
      <c r="Y2562" s="19"/>
      <c r="Z2562" s="19"/>
      <c r="AA2562" s="19"/>
      <c r="AB2562" s="19" t="n">
        <v>5000</v>
      </c>
      <c r="AC2562" s="19"/>
      <c r="AD2562" s="19"/>
      <c r="AE2562" s="19"/>
      <c r="AF2562" s="19"/>
      <c r="AG2562" s="19"/>
      <c r="AH2562" s="19"/>
      <c r="AI2562" s="19"/>
      <c r="AJ2562" s="19"/>
      <c r="AK2562" s="19"/>
      <c r="AL2562" s="19"/>
      <c r="AM2562" s="19"/>
      <c r="AN2562" s="19"/>
      <c r="AO2562" s="19"/>
      <c r="AP2562" s="19"/>
      <c r="AQ2562" s="19"/>
      <c r="AR2562" s="19" t="n">
        <v>5000</v>
      </c>
      <c r="AS2562" s="20" t="str">
        <f aca="false">HYPERLINK("http://www.openstreetmap.org/?mlat=36.3351&amp;mlon=43.5477&amp;zoom=12#map=12/36.3351/43.5477","Maplink1")</f>
        <v>Maplink1</v>
      </c>
      <c r="AT2562" s="20" t="str">
        <f aca="false">HYPERLINK("https://www.google.iq/maps/search/+36.3351,43.5477/@36.3351,43.5477,14z?hl=en","Maplink2")</f>
        <v>Maplink2</v>
      </c>
      <c r="AU2562" s="20" t="str">
        <f aca="false">HYPERLINK("http://www.bing.com/maps/?lvl=14&amp;sty=h&amp;cp=36.3351~43.5477&amp;sp=point.36.3351_43.5477","Maplink3")</f>
        <v>Maplink3</v>
      </c>
    </row>
    <row r="2563" customFormat="false" ht="15" hidden="false" customHeight="true" outlineLevel="0" collapsed="false">
      <c r="A2563" s="15" t="n">
        <v>29684</v>
      </c>
      <c r="B2563" s="16" t="s">
        <v>27</v>
      </c>
      <c r="C2563" s="16" t="s">
        <v>4938</v>
      </c>
      <c r="D2563" s="16" t="s">
        <v>4949</v>
      </c>
      <c r="E2563" s="17" t="s">
        <v>4950</v>
      </c>
      <c r="F2563" s="16" t="n">
        <v>36.013194</v>
      </c>
      <c r="G2563" s="16" t="n">
        <v>43.377346</v>
      </c>
      <c r="H2563" s="18" t="n">
        <v>100</v>
      </c>
      <c r="I2563" s="18" t="n">
        <v>600</v>
      </c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 t="n">
        <v>100</v>
      </c>
      <c r="W2563" s="19"/>
      <c r="X2563" s="19"/>
      <c r="Y2563" s="19"/>
      <c r="Z2563" s="19"/>
      <c r="AA2563" s="19"/>
      <c r="AB2563" s="19"/>
      <c r="AC2563" s="19" t="n">
        <v>100</v>
      </c>
      <c r="AD2563" s="19"/>
      <c r="AE2563" s="19"/>
      <c r="AF2563" s="19"/>
      <c r="AG2563" s="19"/>
      <c r="AH2563" s="19"/>
      <c r="AI2563" s="19"/>
      <c r="AJ2563" s="19"/>
      <c r="AK2563" s="19"/>
      <c r="AL2563" s="19"/>
      <c r="AM2563" s="19"/>
      <c r="AN2563" s="19"/>
      <c r="AO2563" s="19"/>
      <c r="AP2563" s="19"/>
      <c r="AQ2563" s="19"/>
      <c r="AR2563" s="19" t="n">
        <v>100</v>
      </c>
      <c r="AS2563" s="20" t="str">
        <f aca="false">HYPERLINK("http://www.openstreetmap.org/?mlat=36.0132&amp;mlon=43.3773&amp;zoom=12#map=12/36.0132/43.3773","Maplink1")</f>
        <v>Maplink1</v>
      </c>
      <c r="AT2563" s="20" t="str">
        <f aca="false">HYPERLINK("https://www.google.iq/maps/search/+36.0132,43.3773/@36.0132,43.3773,14z?hl=en","Maplink2")</f>
        <v>Maplink2</v>
      </c>
      <c r="AU2563" s="20" t="str">
        <f aca="false">HYPERLINK("http://www.bing.com/maps/?lvl=14&amp;sty=h&amp;cp=36.0132~43.3773&amp;sp=point.36.0132_43.3773","Maplink3")</f>
        <v>Maplink3</v>
      </c>
    </row>
    <row r="2564" customFormat="false" ht="15" hidden="false" customHeight="true" outlineLevel="0" collapsed="false">
      <c r="A2564" s="15" t="n">
        <v>8793</v>
      </c>
      <c r="B2564" s="16" t="s">
        <v>27</v>
      </c>
      <c r="C2564" s="16" t="s">
        <v>4938</v>
      </c>
      <c r="D2564" s="16" t="s">
        <v>4951</v>
      </c>
      <c r="E2564" s="16" t="s">
        <v>4952</v>
      </c>
      <c r="F2564" s="16" t="n">
        <v>36.49031</v>
      </c>
      <c r="G2564" s="16" t="n">
        <v>43.50769</v>
      </c>
      <c r="H2564" s="18" t="n">
        <v>920</v>
      </c>
      <c r="I2564" s="18" t="n">
        <v>5520</v>
      </c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 t="n">
        <v>920</v>
      </c>
      <c r="W2564" s="19"/>
      <c r="X2564" s="19"/>
      <c r="Y2564" s="19"/>
      <c r="Z2564" s="19"/>
      <c r="AA2564" s="19"/>
      <c r="AB2564" s="19" t="n">
        <v>920</v>
      </c>
      <c r="AC2564" s="19"/>
      <c r="AD2564" s="19"/>
      <c r="AE2564" s="19"/>
      <c r="AF2564" s="19"/>
      <c r="AG2564" s="19"/>
      <c r="AH2564" s="19"/>
      <c r="AI2564" s="19"/>
      <c r="AJ2564" s="19"/>
      <c r="AK2564" s="19"/>
      <c r="AL2564" s="19"/>
      <c r="AM2564" s="19"/>
      <c r="AN2564" s="19"/>
      <c r="AO2564" s="19"/>
      <c r="AP2564" s="19"/>
      <c r="AQ2564" s="19"/>
      <c r="AR2564" s="19" t="n">
        <v>920</v>
      </c>
      <c r="AS2564" s="20" t="str">
        <f aca="false">HYPERLINK("http://www.openstreetmap.org/?mlat=36.4903&amp;mlon=43.5077&amp;zoom=12#map=12/36.4903/43.5077","Maplink1")</f>
        <v>Maplink1</v>
      </c>
      <c r="AT2564" s="20" t="str">
        <f aca="false">HYPERLINK("https://www.google.iq/maps/search/+36.4903,43.5077/@36.4903,43.5077,14z?hl=en","Maplink2")</f>
        <v>Maplink2</v>
      </c>
      <c r="AU2564" s="20" t="str">
        <f aca="false">HYPERLINK("http://www.bing.com/maps/?lvl=14&amp;sty=h&amp;cp=36.4903~43.5077&amp;sp=point.36.4903_43.5077","Maplink3")</f>
        <v>Maplink3</v>
      </c>
    </row>
    <row r="2565" customFormat="false" ht="15" hidden="false" customHeight="true" outlineLevel="0" collapsed="false">
      <c r="A2565" s="15" t="n">
        <v>23410</v>
      </c>
      <c r="B2565" s="16" t="s">
        <v>27</v>
      </c>
      <c r="C2565" s="16" t="s">
        <v>4938</v>
      </c>
      <c r="D2565" s="16" t="s">
        <v>4953</v>
      </c>
      <c r="E2565" s="17" t="s">
        <v>4954</v>
      </c>
      <c r="F2565" s="16" t="n">
        <v>36.043147</v>
      </c>
      <c r="G2565" s="16" t="n">
        <v>43.33942</v>
      </c>
      <c r="H2565" s="18" t="n">
        <v>70</v>
      </c>
      <c r="I2565" s="18" t="n">
        <v>420</v>
      </c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 t="n">
        <v>70</v>
      </c>
      <c r="W2565" s="19"/>
      <c r="X2565" s="19"/>
      <c r="Y2565" s="19"/>
      <c r="Z2565" s="19"/>
      <c r="AA2565" s="19"/>
      <c r="AB2565" s="19"/>
      <c r="AC2565" s="19" t="n">
        <v>70</v>
      </c>
      <c r="AD2565" s="19"/>
      <c r="AE2565" s="19"/>
      <c r="AF2565" s="19"/>
      <c r="AG2565" s="19"/>
      <c r="AH2565" s="19"/>
      <c r="AI2565" s="19"/>
      <c r="AJ2565" s="19"/>
      <c r="AK2565" s="19"/>
      <c r="AL2565" s="19"/>
      <c r="AM2565" s="19"/>
      <c r="AN2565" s="19"/>
      <c r="AO2565" s="19"/>
      <c r="AP2565" s="19"/>
      <c r="AQ2565" s="19"/>
      <c r="AR2565" s="19" t="n">
        <v>70</v>
      </c>
      <c r="AS2565" s="20" t="str">
        <f aca="false">HYPERLINK("http://www.openstreetmap.org/?mlat=36.0431&amp;mlon=43.3394&amp;zoom=12#map=12/36.0431/43.3394","Maplink1")</f>
        <v>Maplink1</v>
      </c>
      <c r="AT2565" s="20" t="str">
        <f aca="false">HYPERLINK("https://www.google.iq/maps/search/+36.0431,43.3394/@36.0431,43.3394,14z?hl=en","Maplink2")</f>
        <v>Maplink2</v>
      </c>
      <c r="AU2565" s="20" t="str">
        <f aca="false">HYPERLINK("http://www.bing.com/maps/?lvl=14&amp;sty=h&amp;cp=36.0431~43.3394&amp;sp=point.36.0431_43.3394","Maplink3")</f>
        <v>Maplink3</v>
      </c>
    </row>
    <row r="2566" customFormat="false" ht="15" hidden="false" customHeight="true" outlineLevel="0" collapsed="false">
      <c r="A2566" s="15" t="n">
        <v>17976</v>
      </c>
      <c r="B2566" s="16" t="s">
        <v>27</v>
      </c>
      <c r="C2566" s="16" t="s">
        <v>4938</v>
      </c>
      <c r="D2566" s="16" t="s">
        <v>4955</v>
      </c>
      <c r="E2566" s="17" t="s">
        <v>4956</v>
      </c>
      <c r="F2566" s="16" t="n">
        <v>36.3025</v>
      </c>
      <c r="G2566" s="16" t="n">
        <v>43.1765</v>
      </c>
      <c r="H2566" s="18" t="n">
        <v>33</v>
      </c>
      <c r="I2566" s="18" t="n">
        <v>198</v>
      </c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 t="n">
        <v>33</v>
      </c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9" t="n">
        <v>13</v>
      </c>
      <c r="AH2566" s="19"/>
      <c r="AI2566" s="19"/>
      <c r="AJ2566" s="19" t="n">
        <v>20</v>
      </c>
      <c r="AK2566" s="19"/>
      <c r="AL2566" s="19"/>
      <c r="AM2566" s="19"/>
      <c r="AN2566" s="19"/>
      <c r="AO2566" s="19" t="n">
        <v>33</v>
      </c>
      <c r="AP2566" s="19"/>
      <c r="AQ2566" s="19"/>
      <c r="AR2566" s="19"/>
      <c r="AS2566" s="20" t="str">
        <f aca="false">HYPERLINK("http://www.openstreetmap.org/?mlat=36.3025&amp;mlon=43.1765&amp;zoom=12#map=12/36.3025/43.1765","Maplink1")</f>
        <v>Maplink1</v>
      </c>
      <c r="AT2566" s="20" t="str">
        <f aca="false">HYPERLINK("https://www.google.iq/maps/search/+36.3025,43.1765/@36.3025,43.1765,14z?hl=en","Maplink2")</f>
        <v>Maplink2</v>
      </c>
      <c r="AU2566" s="20" t="str">
        <f aca="false">HYPERLINK("http://www.bing.com/maps/?lvl=14&amp;sty=h&amp;cp=36.3025~43.1765&amp;sp=point.36.3025_43.1765","Maplink3")</f>
        <v>Maplink3</v>
      </c>
    </row>
    <row r="2567" customFormat="false" ht="15" hidden="false" customHeight="true" outlineLevel="0" collapsed="false">
      <c r="A2567" s="15" t="n">
        <v>18251</v>
      </c>
      <c r="B2567" s="16" t="s">
        <v>27</v>
      </c>
      <c r="C2567" s="16" t="s">
        <v>4957</v>
      </c>
      <c r="D2567" s="16" t="s">
        <v>4958</v>
      </c>
      <c r="E2567" s="17" t="s">
        <v>4959</v>
      </c>
      <c r="F2567" s="16" t="n">
        <v>36.663983</v>
      </c>
      <c r="G2567" s="16" t="n">
        <v>43.26858</v>
      </c>
      <c r="H2567" s="18" t="n">
        <v>33</v>
      </c>
      <c r="I2567" s="18" t="n">
        <v>198</v>
      </c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 t="n">
        <v>33</v>
      </c>
      <c r="W2567" s="19"/>
      <c r="X2567" s="19"/>
      <c r="Y2567" s="19"/>
      <c r="Z2567" s="19"/>
      <c r="AA2567" s="19"/>
      <c r="AB2567" s="19"/>
      <c r="AC2567" s="19"/>
      <c r="AD2567" s="19"/>
      <c r="AE2567" s="19"/>
      <c r="AF2567" s="19"/>
      <c r="AG2567" s="19"/>
      <c r="AH2567" s="19"/>
      <c r="AI2567" s="19"/>
      <c r="AJ2567" s="19" t="n">
        <v>33</v>
      </c>
      <c r="AK2567" s="19"/>
      <c r="AL2567" s="19"/>
      <c r="AM2567" s="19"/>
      <c r="AN2567" s="19" t="n">
        <v>33</v>
      </c>
      <c r="AO2567" s="19"/>
      <c r="AP2567" s="19"/>
      <c r="AQ2567" s="19"/>
      <c r="AR2567" s="19"/>
      <c r="AS2567" s="20" t="str">
        <f aca="false">HYPERLINK("http://www.openstreetmap.org/?mlat=36.664&amp;mlon=43.2686&amp;zoom=12#map=12/36.664/43.2686","Maplink1")</f>
        <v>Maplink1</v>
      </c>
      <c r="AT2567" s="20" t="str">
        <f aca="false">HYPERLINK("https://www.google.iq/maps/search/+36.664,43.2686/@36.664,43.2686,14z?hl=en","Maplink2")</f>
        <v>Maplink2</v>
      </c>
      <c r="AU2567" s="20" t="str">
        <f aca="false">HYPERLINK("http://www.bing.com/maps/?lvl=14&amp;sty=h&amp;cp=36.664~43.2686&amp;sp=point.36.664_43.2686","Maplink3")</f>
        <v>Maplink3</v>
      </c>
    </row>
    <row r="2568" customFormat="false" ht="15" hidden="false" customHeight="true" outlineLevel="0" collapsed="false">
      <c r="A2568" s="15" t="n">
        <v>17338</v>
      </c>
      <c r="B2568" s="16" t="s">
        <v>27</v>
      </c>
      <c r="C2568" s="16" t="s">
        <v>4957</v>
      </c>
      <c r="D2568" s="16" t="s">
        <v>4960</v>
      </c>
      <c r="E2568" s="17" t="s">
        <v>4961</v>
      </c>
      <c r="F2568" s="16" t="n">
        <v>36.8376063</v>
      </c>
      <c r="G2568" s="16" t="n">
        <v>43.33634838</v>
      </c>
      <c r="H2568" s="18" t="n">
        <v>228</v>
      </c>
      <c r="I2568" s="18" t="n">
        <v>1368</v>
      </c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 t="n">
        <v>228</v>
      </c>
      <c r="W2568" s="19"/>
      <c r="X2568" s="19"/>
      <c r="Y2568" s="19"/>
      <c r="Z2568" s="19"/>
      <c r="AA2568" s="19"/>
      <c r="AB2568" s="19"/>
      <c r="AC2568" s="19" t="n">
        <v>28</v>
      </c>
      <c r="AD2568" s="19"/>
      <c r="AE2568" s="19"/>
      <c r="AF2568" s="19"/>
      <c r="AG2568" s="19"/>
      <c r="AH2568" s="19" t="n">
        <v>20</v>
      </c>
      <c r="AI2568" s="19"/>
      <c r="AJ2568" s="19" t="n">
        <v>180</v>
      </c>
      <c r="AK2568" s="19"/>
      <c r="AL2568" s="19"/>
      <c r="AM2568" s="19" t="n">
        <v>54</v>
      </c>
      <c r="AN2568" s="19" t="n">
        <v>174</v>
      </c>
      <c r="AO2568" s="19"/>
      <c r="AP2568" s="19"/>
      <c r="AQ2568" s="19"/>
      <c r="AR2568" s="19"/>
      <c r="AS2568" s="20" t="str">
        <f aca="false">HYPERLINK("http://www.openstreetmap.org/?mlat=36.8376&amp;mlon=43.3363&amp;zoom=12#map=12/36.8376/43.3363","Maplink1")</f>
        <v>Maplink1</v>
      </c>
      <c r="AT2568" s="20" t="str">
        <f aca="false">HYPERLINK("https://www.google.iq/maps/search/+36.8376,43.3363/@36.8376,43.3363,14z?hl=en","Maplink2")</f>
        <v>Maplink2</v>
      </c>
      <c r="AU2568" s="20" t="str">
        <f aca="false">HYPERLINK("http://www.bing.com/maps/?lvl=14&amp;sty=h&amp;cp=36.8376~43.3363&amp;sp=point.36.8376_43.3363","Maplink3")</f>
        <v>Maplink3</v>
      </c>
    </row>
    <row r="2569" customFormat="false" ht="15" hidden="false" customHeight="true" outlineLevel="0" collapsed="false">
      <c r="A2569" s="15" t="n">
        <v>17752</v>
      </c>
      <c r="B2569" s="16" t="s">
        <v>27</v>
      </c>
      <c r="C2569" s="16" t="s">
        <v>4957</v>
      </c>
      <c r="D2569" s="16" t="s">
        <v>4962</v>
      </c>
      <c r="E2569" s="17" t="s">
        <v>4963</v>
      </c>
      <c r="F2569" s="16" t="n">
        <v>36.72348539</v>
      </c>
      <c r="G2569" s="16" t="n">
        <v>43.25157534</v>
      </c>
      <c r="H2569" s="18" t="n">
        <v>1182</v>
      </c>
      <c r="I2569" s="18" t="n">
        <v>7092</v>
      </c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 t="n">
        <v>1182</v>
      </c>
      <c r="W2569" s="19"/>
      <c r="X2569" s="19"/>
      <c r="Y2569" s="19"/>
      <c r="Z2569" s="19"/>
      <c r="AA2569" s="19"/>
      <c r="AB2569" s="19"/>
      <c r="AC2569" s="19" t="n">
        <v>360</v>
      </c>
      <c r="AD2569" s="19"/>
      <c r="AE2569" s="19"/>
      <c r="AF2569" s="19"/>
      <c r="AG2569" s="19"/>
      <c r="AH2569" s="19" t="n">
        <v>415</v>
      </c>
      <c r="AI2569" s="19"/>
      <c r="AJ2569" s="19" t="n">
        <v>407</v>
      </c>
      <c r="AK2569" s="19"/>
      <c r="AL2569" s="19"/>
      <c r="AM2569" s="19"/>
      <c r="AN2569" s="19" t="n">
        <v>1177</v>
      </c>
      <c r="AO2569" s="19"/>
      <c r="AP2569" s="19" t="n">
        <v>5</v>
      </c>
      <c r="AQ2569" s="19"/>
      <c r="AR2569" s="19"/>
      <c r="AS2569" s="20" t="str">
        <f aca="false">HYPERLINK("http://www.openstreetmap.org/?mlat=36.7235&amp;mlon=43.2516&amp;zoom=12#map=12/36.7235/43.2516","Maplink1")</f>
        <v>Maplink1</v>
      </c>
      <c r="AT2569" s="20" t="str">
        <f aca="false">HYPERLINK("https://www.google.iq/maps/search/+36.7235,43.2516/@36.7235,43.2516,14z?hl=en","Maplink2")</f>
        <v>Maplink2</v>
      </c>
      <c r="AU2569" s="20" t="str">
        <f aca="false">HYPERLINK("http://www.bing.com/maps/?lvl=14&amp;sty=h&amp;cp=36.7235~43.2516&amp;sp=point.36.7235_43.2516","Maplink3")</f>
        <v>Maplink3</v>
      </c>
    </row>
    <row r="2570" customFormat="false" ht="15" hidden="false" customHeight="true" outlineLevel="0" collapsed="false">
      <c r="A2570" s="15" t="n">
        <v>18294</v>
      </c>
      <c r="B2570" s="16" t="s">
        <v>27</v>
      </c>
      <c r="C2570" s="16" t="s">
        <v>4957</v>
      </c>
      <c r="D2570" s="16" t="s">
        <v>4964</v>
      </c>
      <c r="E2570" s="17" t="s">
        <v>4965</v>
      </c>
      <c r="F2570" s="16" t="n">
        <v>36.70345432</v>
      </c>
      <c r="G2570" s="16" t="n">
        <v>43.32377762</v>
      </c>
      <c r="H2570" s="18" t="n">
        <v>120</v>
      </c>
      <c r="I2570" s="18" t="n">
        <v>720</v>
      </c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 t="n">
        <v>120</v>
      </c>
      <c r="W2570" s="19"/>
      <c r="X2570" s="19"/>
      <c r="Y2570" s="19"/>
      <c r="Z2570" s="19"/>
      <c r="AA2570" s="19"/>
      <c r="AB2570" s="19"/>
      <c r="AC2570" s="19" t="n">
        <v>33</v>
      </c>
      <c r="AD2570" s="19"/>
      <c r="AE2570" s="19" t="n">
        <v>1</v>
      </c>
      <c r="AF2570" s="19"/>
      <c r="AG2570" s="19"/>
      <c r="AH2570" s="19" t="n">
        <v>3</v>
      </c>
      <c r="AI2570" s="19"/>
      <c r="AJ2570" s="19" t="n">
        <v>83</v>
      </c>
      <c r="AK2570" s="19"/>
      <c r="AL2570" s="19"/>
      <c r="AM2570" s="19"/>
      <c r="AN2570" s="19" t="n">
        <v>120</v>
      </c>
      <c r="AO2570" s="19"/>
      <c r="AP2570" s="19"/>
      <c r="AQ2570" s="19"/>
      <c r="AR2570" s="19"/>
      <c r="AS2570" s="20" t="str">
        <f aca="false">HYPERLINK("http://www.openstreetmap.org/?mlat=36.7035&amp;mlon=43.3238&amp;zoom=12#map=12/36.7035/43.3238","Maplink1")</f>
        <v>Maplink1</v>
      </c>
      <c r="AT2570" s="20" t="str">
        <f aca="false">HYPERLINK("https://www.google.iq/maps/search/+36.7035,43.3238/@36.7035,43.3238,14z?hl=en","Maplink2")</f>
        <v>Maplink2</v>
      </c>
      <c r="AU2570" s="20" t="str">
        <f aca="false">HYPERLINK("http://www.bing.com/maps/?lvl=14&amp;sty=h&amp;cp=36.7035~43.3238&amp;sp=point.36.7035_43.3238","Maplink3")</f>
        <v>Maplink3</v>
      </c>
    </row>
    <row r="2571" customFormat="false" ht="15" hidden="false" customHeight="true" outlineLevel="0" collapsed="false">
      <c r="A2571" s="15" t="n">
        <v>18265</v>
      </c>
      <c r="B2571" s="16" t="s">
        <v>27</v>
      </c>
      <c r="C2571" s="16" t="s">
        <v>4957</v>
      </c>
      <c r="D2571" s="16" t="s">
        <v>4966</v>
      </c>
      <c r="E2571" s="17" t="s">
        <v>4967</v>
      </c>
      <c r="F2571" s="16" t="n">
        <v>36.65063774</v>
      </c>
      <c r="G2571" s="16" t="n">
        <v>43.38105746</v>
      </c>
      <c r="H2571" s="18" t="n">
        <v>90</v>
      </c>
      <c r="I2571" s="18" t="n">
        <v>540</v>
      </c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 t="n">
        <v>90</v>
      </c>
      <c r="W2571" s="19"/>
      <c r="X2571" s="19"/>
      <c r="Y2571" s="19"/>
      <c r="Z2571" s="19"/>
      <c r="AA2571" s="19"/>
      <c r="AB2571" s="19"/>
      <c r="AC2571" s="19" t="n">
        <v>29</v>
      </c>
      <c r="AD2571" s="19"/>
      <c r="AE2571" s="19" t="n">
        <v>1</v>
      </c>
      <c r="AF2571" s="19"/>
      <c r="AG2571" s="19"/>
      <c r="AH2571" s="19" t="n">
        <v>1</v>
      </c>
      <c r="AI2571" s="19"/>
      <c r="AJ2571" s="19" t="n">
        <v>59</v>
      </c>
      <c r="AK2571" s="19"/>
      <c r="AL2571" s="19"/>
      <c r="AM2571" s="19"/>
      <c r="AN2571" s="19" t="n">
        <v>90</v>
      </c>
      <c r="AO2571" s="19"/>
      <c r="AP2571" s="19"/>
      <c r="AQ2571" s="19"/>
      <c r="AR2571" s="19"/>
      <c r="AS2571" s="20" t="str">
        <f aca="false">HYPERLINK("http://www.openstreetmap.org/?mlat=36.6506&amp;mlon=43.3811&amp;zoom=12#map=12/36.6506/43.3811","Maplink1")</f>
        <v>Maplink1</v>
      </c>
      <c r="AT2571" s="20" t="str">
        <f aca="false">HYPERLINK("https://www.google.iq/maps/search/+36.6506,43.3811/@36.6506,43.3811,14z?hl=en","Maplink2")</f>
        <v>Maplink2</v>
      </c>
      <c r="AU2571" s="20" t="str">
        <f aca="false">HYPERLINK("http://www.bing.com/maps/?lvl=14&amp;sty=h&amp;cp=36.6506~43.3811&amp;sp=point.36.6506_43.3811","Maplink3")</f>
        <v>Maplink3</v>
      </c>
    </row>
    <row r="2572" customFormat="false" ht="15" hidden="false" customHeight="true" outlineLevel="0" collapsed="false">
      <c r="A2572" s="15" t="n">
        <v>29608</v>
      </c>
      <c r="B2572" s="16" t="s">
        <v>27</v>
      </c>
      <c r="C2572" s="16" t="s">
        <v>4957</v>
      </c>
      <c r="D2572" s="16" t="s">
        <v>4968</v>
      </c>
      <c r="E2572" s="17" t="s">
        <v>4969</v>
      </c>
      <c r="F2572" s="16" t="n">
        <v>36.823772</v>
      </c>
      <c r="G2572" s="16" t="n">
        <v>43.332392</v>
      </c>
      <c r="H2572" s="18" t="n">
        <v>27</v>
      </c>
      <c r="I2572" s="18" t="n">
        <v>162</v>
      </c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 t="n">
        <v>27</v>
      </c>
      <c r="W2572" s="19"/>
      <c r="X2572" s="19"/>
      <c r="Y2572" s="19"/>
      <c r="Z2572" s="19"/>
      <c r="AA2572" s="19"/>
      <c r="AB2572" s="19"/>
      <c r="AC2572" s="19"/>
      <c r="AD2572" s="19"/>
      <c r="AE2572" s="19"/>
      <c r="AF2572" s="19"/>
      <c r="AG2572" s="19"/>
      <c r="AH2572" s="19"/>
      <c r="AI2572" s="19"/>
      <c r="AJ2572" s="19" t="n">
        <v>27</v>
      </c>
      <c r="AK2572" s="19"/>
      <c r="AL2572" s="19"/>
      <c r="AM2572" s="19"/>
      <c r="AN2572" s="19" t="n">
        <v>27</v>
      </c>
      <c r="AO2572" s="19"/>
      <c r="AP2572" s="19"/>
      <c r="AQ2572" s="19"/>
      <c r="AR2572" s="19"/>
      <c r="AS2572" s="20" t="str">
        <f aca="false">HYPERLINK("http://www.openstreetmap.org/?mlat=36.8238&amp;mlon=43.3324&amp;zoom=12#map=12/36.8238/43.3324","Maplink1")</f>
        <v>Maplink1</v>
      </c>
      <c r="AT2572" s="20" t="str">
        <f aca="false">HYPERLINK("https://www.google.iq/maps/search/+36.8238,43.3324/@36.8238,43.3324,14z?hl=en","Maplink2")</f>
        <v>Maplink2</v>
      </c>
      <c r="AU2572" s="20" t="str">
        <f aca="false">HYPERLINK("http://www.bing.com/maps/?lvl=14&amp;sty=h&amp;cp=36.8238~43.3324&amp;sp=point.36.8238_43.3324","Maplink3")</f>
        <v>Maplink3</v>
      </c>
    </row>
    <row r="2573" customFormat="false" ht="15" hidden="false" customHeight="true" outlineLevel="0" collapsed="false">
      <c r="A2573" s="15" t="n">
        <v>21008</v>
      </c>
      <c r="B2573" s="16" t="s">
        <v>27</v>
      </c>
      <c r="C2573" s="16" t="s">
        <v>4957</v>
      </c>
      <c r="D2573" s="16" t="s">
        <v>4970</v>
      </c>
      <c r="E2573" s="17" t="s">
        <v>4971</v>
      </c>
      <c r="F2573" s="16" t="n">
        <v>36.63750127</v>
      </c>
      <c r="G2573" s="16" t="n">
        <v>43.52610427</v>
      </c>
      <c r="H2573" s="18" t="n">
        <v>438</v>
      </c>
      <c r="I2573" s="18" t="n">
        <v>2628</v>
      </c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 t="n">
        <v>438</v>
      </c>
      <c r="W2573" s="19"/>
      <c r="X2573" s="19"/>
      <c r="Y2573" s="19"/>
      <c r="Z2573" s="19"/>
      <c r="AA2573" s="19"/>
      <c r="AB2573" s="19"/>
      <c r="AC2573" s="19" t="n">
        <v>79</v>
      </c>
      <c r="AD2573" s="19"/>
      <c r="AE2573" s="19"/>
      <c r="AF2573" s="19"/>
      <c r="AG2573" s="19" t="n">
        <v>2</v>
      </c>
      <c r="AH2573" s="19" t="n">
        <v>204</v>
      </c>
      <c r="AI2573" s="19"/>
      <c r="AJ2573" s="19" t="n">
        <v>153</v>
      </c>
      <c r="AK2573" s="19"/>
      <c r="AL2573" s="19"/>
      <c r="AM2573" s="19" t="n">
        <v>211</v>
      </c>
      <c r="AN2573" s="19" t="n">
        <v>227</v>
      </c>
      <c r="AO2573" s="19"/>
      <c r="AP2573" s="19"/>
      <c r="AQ2573" s="19"/>
      <c r="AR2573" s="19"/>
      <c r="AS2573" s="20" t="str">
        <f aca="false">HYPERLINK("http://www.openstreetmap.org/?mlat=36.6375&amp;mlon=43.5261&amp;zoom=12#map=12/36.6375/43.5261","Maplink1")</f>
        <v>Maplink1</v>
      </c>
      <c r="AT2573" s="20" t="str">
        <f aca="false">HYPERLINK("https://www.google.iq/maps/search/+36.6375,43.5261/@36.6375,43.5261,14z?hl=en","Maplink2")</f>
        <v>Maplink2</v>
      </c>
      <c r="AU2573" s="20" t="str">
        <f aca="false">HYPERLINK("http://www.bing.com/maps/?lvl=14&amp;sty=h&amp;cp=36.6375~43.5261&amp;sp=point.36.6375_43.5261","Maplink3")</f>
        <v>Maplink3</v>
      </c>
    </row>
    <row r="2574" customFormat="false" ht="15" hidden="false" customHeight="true" outlineLevel="0" collapsed="false">
      <c r="A2574" s="15" t="n">
        <v>18246</v>
      </c>
      <c r="B2574" s="16" t="s">
        <v>27</v>
      </c>
      <c r="C2574" s="16" t="s">
        <v>4957</v>
      </c>
      <c r="D2574" s="16" t="s">
        <v>4972</v>
      </c>
      <c r="E2574" s="17" t="s">
        <v>4973</v>
      </c>
      <c r="F2574" s="16" t="n">
        <v>36.660516</v>
      </c>
      <c r="G2574" s="16" t="n">
        <v>43.302072</v>
      </c>
      <c r="H2574" s="18" t="n">
        <v>10</v>
      </c>
      <c r="I2574" s="18" t="n">
        <v>60</v>
      </c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 t="n">
        <v>10</v>
      </c>
      <c r="W2574" s="19"/>
      <c r="X2574" s="19"/>
      <c r="Y2574" s="19"/>
      <c r="Z2574" s="19"/>
      <c r="AA2574" s="19"/>
      <c r="AB2574" s="19"/>
      <c r="AC2574" s="19" t="n">
        <v>6</v>
      </c>
      <c r="AD2574" s="19"/>
      <c r="AE2574" s="19"/>
      <c r="AF2574" s="19"/>
      <c r="AG2574" s="19"/>
      <c r="AH2574" s="19"/>
      <c r="AI2574" s="19"/>
      <c r="AJ2574" s="19" t="n">
        <v>4</v>
      </c>
      <c r="AK2574" s="19"/>
      <c r="AL2574" s="19"/>
      <c r="AM2574" s="19"/>
      <c r="AN2574" s="19" t="n">
        <v>10</v>
      </c>
      <c r="AO2574" s="19"/>
      <c r="AP2574" s="19"/>
      <c r="AQ2574" s="19"/>
      <c r="AR2574" s="19"/>
      <c r="AS2574" s="20" t="str">
        <f aca="false">HYPERLINK("http://www.openstreetmap.org/?mlat=36.6605&amp;mlon=43.3021&amp;zoom=12#map=12/36.6605/43.3021","Maplink1")</f>
        <v>Maplink1</v>
      </c>
      <c r="AT2574" s="20" t="str">
        <f aca="false">HYPERLINK("https://www.google.iq/maps/search/+36.6605,43.3021/@36.6605,43.3021,14z?hl=en","Maplink2")</f>
        <v>Maplink2</v>
      </c>
      <c r="AU2574" s="20" t="str">
        <f aca="false">HYPERLINK("http://www.bing.com/maps/?lvl=14&amp;sty=h&amp;cp=36.6605~43.3021&amp;sp=point.36.6605_43.3021","Maplink3")</f>
        <v>Maplink3</v>
      </c>
    </row>
    <row r="2575" customFormat="false" ht="15" hidden="false" customHeight="true" outlineLevel="0" collapsed="false">
      <c r="A2575" s="15" t="n">
        <v>24796</v>
      </c>
      <c r="B2575" s="16" t="s">
        <v>27</v>
      </c>
      <c r="C2575" s="16" t="s">
        <v>4957</v>
      </c>
      <c r="D2575" s="16" t="s">
        <v>4974</v>
      </c>
      <c r="E2575" s="17" t="s">
        <v>4975</v>
      </c>
      <c r="F2575" s="16" t="n">
        <v>36.72215342</v>
      </c>
      <c r="G2575" s="16" t="n">
        <v>43.26618857</v>
      </c>
      <c r="H2575" s="18" t="n">
        <v>2767</v>
      </c>
      <c r="I2575" s="18" t="n">
        <v>16602</v>
      </c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 t="n">
        <v>2767</v>
      </c>
      <c r="W2575" s="19"/>
      <c r="X2575" s="19"/>
      <c r="Y2575" s="19"/>
      <c r="Z2575" s="19"/>
      <c r="AA2575" s="19"/>
      <c r="AB2575" s="19" t="n">
        <v>2767</v>
      </c>
      <c r="AC2575" s="19"/>
      <c r="AD2575" s="19"/>
      <c r="AE2575" s="19"/>
      <c r="AF2575" s="19"/>
      <c r="AG2575" s="19"/>
      <c r="AH2575" s="19"/>
      <c r="AI2575" s="19"/>
      <c r="AJ2575" s="19"/>
      <c r="AK2575" s="19"/>
      <c r="AL2575" s="19"/>
      <c r="AM2575" s="19"/>
      <c r="AN2575" s="19" t="n">
        <v>2767</v>
      </c>
      <c r="AO2575" s="19"/>
      <c r="AP2575" s="19"/>
      <c r="AQ2575" s="19"/>
      <c r="AR2575" s="19"/>
      <c r="AS2575" s="20" t="str">
        <f aca="false">HYPERLINK("http://www.openstreetmap.org/?mlat=36.7222&amp;mlon=43.2662&amp;zoom=12#map=12/36.7222/43.2662","Maplink1")</f>
        <v>Maplink1</v>
      </c>
      <c r="AT2575" s="20" t="str">
        <f aca="false">HYPERLINK("https://www.google.iq/maps/search/+36.7222,43.2662/@36.7222,43.2662,14z?hl=en","Maplink2")</f>
        <v>Maplink2</v>
      </c>
      <c r="AU2575" s="20" t="str">
        <f aca="false">HYPERLINK("http://www.bing.com/maps/?lvl=14&amp;sty=h&amp;cp=36.7222~43.2662&amp;sp=point.36.7222_43.2662","Maplink3")</f>
        <v>Maplink3</v>
      </c>
    </row>
    <row r="2576" customFormat="false" ht="15" hidden="false" customHeight="true" outlineLevel="0" collapsed="false">
      <c r="A2576" s="15" t="n">
        <v>25945</v>
      </c>
      <c r="B2576" s="16" t="s">
        <v>27</v>
      </c>
      <c r="C2576" s="16" t="s">
        <v>4957</v>
      </c>
      <c r="D2576" s="16" t="s">
        <v>4976</v>
      </c>
      <c r="E2576" s="17" t="s">
        <v>4977</v>
      </c>
      <c r="F2576" s="16" t="n">
        <v>36.71646145</v>
      </c>
      <c r="G2576" s="16" t="n">
        <v>43.28936102</v>
      </c>
      <c r="H2576" s="18" t="n">
        <v>299</v>
      </c>
      <c r="I2576" s="18" t="n">
        <v>1794</v>
      </c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 t="n">
        <v>299</v>
      </c>
      <c r="W2576" s="19"/>
      <c r="X2576" s="19"/>
      <c r="Y2576" s="19"/>
      <c r="Z2576" s="19"/>
      <c r="AA2576" s="19"/>
      <c r="AB2576" s="19"/>
      <c r="AC2576" s="19" t="n">
        <v>30</v>
      </c>
      <c r="AD2576" s="19"/>
      <c r="AE2576" s="19"/>
      <c r="AF2576" s="19"/>
      <c r="AG2576" s="19"/>
      <c r="AH2576" s="19" t="n">
        <v>13</v>
      </c>
      <c r="AI2576" s="19"/>
      <c r="AJ2576" s="19" t="n">
        <v>256</v>
      </c>
      <c r="AK2576" s="19"/>
      <c r="AL2576" s="19"/>
      <c r="AM2576" s="19"/>
      <c r="AN2576" s="19" t="n">
        <v>299</v>
      </c>
      <c r="AO2576" s="19"/>
      <c r="AP2576" s="19"/>
      <c r="AQ2576" s="19"/>
      <c r="AR2576" s="19"/>
      <c r="AS2576" s="20" t="str">
        <f aca="false">HYPERLINK("http://www.openstreetmap.org/?mlat=36.7165&amp;mlon=43.2894&amp;zoom=12#map=12/36.7165/43.2894","Maplink1")</f>
        <v>Maplink1</v>
      </c>
      <c r="AT2576" s="20" t="str">
        <f aca="false">HYPERLINK("https://www.google.iq/maps/search/+36.7165,43.2894/@36.7165,43.2894,14z?hl=en","Maplink2")</f>
        <v>Maplink2</v>
      </c>
      <c r="AU2576" s="20" t="str">
        <f aca="false">HYPERLINK("http://www.bing.com/maps/?lvl=14&amp;sty=h&amp;cp=36.7165~43.2894&amp;sp=point.36.7165_43.2894","Maplink3")</f>
        <v>Maplink3</v>
      </c>
    </row>
    <row r="2577" customFormat="false" ht="15" hidden="false" customHeight="true" outlineLevel="0" collapsed="false">
      <c r="A2577" s="15" t="n">
        <v>18058</v>
      </c>
      <c r="B2577" s="16" t="s">
        <v>27</v>
      </c>
      <c r="C2577" s="16" t="s">
        <v>4957</v>
      </c>
      <c r="D2577" s="16" t="s">
        <v>4978</v>
      </c>
      <c r="E2577" s="17" t="s">
        <v>4979</v>
      </c>
      <c r="F2577" s="16" t="n">
        <v>36.58116491</v>
      </c>
      <c r="G2577" s="16" t="n">
        <v>43.52031698</v>
      </c>
      <c r="H2577" s="18" t="n">
        <v>938</v>
      </c>
      <c r="I2577" s="18" t="n">
        <v>5628</v>
      </c>
      <c r="J2577" s="19" t="n">
        <v>4</v>
      </c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 t="n">
        <v>934</v>
      </c>
      <c r="W2577" s="19"/>
      <c r="X2577" s="19"/>
      <c r="Y2577" s="19"/>
      <c r="Z2577" s="19"/>
      <c r="AA2577" s="19"/>
      <c r="AB2577" s="19"/>
      <c r="AC2577" s="19" t="n">
        <v>155</v>
      </c>
      <c r="AD2577" s="19"/>
      <c r="AE2577" s="19"/>
      <c r="AF2577" s="19"/>
      <c r="AG2577" s="19"/>
      <c r="AH2577" s="19" t="n">
        <v>611</v>
      </c>
      <c r="AI2577" s="19" t="n">
        <v>3</v>
      </c>
      <c r="AJ2577" s="19" t="n">
        <v>169</v>
      </c>
      <c r="AK2577" s="19"/>
      <c r="AL2577" s="19" t="n">
        <v>4</v>
      </c>
      <c r="AM2577" s="19" t="n">
        <v>408</v>
      </c>
      <c r="AN2577" s="19" t="n">
        <v>522</v>
      </c>
      <c r="AO2577" s="19"/>
      <c r="AP2577" s="19"/>
      <c r="AQ2577" s="19" t="n">
        <v>4</v>
      </c>
      <c r="AR2577" s="19"/>
      <c r="AS2577" s="20" t="str">
        <f aca="false">HYPERLINK("http://www.openstreetmap.org/?mlat=36.5812&amp;mlon=43.5203&amp;zoom=12#map=12/36.5812/43.5203","Maplink1")</f>
        <v>Maplink1</v>
      </c>
      <c r="AT2577" s="20" t="str">
        <f aca="false">HYPERLINK("https://www.google.iq/maps/search/+36.5812,43.5203/@36.5812,43.5203,14z?hl=en","Maplink2")</f>
        <v>Maplink2</v>
      </c>
      <c r="AU2577" s="20" t="str">
        <f aca="false">HYPERLINK("http://www.bing.com/maps/?lvl=14&amp;sty=h&amp;cp=36.5812~43.5203&amp;sp=point.36.5812_43.5203","Maplink3")</f>
        <v>Maplink3</v>
      </c>
    </row>
    <row r="2578" customFormat="false" ht="15" hidden="false" customHeight="true" outlineLevel="0" collapsed="false">
      <c r="A2578" s="15" t="n">
        <v>18213</v>
      </c>
      <c r="B2578" s="16" t="s">
        <v>27</v>
      </c>
      <c r="C2578" s="16" t="s">
        <v>4957</v>
      </c>
      <c r="D2578" s="16" t="s">
        <v>4980</v>
      </c>
      <c r="E2578" s="17" t="s">
        <v>4981</v>
      </c>
      <c r="F2578" s="16" t="n">
        <v>36.77234476</v>
      </c>
      <c r="G2578" s="16" t="n">
        <v>43.30901306</v>
      </c>
      <c r="H2578" s="18" t="n">
        <v>8</v>
      </c>
      <c r="I2578" s="18" t="n">
        <v>48</v>
      </c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 t="n">
        <v>8</v>
      </c>
      <c r="W2578" s="19"/>
      <c r="X2578" s="19"/>
      <c r="Y2578" s="19"/>
      <c r="Z2578" s="19"/>
      <c r="AA2578" s="19"/>
      <c r="AB2578" s="19"/>
      <c r="AC2578" s="19"/>
      <c r="AD2578" s="19"/>
      <c r="AE2578" s="19"/>
      <c r="AF2578" s="19"/>
      <c r="AG2578" s="19" t="n">
        <v>8</v>
      </c>
      <c r="AH2578" s="19"/>
      <c r="AI2578" s="19"/>
      <c r="AJ2578" s="19"/>
      <c r="AK2578" s="19"/>
      <c r="AL2578" s="19"/>
      <c r="AM2578" s="19"/>
      <c r="AN2578" s="19" t="n">
        <v>8</v>
      </c>
      <c r="AO2578" s="19"/>
      <c r="AP2578" s="19"/>
      <c r="AQ2578" s="19"/>
      <c r="AR2578" s="19"/>
      <c r="AS2578" s="20" t="str">
        <f aca="false">HYPERLINK("http://www.openstreetmap.org/?mlat=36.7723&amp;mlon=43.309&amp;zoom=12#map=12/36.7723/43.309","Maplink1")</f>
        <v>Maplink1</v>
      </c>
      <c r="AT2578" s="20" t="str">
        <f aca="false">HYPERLINK("https://www.google.iq/maps/search/+36.7723,43.309/@36.7723,43.309,14z?hl=en","Maplink2")</f>
        <v>Maplink2</v>
      </c>
      <c r="AU2578" s="20" t="str">
        <f aca="false">HYPERLINK("http://www.bing.com/maps/?lvl=14&amp;sty=h&amp;cp=36.7723~43.309&amp;sp=point.36.7723_43.309","Maplink3")</f>
        <v>Maplink3</v>
      </c>
    </row>
    <row r="2579" customFormat="false" ht="15" hidden="false" customHeight="true" outlineLevel="0" collapsed="false">
      <c r="A2579" s="15" t="n">
        <v>17535</v>
      </c>
      <c r="B2579" s="16" t="s">
        <v>27</v>
      </c>
      <c r="C2579" s="16" t="s">
        <v>4957</v>
      </c>
      <c r="D2579" s="16" t="s">
        <v>4982</v>
      </c>
      <c r="E2579" s="17" t="s">
        <v>4983</v>
      </c>
      <c r="F2579" s="16" t="n">
        <v>36.64930622</v>
      </c>
      <c r="G2579" s="16" t="n">
        <v>43.4069732</v>
      </c>
      <c r="H2579" s="18" t="n">
        <v>830</v>
      </c>
      <c r="I2579" s="18" t="n">
        <v>4980</v>
      </c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 t="n">
        <v>830</v>
      </c>
      <c r="W2579" s="19"/>
      <c r="X2579" s="19"/>
      <c r="Y2579" s="19"/>
      <c r="Z2579" s="19"/>
      <c r="AA2579" s="19"/>
      <c r="AB2579" s="19"/>
      <c r="AC2579" s="19" t="n">
        <v>413</v>
      </c>
      <c r="AD2579" s="19"/>
      <c r="AE2579" s="19" t="n">
        <v>7</v>
      </c>
      <c r="AF2579" s="19"/>
      <c r="AG2579" s="19" t="n">
        <v>52</v>
      </c>
      <c r="AH2579" s="19" t="n">
        <v>96</v>
      </c>
      <c r="AI2579" s="19"/>
      <c r="AJ2579" s="19" t="n">
        <v>262</v>
      </c>
      <c r="AK2579" s="19"/>
      <c r="AL2579" s="19"/>
      <c r="AM2579" s="19"/>
      <c r="AN2579" s="19" t="n">
        <v>830</v>
      </c>
      <c r="AO2579" s="19"/>
      <c r="AP2579" s="19"/>
      <c r="AQ2579" s="19"/>
      <c r="AR2579" s="19"/>
      <c r="AS2579" s="20" t="str">
        <f aca="false">HYPERLINK("http://www.openstreetmap.org/?mlat=36.6493&amp;mlon=43.407&amp;zoom=12#map=12/36.6493/43.407","Maplink1")</f>
        <v>Maplink1</v>
      </c>
      <c r="AT2579" s="20" t="str">
        <f aca="false">HYPERLINK("https://www.google.iq/maps/search/+36.6493,43.407/@36.6493,43.407,14z?hl=en","Maplink2")</f>
        <v>Maplink2</v>
      </c>
      <c r="AU2579" s="20" t="str">
        <f aca="false">HYPERLINK("http://www.bing.com/maps/?lvl=14&amp;sty=h&amp;cp=36.6493~43.407&amp;sp=point.36.6493_43.407","Maplink3")</f>
        <v>Maplink3</v>
      </c>
    </row>
    <row r="2580" customFormat="false" ht="15" hidden="false" customHeight="true" outlineLevel="0" collapsed="false">
      <c r="A2580" s="15" t="n">
        <v>27230</v>
      </c>
      <c r="B2580" s="16" t="s">
        <v>27</v>
      </c>
      <c r="C2580" s="16" t="s">
        <v>4957</v>
      </c>
      <c r="D2580" s="16" t="s">
        <v>4984</v>
      </c>
      <c r="E2580" s="17" t="s">
        <v>4985</v>
      </c>
      <c r="F2580" s="16" t="n">
        <v>36.672382</v>
      </c>
      <c r="G2580" s="16" t="n">
        <v>43.434327</v>
      </c>
      <c r="H2580" s="18" t="n">
        <v>1044</v>
      </c>
      <c r="I2580" s="18" t="n">
        <v>6264</v>
      </c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 t="n">
        <v>1044</v>
      </c>
      <c r="W2580" s="19"/>
      <c r="X2580" s="19"/>
      <c r="Y2580" s="19"/>
      <c r="Z2580" s="19"/>
      <c r="AA2580" s="19"/>
      <c r="AB2580" s="19" t="n">
        <v>1044</v>
      </c>
      <c r="AC2580" s="19"/>
      <c r="AD2580" s="19"/>
      <c r="AE2580" s="19"/>
      <c r="AF2580" s="19"/>
      <c r="AG2580" s="19"/>
      <c r="AH2580" s="19"/>
      <c r="AI2580" s="19"/>
      <c r="AJ2580" s="19"/>
      <c r="AK2580" s="19"/>
      <c r="AL2580" s="19"/>
      <c r="AM2580" s="19"/>
      <c r="AN2580" s="19" t="n">
        <v>1044</v>
      </c>
      <c r="AO2580" s="19"/>
      <c r="AP2580" s="19"/>
      <c r="AQ2580" s="19"/>
      <c r="AR2580" s="19"/>
      <c r="AS2580" s="20" t="str">
        <f aca="false">HYPERLINK("http://www.openstreetmap.org/?mlat=36.6724&amp;mlon=43.4343&amp;zoom=12#map=12/36.6724/43.4343","Maplink1")</f>
        <v>Maplink1</v>
      </c>
      <c r="AT2580" s="20" t="str">
        <f aca="false">HYPERLINK("https://www.google.iq/maps/search/+36.6724,43.4343/@36.6724,43.4343,14z?hl=en","Maplink2")</f>
        <v>Maplink2</v>
      </c>
      <c r="AU2580" s="20" t="str">
        <f aca="false">HYPERLINK("http://www.bing.com/maps/?lvl=14&amp;sty=h&amp;cp=36.6724~43.4343&amp;sp=point.36.6724_43.4343","Maplink3")</f>
        <v>Maplink3</v>
      </c>
    </row>
    <row r="2581" customFormat="false" ht="15" hidden="false" customHeight="true" outlineLevel="0" collapsed="false">
      <c r="A2581" s="15" t="n">
        <v>17532</v>
      </c>
      <c r="B2581" s="16" t="s">
        <v>27</v>
      </c>
      <c r="C2581" s="16" t="s">
        <v>4957</v>
      </c>
      <c r="D2581" s="16" t="s">
        <v>4986</v>
      </c>
      <c r="E2581" s="17" t="s">
        <v>4987</v>
      </c>
      <c r="F2581" s="16" t="n">
        <v>36.66671219</v>
      </c>
      <c r="G2581" s="16" t="n">
        <v>43.42688596</v>
      </c>
      <c r="H2581" s="18" t="n">
        <v>71</v>
      </c>
      <c r="I2581" s="18" t="n">
        <v>426</v>
      </c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 t="n">
        <v>71</v>
      </c>
      <c r="W2581" s="19"/>
      <c r="X2581" s="19"/>
      <c r="Y2581" s="19"/>
      <c r="Z2581" s="19"/>
      <c r="AA2581" s="19"/>
      <c r="AB2581" s="19"/>
      <c r="AC2581" s="19" t="n">
        <v>26</v>
      </c>
      <c r="AD2581" s="19"/>
      <c r="AE2581" s="19"/>
      <c r="AF2581" s="19"/>
      <c r="AG2581" s="19"/>
      <c r="AH2581" s="19"/>
      <c r="AI2581" s="19"/>
      <c r="AJ2581" s="19" t="n">
        <v>45</v>
      </c>
      <c r="AK2581" s="19"/>
      <c r="AL2581" s="19"/>
      <c r="AM2581" s="19"/>
      <c r="AN2581" s="19" t="n">
        <v>71</v>
      </c>
      <c r="AO2581" s="19"/>
      <c r="AP2581" s="19"/>
      <c r="AQ2581" s="19"/>
      <c r="AR2581" s="19"/>
      <c r="AS2581" s="20" t="str">
        <f aca="false">HYPERLINK("http://www.openstreetmap.org/?mlat=36.6667&amp;mlon=43.4269&amp;zoom=12#map=12/36.6667/43.4269","Maplink1")</f>
        <v>Maplink1</v>
      </c>
      <c r="AT2581" s="20" t="str">
        <f aca="false">HYPERLINK("https://www.google.iq/maps/search/+36.6667,43.4269/@36.6667,43.4269,14z?hl=en","Maplink2")</f>
        <v>Maplink2</v>
      </c>
      <c r="AU2581" s="20" t="str">
        <f aca="false">HYPERLINK("http://www.bing.com/maps/?lvl=14&amp;sty=h&amp;cp=36.6667~43.4269&amp;sp=point.36.6667_43.4269","Maplink3")</f>
        <v>Maplink3</v>
      </c>
    </row>
    <row r="2582" customFormat="false" ht="15" hidden="false" customHeight="true" outlineLevel="0" collapsed="false">
      <c r="A2582" s="15" t="n">
        <v>16949</v>
      </c>
      <c r="B2582" s="16" t="s">
        <v>27</v>
      </c>
      <c r="C2582" s="16" t="s">
        <v>4957</v>
      </c>
      <c r="D2582" s="16" t="s">
        <v>4988</v>
      </c>
      <c r="E2582" s="17" t="s">
        <v>4989</v>
      </c>
      <c r="F2582" s="16" t="n">
        <v>36.80484</v>
      </c>
      <c r="G2582" s="16" t="n">
        <v>43.511971</v>
      </c>
      <c r="H2582" s="18" t="n">
        <v>27</v>
      </c>
      <c r="I2582" s="18" t="n">
        <v>162</v>
      </c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 t="n">
        <v>27</v>
      </c>
      <c r="W2582" s="19"/>
      <c r="X2582" s="19"/>
      <c r="Y2582" s="19"/>
      <c r="Z2582" s="19"/>
      <c r="AA2582" s="19"/>
      <c r="AB2582" s="19"/>
      <c r="AC2582" s="19"/>
      <c r="AD2582" s="19"/>
      <c r="AE2582" s="19"/>
      <c r="AF2582" s="19"/>
      <c r="AG2582" s="19"/>
      <c r="AH2582" s="19"/>
      <c r="AI2582" s="19"/>
      <c r="AJ2582" s="19" t="n">
        <v>27</v>
      </c>
      <c r="AK2582" s="19"/>
      <c r="AL2582" s="19"/>
      <c r="AM2582" s="19"/>
      <c r="AN2582" s="19" t="n">
        <v>27</v>
      </c>
      <c r="AO2582" s="19"/>
      <c r="AP2582" s="19"/>
      <c r="AQ2582" s="19"/>
      <c r="AR2582" s="19"/>
      <c r="AS2582" s="20" t="str">
        <f aca="false">HYPERLINK("http://www.openstreetmap.org/?mlat=36.8048&amp;mlon=43.512&amp;zoom=12#map=12/36.8048/43.512","Maplink1")</f>
        <v>Maplink1</v>
      </c>
      <c r="AT2582" s="20" t="str">
        <f aca="false">HYPERLINK("https://www.google.iq/maps/search/+36.8048,43.512/@36.8048,43.512,14z?hl=en","Maplink2")</f>
        <v>Maplink2</v>
      </c>
      <c r="AU2582" s="20" t="str">
        <f aca="false">HYPERLINK("http://www.bing.com/maps/?lvl=14&amp;sty=h&amp;cp=36.8048~43.512&amp;sp=point.36.8048_43.512","Maplink3")</f>
        <v>Maplink3</v>
      </c>
    </row>
    <row r="2583" customFormat="false" ht="15" hidden="false" customHeight="true" outlineLevel="0" collapsed="false">
      <c r="A2583" s="15" t="n">
        <v>17529</v>
      </c>
      <c r="B2583" s="16" t="s">
        <v>27</v>
      </c>
      <c r="C2583" s="16" t="s">
        <v>4957</v>
      </c>
      <c r="D2583" s="16" t="s">
        <v>4990</v>
      </c>
      <c r="E2583" s="17" t="s">
        <v>4991</v>
      </c>
      <c r="F2583" s="16" t="n">
        <v>36.618779</v>
      </c>
      <c r="G2583" s="16" t="n">
        <v>43.305426</v>
      </c>
      <c r="H2583" s="18" t="n">
        <v>1449</v>
      </c>
      <c r="I2583" s="18" t="n">
        <v>8694</v>
      </c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 t="n">
        <v>1449</v>
      </c>
      <c r="W2583" s="19"/>
      <c r="X2583" s="19"/>
      <c r="Y2583" s="19"/>
      <c r="Z2583" s="19"/>
      <c r="AA2583" s="19"/>
      <c r="AB2583" s="19" t="n">
        <v>1449</v>
      </c>
      <c r="AC2583" s="19"/>
      <c r="AD2583" s="19"/>
      <c r="AE2583" s="19"/>
      <c r="AF2583" s="19"/>
      <c r="AG2583" s="19"/>
      <c r="AH2583" s="19"/>
      <c r="AI2583" s="19"/>
      <c r="AJ2583" s="19"/>
      <c r="AK2583" s="19"/>
      <c r="AL2583" s="19"/>
      <c r="AM2583" s="19"/>
      <c r="AN2583" s="19"/>
      <c r="AO2583" s="19"/>
      <c r="AP2583" s="19"/>
      <c r="AQ2583" s="19"/>
      <c r="AR2583" s="19" t="n">
        <v>1449</v>
      </c>
      <c r="AS2583" s="20" t="str">
        <f aca="false">HYPERLINK("http://www.openstreetmap.org/?mlat=36.6188&amp;mlon=43.3054&amp;zoom=12#map=12/36.6188/43.3054","Maplink1")</f>
        <v>Maplink1</v>
      </c>
      <c r="AT2583" s="20" t="str">
        <f aca="false">HYPERLINK("https://www.google.iq/maps/search/+36.6188,43.3054/@36.6188,43.3054,14z?hl=en","Maplink2")</f>
        <v>Maplink2</v>
      </c>
      <c r="AU2583" s="20" t="str">
        <f aca="false">HYPERLINK("http://www.bing.com/maps/?lvl=14&amp;sty=h&amp;cp=36.6188~43.3054&amp;sp=point.36.6188_43.3054","Maplink3")</f>
        <v>Maplink3</v>
      </c>
    </row>
    <row r="2584" customFormat="false" ht="15" hidden="false" customHeight="true" outlineLevel="0" collapsed="false">
      <c r="A2584" s="15" t="n">
        <v>18205</v>
      </c>
      <c r="B2584" s="16" t="s">
        <v>27</v>
      </c>
      <c r="C2584" s="16" t="s">
        <v>4957</v>
      </c>
      <c r="D2584" s="16" t="s">
        <v>4992</v>
      </c>
      <c r="E2584" s="17" t="s">
        <v>4993</v>
      </c>
      <c r="F2584" s="16" t="n">
        <v>36.602629</v>
      </c>
      <c r="G2584" s="16" t="n">
        <v>43.50209</v>
      </c>
      <c r="H2584" s="18" t="n">
        <v>8</v>
      </c>
      <c r="I2584" s="18" t="n">
        <v>48</v>
      </c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 t="n">
        <v>8</v>
      </c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9"/>
      <c r="AH2584" s="19"/>
      <c r="AI2584" s="19"/>
      <c r="AJ2584" s="19" t="n">
        <v>8</v>
      </c>
      <c r="AK2584" s="19"/>
      <c r="AL2584" s="19"/>
      <c r="AM2584" s="19" t="n">
        <v>2</v>
      </c>
      <c r="AN2584" s="19" t="n">
        <v>6</v>
      </c>
      <c r="AO2584" s="19"/>
      <c r="AP2584" s="19"/>
      <c r="AQ2584" s="19"/>
      <c r="AR2584" s="19"/>
      <c r="AS2584" s="20" t="str">
        <f aca="false">HYPERLINK("http://www.openstreetmap.org/?mlat=36.6026&amp;mlon=43.5021&amp;zoom=12#map=12/36.6026/43.5021","Maplink1")</f>
        <v>Maplink1</v>
      </c>
      <c r="AT2584" s="20" t="str">
        <f aca="false">HYPERLINK("https://www.google.iq/maps/search/+36.6026,43.5021/@36.6026,43.5021,14z?hl=en","Maplink2")</f>
        <v>Maplink2</v>
      </c>
      <c r="AU2584" s="20" t="str">
        <f aca="false">HYPERLINK("http://www.bing.com/maps/?lvl=14&amp;sty=h&amp;cp=36.6026~43.5021&amp;sp=point.36.6026_43.5021","Maplink3")</f>
        <v>Maplink3</v>
      </c>
    </row>
    <row r="2585" customFormat="false" ht="15" hidden="false" customHeight="true" outlineLevel="0" collapsed="false">
      <c r="A2585" s="15" t="n">
        <v>17983</v>
      </c>
      <c r="B2585" s="16" t="s">
        <v>27</v>
      </c>
      <c r="C2585" s="16" t="s">
        <v>4957</v>
      </c>
      <c r="D2585" s="16" t="s">
        <v>4994</v>
      </c>
      <c r="E2585" s="17" t="s">
        <v>4995</v>
      </c>
      <c r="F2585" s="16" t="n">
        <v>36.614683</v>
      </c>
      <c r="G2585" s="16" t="n">
        <v>43.47876</v>
      </c>
      <c r="H2585" s="18" t="n">
        <v>14</v>
      </c>
      <c r="I2585" s="18" t="n">
        <v>84</v>
      </c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 t="n">
        <v>14</v>
      </c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9"/>
      <c r="AH2585" s="19"/>
      <c r="AI2585" s="19"/>
      <c r="AJ2585" s="19" t="n">
        <v>14</v>
      </c>
      <c r="AK2585" s="19"/>
      <c r="AL2585" s="19"/>
      <c r="AM2585" s="19" t="n">
        <v>5</v>
      </c>
      <c r="AN2585" s="19" t="n">
        <v>9</v>
      </c>
      <c r="AO2585" s="19"/>
      <c r="AP2585" s="19"/>
      <c r="AQ2585" s="19"/>
      <c r="AR2585" s="19"/>
      <c r="AS2585" s="20" t="str">
        <f aca="false">HYPERLINK("http://www.openstreetmap.org/?mlat=36.6147&amp;mlon=43.4788&amp;zoom=12#map=12/36.6147/43.4788","Maplink1")</f>
        <v>Maplink1</v>
      </c>
      <c r="AT2585" s="20" t="str">
        <f aca="false">HYPERLINK("https://www.google.iq/maps/search/+36.6147,43.4788/@36.6147,43.4788,14z?hl=en","Maplink2")</f>
        <v>Maplink2</v>
      </c>
      <c r="AU2585" s="20" t="str">
        <f aca="false">HYPERLINK("http://www.bing.com/maps/?lvl=14&amp;sty=h&amp;cp=36.6147~43.4788&amp;sp=point.36.6147_43.4788","Maplink3")</f>
        <v>Maplink3</v>
      </c>
    </row>
    <row r="2586" customFormat="false" ht="15" hidden="false" customHeight="true" outlineLevel="0" collapsed="false">
      <c r="A2586" s="15" t="n">
        <v>29672</v>
      </c>
      <c r="B2586" s="16" t="s">
        <v>27</v>
      </c>
      <c r="C2586" s="16" t="s">
        <v>4957</v>
      </c>
      <c r="D2586" s="16" t="s">
        <v>4996</v>
      </c>
      <c r="E2586" s="17" t="s">
        <v>4997</v>
      </c>
      <c r="F2586" s="16" t="n">
        <v>36.644146</v>
      </c>
      <c r="G2586" s="16" t="n">
        <v>43.469262</v>
      </c>
      <c r="H2586" s="18" t="n">
        <v>30</v>
      </c>
      <c r="I2586" s="18" t="n">
        <v>180</v>
      </c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 t="n">
        <v>30</v>
      </c>
      <c r="W2586" s="19"/>
      <c r="X2586" s="19"/>
      <c r="Y2586" s="19"/>
      <c r="Z2586" s="19"/>
      <c r="AA2586" s="19"/>
      <c r="AB2586" s="19"/>
      <c r="AC2586" s="19"/>
      <c r="AD2586" s="19"/>
      <c r="AE2586" s="19"/>
      <c r="AF2586" s="19"/>
      <c r="AG2586" s="19"/>
      <c r="AH2586" s="19" t="n">
        <v>16</v>
      </c>
      <c r="AI2586" s="19"/>
      <c r="AJ2586" s="19" t="n">
        <v>14</v>
      </c>
      <c r="AK2586" s="19"/>
      <c r="AL2586" s="19"/>
      <c r="AM2586" s="19"/>
      <c r="AN2586" s="19" t="n">
        <v>30</v>
      </c>
      <c r="AO2586" s="19"/>
      <c r="AP2586" s="19"/>
      <c r="AQ2586" s="19"/>
      <c r="AR2586" s="19"/>
      <c r="AS2586" s="20" t="str">
        <f aca="false">HYPERLINK("http://www.openstreetmap.org/?mlat=36.6441&amp;mlon=43.4693&amp;zoom=12#map=12/36.6441/43.4693","Maplink1")</f>
        <v>Maplink1</v>
      </c>
      <c r="AT2586" s="20" t="str">
        <f aca="false">HYPERLINK("https://www.google.iq/maps/search/+36.6441,43.4693/@36.6441,43.4693,14z?hl=en","Maplink2")</f>
        <v>Maplink2</v>
      </c>
      <c r="AU2586" s="20" t="str">
        <f aca="false">HYPERLINK("http://www.bing.com/maps/?lvl=14&amp;sty=h&amp;cp=36.6441~43.4693&amp;sp=point.36.6441_43.4693","Maplink3")</f>
        <v>Maplink3</v>
      </c>
    </row>
    <row r="2587" customFormat="false" ht="15" hidden="false" customHeight="true" outlineLevel="0" collapsed="false">
      <c r="A2587" s="15" t="n">
        <v>18199</v>
      </c>
      <c r="B2587" s="16" t="s">
        <v>27</v>
      </c>
      <c r="C2587" s="16" t="s">
        <v>4957</v>
      </c>
      <c r="D2587" s="16" t="s">
        <v>4998</v>
      </c>
      <c r="E2587" s="17" t="s">
        <v>4999</v>
      </c>
      <c r="F2587" s="16" t="n">
        <v>36.69986242</v>
      </c>
      <c r="G2587" s="16" t="n">
        <v>43.59582528</v>
      </c>
      <c r="H2587" s="18" t="n">
        <v>954</v>
      </c>
      <c r="I2587" s="18" t="n">
        <v>5724</v>
      </c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 t="n">
        <v>954</v>
      </c>
      <c r="W2587" s="19"/>
      <c r="X2587" s="19"/>
      <c r="Y2587" s="19"/>
      <c r="Z2587" s="19"/>
      <c r="AA2587" s="19"/>
      <c r="AB2587" s="19"/>
      <c r="AC2587" s="19" t="n">
        <v>353</v>
      </c>
      <c r="AD2587" s="19"/>
      <c r="AE2587" s="19"/>
      <c r="AF2587" s="19"/>
      <c r="AG2587" s="19"/>
      <c r="AH2587" s="19" t="n">
        <v>385</v>
      </c>
      <c r="AI2587" s="19"/>
      <c r="AJ2587" s="19" t="n">
        <v>216</v>
      </c>
      <c r="AK2587" s="19"/>
      <c r="AL2587" s="19"/>
      <c r="AM2587" s="19" t="n">
        <v>138</v>
      </c>
      <c r="AN2587" s="19" t="n">
        <v>816</v>
      </c>
      <c r="AO2587" s="19"/>
      <c r="AP2587" s="19"/>
      <c r="AQ2587" s="19"/>
      <c r="AR2587" s="19"/>
      <c r="AS2587" s="20" t="str">
        <f aca="false">HYPERLINK("http://www.openstreetmap.org/?mlat=36.6999&amp;mlon=43.5958&amp;zoom=12#map=12/36.6999/43.5958","Maplink1")</f>
        <v>Maplink1</v>
      </c>
      <c r="AT2587" s="20" t="str">
        <f aca="false">HYPERLINK("https://www.google.iq/maps/search/+36.6999,43.5958/@36.6999,43.5958,14z?hl=en","Maplink2")</f>
        <v>Maplink2</v>
      </c>
      <c r="AU2587" s="20" t="str">
        <f aca="false">HYPERLINK("http://www.bing.com/maps/?lvl=14&amp;sty=h&amp;cp=36.6999~43.5958&amp;sp=point.36.6999_43.5958","Maplink3")</f>
        <v>Maplink3</v>
      </c>
    </row>
    <row r="2588" customFormat="false" ht="15" hidden="false" customHeight="true" outlineLevel="0" collapsed="false">
      <c r="A2588" s="15" t="n">
        <v>25817</v>
      </c>
      <c r="B2588" s="16" t="s">
        <v>27</v>
      </c>
      <c r="C2588" s="16" t="s">
        <v>4957</v>
      </c>
      <c r="D2588" s="16" t="s">
        <v>5000</v>
      </c>
      <c r="E2588" s="17" t="s">
        <v>5001</v>
      </c>
      <c r="F2588" s="16" t="n">
        <v>36.67010402</v>
      </c>
      <c r="G2588" s="16" t="n">
        <v>43.34284091</v>
      </c>
      <c r="H2588" s="18" t="n">
        <v>988</v>
      </c>
      <c r="I2588" s="18" t="n">
        <v>5928</v>
      </c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 t="n">
        <v>988</v>
      </c>
      <c r="W2588" s="19"/>
      <c r="X2588" s="19"/>
      <c r="Y2588" s="19"/>
      <c r="Z2588" s="19"/>
      <c r="AA2588" s="19"/>
      <c r="AB2588" s="19" t="n">
        <v>988</v>
      </c>
      <c r="AC2588" s="19"/>
      <c r="AD2588" s="19"/>
      <c r="AE2588" s="19"/>
      <c r="AF2588" s="19"/>
      <c r="AG2588" s="19"/>
      <c r="AH2588" s="19"/>
      <c r="AI2588" s="19"/>
      <c r="AJ2588" s="19"/>
      <c r="AK2588" s="19"/>
      <c r="AL2588" s="19"/>
      <c r="AM2588" s="19"/>
      <c r="AN2588" s="19" t="n">
        <v>988</v>
      </c>
      <c r="AO2588" s="19"/>
      <c r="AP2588" s="19"/>
      <c r="AQ2588" s="19"/>
      <c r="AR2588" s="19"/>
      <c r="AS2588" s="20" t="str">
        <f aca="false">HYPERLINK("http://www.openstreetmap.org/?mlat=36.6701&amp;mlon=43.3428&amp;zoom=12#map=12/36.6701/43.3428","Maplink1")</f>
        <v>Maplink1</v>
      </c>
      <c r="AT2588" s="20" t="str">
        <f aca="false">HYPERLINK("https://www.google.iq/maps/search/+36.6701,43.3428/@36.6701,43.3428,14z?hl=en","Maplink2")</f>
        <v>Maplink2</v>
      </c>
      <c r="AU2588" s="20" t="str">
        <f aca="false">HYPERLINK("http://www.bing.com/maps/?lvl=14&amp;sty=h&amp;cp=36.6701~43.3428&amp;sp=point.36.6701_43.3428","Maplink3")</f>
        <v>Maplink3</v>
      </c>
    </row>
    <row r="2589" customFormat="false" ht="15" hidden="false" customHeight="true" outlineLevel="0" collapsed="false">
      <c r="A2589" s="15" t="n">
        <v>17333</v>
      </c>
      <c r="B2589" s="16" t="s">
        <v>27</v>
      </c>
      <c r="C2589" s="16" t="s">
        <v>4957</v>
      </c>
      <c r="D2589" s="16" t="s">
        <v>5002</v>
      </c>
      <c r="E2589" s="17" t="s">
        <v>5003</v>
      </c>
      <c r="F2589" s="16" t="n">
        <v>36.67497311</v>
      </c>
      <c r="G2589" s="16" t="n">
        <v>43.33357774</v>
      </c>
      <c r="H2589" s="18" t="n">
        <v>2730</v>
      </c>
      <c r="I2589" s="18" t="n">
        <v>16380</v>
      </c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 t="n">
        <v>2730</v>
      </c>
      <c r="W2589" s="19"/>
      <c r="X2589" s="19"/>
      <c r="Y2589" s="19"/>
      <c r="Z2589" s="19"/>
      <c r="AA2589" s="19"/>
      <c r="AB2589" s="19"/>
      <c r="AC2589" s="19" t="n">
        <v>540</v>
      </c>
      <c r="AD2589" s="19"/>
      <c r="AE2589" s="19" t="n">
        <v>1</v>
      </c>
      <c r="AF2589" s="19"/>
      <c r="AG2589" s="19" t="n">
        <v>2</v>
      </c>
      <c r="AH2589" s="19" t="n">
        <v>1621</v>
      </c>
      <c r="AI2589" s="19"/>
      <c r="AJ2589" s="19" t="n">
        <v>566</v>
      </c>
      <c r="AK2589" s="19"/>
      <c r="AL2589" s="19"/>
      <c r="AM2589" s="19" t="n">
        <v>612</v>
      </c>
      <c r="AN2589" s="19" t="n">
        <v>2118</v>
      </c>
      <c r="AO2589" s="19"/>
      <c r="AP2589" s="19"/>
      <c r="AQ2589" s="19"/>
      <c r="AR2589" s="19"/>
      <c r="AS2589" s="20" t="str">
        <f aca="false">HYPERLINK("http://www.openstreetmap.org/?mlat=36.675&amp;mlon=43.3336&amp;zoom=12#map=12/36.675/43.3336","Maplink1")</f>
        <v>Maplink1</v>
      </c>
      <c r="AT2589" s="20" t="str">
        <f aca="false">HYPERLINK("https://www.google.iq/maps/search/+36.675,43.3336/@36.675,43.3336,14z?hl=en","Maplink2")</f>
        <v>Maplink2</v>
      </c>
      <c r="AU2589" s="20" t="str">
        <f aca="false">HYPERLINK("http://www.bing.com/maps/?lvl=14&amp;sty=h&amp;cp=36.675~43.3336&amp;sp=point.36.675_43.3336","Maplink3")</f>
        <v>Maplink3</v>
      </c>
    </row>
    <row r="2590" customFormat="false" ht="15" hidden="false" customHeight="true" outlineLevel="0" collapsed="false">
      <c r="A2590" s="15" t="n">
        <v>18220</v>
      </c>
      <c r="B2590" s="16" t="s">
        <v>27</v>
      </c>
      <c r="C2590" s="16" t="s">
        <v>4957</v>
      </c>
      <c r="D2590" s="16" t="s">
        <v>5004</v>
      </c>
      <c r="E2590" s="17" t="s">
        <v>5005</v>
      </c>
      <c r="F2590" s="16" t="n">
        <v>36.594529</v>
      </c>
      <c r="G2590" s="16" t="n">
        <v>43.48008</v>
      </c>
      <c r="H2590" s="18" t="n">
        <v>25</v>
      </c>
      <c r="I2590" s="18" t="n">
        <v>150</v>
      </c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 t="n">
        <v>25</v>
      </c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9"/>
      <c r="AH2590" s="19"/>
      <c r="AI2590" s="19"/>
      <c r="AJ2590" s="19" t="n">
        <v>25</v>
      </c>
      <c r="AK2590" s="19"/>
      <c r="AL2590" s="19"/>
      <c r="AM2590" s="19" t="n">
        <v>5</v>
      </c>
      <c r="AN2590" s="19" t="n">
        <v>20</v>
      </c>
      <c r="AO2590" s="19"/>
      <c r="AP2590" s="19"/>
      <c r="AQ2590" s="19"/>
      <c r="AR2590" s="19"/>
      <c r="AS2590" s="20" t="str">
        <f aca="false">HYPERLINK("http://www.openstreetmap.org/?mlat=36.5945&amp;mlon=43.4801&amp;zoom=12#map=12/36.5945/43.4801","Maplink1")</f>
        <v>Maplink1</v>
      </c>
      <c r="AT2590" s="20" t="str">
        <f aca="false">HYPERLINK("https://www.google.iq/maps/search/+36.5945,43.4801/@36.5945,43.4801,14z?hl=en","Maplink2")</f>
        <v>Maplink2</v>
      </c>
      <c r="AU2590" s="20" t="str">
        <f aca="false">HYPERLINK("http://www.bing.com/maps/?lvl=14&amp;sty=h&amp;cp=36.5945~43.4801&amp;sp=point.36.5945_43.4801","Maplink3")</f>
        <v>Maplink3</v>
      </c>
    </row>
    <row r="2591" customFormat="false" ht="15" hidden="false" customHeight="true" outlineLevel="0" collapsed="false">
      <c r="A2591" s="15" t="n">
        <v>29607</v>
      </c>
      <c r="B2591" s="16" t="s">
        <v>27</v>
      </c>
      <c r="C2591" s="16" t="s">
        <v>4957</v>
      </c>
      <c r="D2591" s="16" t="s">
        <v>5006</v>
      </c>
      <c r="E2591" s="17" t="s">
        <v>5007</v>
      </c>
      <c r="F2591" s="16" t="n">
        <v>36.833612</v>
      </c>
      <c r="G2591" s="16" t="n">
        <v>43.464578</v>
      </c>
      <c r="H2591" s="18" t="n">
        <v>42</v>
      </c>
      <c r="I2591" s="18" t="n">
        <v>252</v>
      </c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 t="n">
        <v>42</v>
      </c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9"/>
      <c r="AH2591" s="19" t="n">
        <v>42</v>
      </c>
      <c r="AI2591" s="19"/>
      <c r="AJ2591" s="19"/>
      <c r="AK2591" s="19"/>
      <c r="AL2591" s="19"/>
      <c r="AM2591" s="19"/>
      <c r="AN2591" s="19" t="n">
        <v>42</v>
      </c>
      <c r="AO2591" s="19"/>
      <c r="AP2591" s="19"/>
      <c r="AQ2591" s="19"/>
      <c r="AR2591" s="19"/>
      <c r="AS2591" s="20" t="str">
        <f aca="false">HYPERLINK("http://www.openstreetmap.org/?mlat=36.8336&amp;mlon=43.4646&amp;zoom=12#map=12/36.8336/43.4646","Maplink1")</f>
        <v>Maplink1</v>
      </c>
      <c r="AT2591" s="20" t="str">
        <f aca="false">HYPERLINK("https://www.google.iq/maps/search/+36.8336,43.4646/@36.8336,43.4646,14z?hl=en","Maplink2")</f>
        <v>Maplink2</v>
      </c>
      <c r="AU2591" s="20" t="str">
        <f aca="false">HYPERLINK("http://www.bing.com/maps/?lvl=14&amp;sty=h&amp;cp=36.8336~43.4646&amp;sp=point.36.8336_43.4646","Maplink3")</f>
        <v>Maplink3</v>
      </c>
    </row>
    <row r="2592" customFormat="false" ht="15" hidden="false" customHeight="true" outlineLevel="0" collapsed="false">
      <c r="A2592" s="15" t="n">
        <v>17981</v>
      </c>
      <c r="B2592" s="16" t="s">
        <v>27</v>
      </c>
      <c r="C2592" s="16" t="s">
        <v>4957</v>
      </c>
      <c r="D2592" s="16" t="s">
        <v>5008</v>
      </c>
      <c r="E2592" s="17" t="s">
        <v>5009</v>
      </c>
      <c r="F2592" s="16" t="n">
        <v>36.57282155</v>
      </c>
      <c r="G2592" s="16" t="n">
        <v>43.37054107</v>
      </c>
      <c r="H2592" s="18" t="n">
        <v>309</v>
      </c>
      <c r="I2592" s="18" t="n">
        <v>1854</v>
      </c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 t="n">
        <v>309</v>
      </c>
      <c r="W2592" s="19"/>
      <c r="X2592" s="19"/>
      <c r="Y2592" s="19"/>
      <c r="Z2592" s="19"/>
      <c r="AA2592" s="19"/>
      <c r="AB2592" s="19"/>
      <c r="AC2592" s="19" t="n">
        <v>164</v>
      </c>
      <c r="AD2592" s="19"/>
      <c r="AE2592" s="19"/>
      <c r="AF2592" s="19"/>
      <c r="AG2592" s="19" t="n">
        <v>1</v>
      </c>
      <c r="AH2592" s="19" t="n">
        <v>4</v>
      </c>
      <c r="AI2592" s="19"/>
      <c r="AJ2592" s="19" t="n">
        <v>140</v>
      </c>
      <c r="AK2592" s="19"/>
      <c r="AL2592" s="19"/>
      <c r="AM2592" s="19" t="n">
        <v>81</v>
      </c>
      <c r="AN2592" s="19" t="n">
        <v>212</v>
      </c>
      <c r="AO2592" s="19"/>
      <c r="AP2592" s="19" t="n">
        <v>16</v>
      </c>
      <c r="AQ2592" s="19"/>
      <c r="AR2592" s="19"/>
      <c r="AS2592" s="20" t="str">
        <f aca="false">HYPERLINK("http://www.openstreetmap.org/?mlat=36.5728&amp;mlon=43.3705&amp;zoom=12#map=12/36.5728/43.3705","Maplink1")</f>
        <v>Maplink1</v>
      </c>
      <c r="AT2592" s="20" t="str">
        <f aca="false">HYPERLINK("https://www.google.iq/maps/search/+36.5728,43.3705/@36.5728,43.3705,14z?hl=en","Maplink2")</f>
        <v>Maplink2</v>
      </c>
      <c r="AU2592" s="20" t="str">
        <f aca="false">HYPERLINK("http://www.bing.com/maps/?lvl=14&amp;sty=h&amp;cp=36.5728~43.3705&amp;sp=point.36.5728_43.3705","Maplink3")</f>
        <v>Maplink3</v>
      </c>
    </row>
    <row r="2593" customFormat="false" ht="15" hidden="false" customHeight="true" outlineLevel="0" collapsed="false">
      <c r="A2593" s="15" t="n">
        <v>29685</v>
      </c>
      <c r="B2593" s="16" t="s">
        <v>27</v>
      </c>
      <c r="C2593" s="16" t="s">
        <v>5010</v>
      </c>
      <c r="D2593" s="16" t="s">
        <v>5011</v>
      </c>
      <c r="E2593" s="17" t="s">
        <v>5012</v>
      </c>
      <c r="F2593" s="16" t="n">
        <v>35.776928</v>
      </c>
      <c r="G2593" s="16" t="n">
        <v>42.924481</v>
      </c>
      <c r="H2593" s="18" t="n">
        <v>240</v>
      </c>
      <c r="I2593" s="18" t="n">
        <v>1440</v>
      </c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 t="n">
        <v>240</v>
      </c>
      <c r="W2593" s="19"/>
      <c r="X2593" s="19"/>
      <c r="Y2593" s="19"/>
      <c r="Z2593" s="19"/>
      <c r="AA2593" s="19"/>
      <c r="AB2593" s="19"/>
      <c r="AC2593" s="19" t="n">
        <v>240</v>
      </c>
      <c r="AD2593" s="19"/>
      <c r="AE2593" s="19"/>
      <c r="AF2593" s="19"/>
      <c r="AG2593" s="19"/>
      <c r="AH2593" s="19"/>
      <c r="AI2593" s="19"/>
      <c r="AJ2593" s="19"/>
      <c r="AK2593" s="19"/>
      <c r="AL2593" s="19"/>
      <c r="AM2593" s="19"/>
      <c r="AN2593" s="19"/>
      <c r="AO2593" s="19"/>
      <c r="AP2593" s="19"/>
      <c r="AQ2593" s="19"/>
      <c r="AR2593" s="19" t="n">
        <v>240</v>
      </c>
      <c r="AS2593" s="20" t="str">
        <f aca="false">HYPERLINK("http://www.openstreetmap.org/?mlat=35.7769&amp;mlon=42.9245&amp;zoom=12#map=12/35.7769/42.9245","Maplink1")</f>
        <v>Maplink1</v>
      </c>
      <c r="AT2593" s="20" t="str">
        <f aca="false">HYPERLINK("https://www.google.iq/maps/search/+35.7769,42.9245/@35.7769,42.9245,14z?hl=en","Maplink2")</f>
        <v>Maplink2</v>
      </c>
      <c r="AU2593" s="20" t="str">
        <f aca="false">HYPERLINK("http://www.bing.com/maps/?lvl=14&amp;sty=h&amp;cp=35.7769~42.9245&amp;sp=point.35.7769_42.9245","Maplink3")</f>
        <v>Maplink3</v>
      </c>
    </row>
    <row r="2594" customFormat="false" ht="15" hidden="false" customHeight="true" outlineLevel="0" collapsed="false">
      <c r="A2594" s="15" t="n">
        <v>27271</v>
      </c>
      <c r="B2594" s="16" t="s">
        <v>27</v>
      </c>
      <c r="C2594" s="16" t="s">
        <v>5010</v>
      </c>
      <c r="D2594" s="16" t="s">
        <v>5013</v>
      </c>
      <c r="E2594" s="17" t="s">
        <v>5014</v>
      </c>
      <c r="F2594" s="16" t="n">
        <v>35.925024</v>
      </c>
      <c r="G2594" s="16" t="n">
        <v>42.562232</v>
      </c>
      <c r="H2594" s="18" t="n">
        <v>240</v>
      </c>
      <c r="I2594" s="18" t="n">
        <v>1440</v>
      </c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 t="n">
        <v>240</v>
      </c>
      <c r="W2594" s="19"/>
      <c r="X2594" s="19"/>
      <c r="Y2594" s="19"/>
      <c r="Z2594" s="19"/>
      <c r="AA2594" s="19"/>
      <c r="AB2594" s="19"/>
      <c r="AC2594" s="19"/>
      <c r="AD2594" s="19"/>
      <c r="AE2594" s="19" t="n">
        <v>60</v>
      </c>
      <c r="AF2594" s="19"/>
      <c r="AG2594" s="19"/>
      <c r="AH2594" s="19"/>
      <c r="AI2594" s="19"/>
      <c r="AJ2594" s="19"/>
      <c r="AK2594" s="19" t="n">
        <v>180</v>
      </c>
      <c r="AL2594" s="19"/>
      <c r="AM2594" s="19"/>
      <c r="AN2594" s="19"/>
      <c r="AO2594" s="19"/>
      <c r="AP2594" s="19" t="n">
        <v>240</v>
      </c>
      <c r="AQ2594" s="19"/>
      <c r="AR2594" s="19"/>
      <c r="AS2594" s="20" t="str">
        <f aca="false">HYPERLINK("http://www.openstreetmap.org/?mlat=35.925&amp;mlon=42.5622&amp;zoom=12#map=12/35.925/42.5622","Maplink1")</f>
        <v>Maplink1</v>
      </c>
      <c r="AT2594" s="20" t="str">
        <f aca="false">HYPERLINK("https://www.google.iq/maps/search/+35.925,42.5622/@35.925,42.5622,14z?hl=en","Maplink2")</f>
        <v>Maplink2</v>
      </c>
      <c r="AU2594" s="20" t="str">
        <f aca="false">HYPERLINK("http://www.bing.com/maps/?lvl=14&amp;sty=h&amp;cp=35.925~42.5622&amp;sp=point.35.925_42.5622","Maplink3")</f>
        <v>Maplink3</v>
      </c>
    </row>
    <row r="2595" customFormat="false" ht="15" hidden="false" customHeight="true" outlineLevel="0" collapsed="false">
      <c r="A2595" s="15" t="n">
        <v>18001</v>
      </c>
      <c r="B2595" s="16" t="s">
        <v>27</v>
      </c>
      <c r="C2595" s="16" t="s">
        <v>5015</v>
      </c>
      <c r="D2595" s="16" t="s">
        <v>5016</v>
      </c>
      <c r="E2595" s="17" t="s">
        <v>5017</v>
      </c>
      <c r="F2595" s="16" t="n">
        <v>36.0855</v>
      </c>
      <c r="G2595" s="16" t="n">
        <v>43.0251</v>
      </c>
      <c r="H2595" s="18" t="n">
        <v>40</v>
      </c>
      <c r="I2595" s="18" t="n">
        <v>240</v>
      </c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 t="n">
        <v>40</v>
      </c>
      <c r="Y2595" s="19"/>
      <c r="Z2595" s="19"/>
      <c r="AA2595" s="19"/>
      <c r="AB2595" s="19"/>
      <c r="AC2595" s="19" t="n">
        <v>20</v>
      </c>
      <c r="AD2595" s="19"/>
      <c r="AE2595" s="19"/>
      <c r="AF2595" s="19"/>
      <c r="AG2595" s="19"/>
      <c r="AH2595" s="19"/>
      <c r="AI2595" s="19"/>
      <c r="AJ2595" s="19"/>
      <c r="AK2595" s="19" t="n">
        <v>20</v>
      </c>
      <c r="AL2595" s="19"/>
      <c r="AM2595" s="19"/>
      <c r="AN2595" s="19"/>
      <c r="AO2595" s="19"/>
      <c r="AP2595" s="19" t="n">
        <v>20</v>
      </c>
      <c r="AQ2595" s="19" t="n">
        <v>20</v>
      </c>
      <c r="AR2595" s="19"/>
      <c r="AS2595" s="20" t="str">
        <f aca="false">HYPERLINK("http://www.openstreetmap.org/?mlat=36.0855&amp;mlon=43.0251&amp;zoom=12#map=12/36.0855/43.0251","Maplink1")</f>
        <v>Maplink1</v>
      </c>
      <c r="AT2595" s="20" t="str">
        <f aca="false">HYPERLINK("https://www.google.iq/maps/search/+36.0855,43.0251/@36.0855,43.0251,14z?hl=en","Maplink2")</f>
        <v>Maplink2</v>
      </c>
      <c r="AU2595" s="20" t="str">
        <f aca="false">HYPERLINK("http://www.bing.com/maps/?lvl=14&amp;sty=h&amp;cp=36.0855~43.0251&amp;sp=point.36.0855_43.0251","Maplink3")</f>
        <v>Maplink3</v>
      </c>
    </row>
    <row r="2596" customFormat="false" ht="15" hidden="false" customHeight="true" outlineLevel="0" collapsed="false">
      <c r="A2596" s="15" t="n">
        <v>23930</v>
      </c>
      <c r="B2596" s="16" t="s">
        <v>27</v>
      </c>
      <c r="C2596" s="16" t="s">
        <v>5015</v>
      </c>
      <c r="D2596" s="16" t="s">
        <v>5018</v>
      </c>
      <c r="E2596" s="17" t="s">
        <v>5019</v>
      </c>
      <c r="F2596" s="16" t="n">
        <v>35.711</v>
      </c>
      <c r="G2596" s="16" t="n">
        <v>43.3033</v>
      </c>
      <c r="H2596" s="18" t="n">
        <v>10</v>
      </c>
      <c r="I2596" s="18" t="n">
        <v>60</v>
      </c>
      <c r="J2596" s="19" t="n">
        <v>10</v>
      </c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 t="n">
        <v>7</v>
      </c>
      <c r="AD2596" s="19"/>
      <c r="AE2596" s="19"/>
      <c r="AF2596" s="19"/>
      <c r="AG2596" s="19"/>
      <c r="AH2596" s="19" t="n">
        <v>3</v>
      </c>
      <c r="AI2596" s="19"/>
      <c r="AJ2596" s="19"/>
      <c r="AK2596" s="19"/>
      <c r="AL2596" s="19" t="n">
        <v>10</v>
      </c>
      <c r="AM2596" s="19"/>
      <c r="AN2596" s="19"/>
      <c r="AO2596" s="19"/>
      <c r="AP2596" s="19"/>
      <c r="AQ2596" s="19"/>
      <c r="AR2596" s="19"/>
      <c r="AS2596" s="20" t="str">
        <f aca="false">HYPERLINK("http://www.openstreetmap.org/?mlat=35.711&amp;mlon=43.3033&amp;zoom=12#map=12/35.711/43.3033","Maplink1")</f>
        <v>Maplink1</v>
      </c>
      <c r="AT2596" s="20" t="str">
        <f aca="false">HYPERLINK("https://www.google.iq/maps/search/+35.711,43.3033/@35.711,43.3033,14z?hl=en","Maplink2")</f>
        <v>Maplink2</v>
      </c>
      <c r="AU2596" s="20" t="str">
        <f aca="false">HYPERLINK("http://www.bing.com/maps/?lvl=14&amp;sty=h&amp;cp=35.711~43.3033&amp;sp=point.35.711_43.3033","Maplink3")</f>
        <v>Maplink3</v>
      </c>
    </row>
    <row r="2597" customFormat="false" ht="15" hidden="false" customHeight="true" outlineLevel="0" collapsed="false">
      <c r="A2597" s="15" t="n">
        <v>17515</v>
      </c>
      <c r="B2597" s="16" t="s">
        <v>27</v>
      </c>
      <c r="C2597" s="16" t="s">
        <v>5015</v>
      </c>
      <c r="D2597" s="16" t="s">
        <v>5020</v>
      </c>
      <c r="E2597" s="17" t="s">
        <v>5021</v>
      </c>
      <c r="F2597" s="16" t="n">
        <v>35.738433</v>
      </c>
      <c r="G2597" s="16" t="n">
        <v>43.313799</v>
      </c>
      <c r="H2597" s="18" t="n">
        <v>172</v>
      </c>
      <c r="I2597" s="18" t="n">
        <v>1032</v>
      </c>
      <c r="J2597" s="19"/>
      <c r="K2597" s="19"/>
      <c r="L2597" s="19"/>
      <c r="M2597" s="19"/>
      <c r="N2597" s="19"/>
      <c r="O2597" s="19"/>
      <c r="P2597" s="19"/>
      <c r="Q2597" s="19"/>
      <c r="R2597" s="19" t="n">
        <v>50</v>
      </c>
      <c r="S2597" s="19"/>
      <c r="T2597" s="19"/>
      <c r="U2597" s="19"/>
      <c r="V2597" s="19" t="n">
        <v>122</v>
      </c>
      <c r="W2597" s="19"/>
      <c r="X2597" s="19"/>
      <c r="Y2597" s="19"/>
      <c r="Z2597" s="19"/>
      <c r="AA2597" s="19"/>
      <c r="AB2597" s="19"/>
      <c r="AC2597" s="19" t="n">
        <v>15</v>
      </c>
      <c r="AD2597" s="19"/>
      <c r="AE2597" s="19"/>
      <c r="AF2597" s="19"/>
      <c r="AG2597" s="19"/>
      <c r="AH2597" s="19"/>
      <c r="AI2597" s="19" t="n">
        <v>157</v>
      </c>
      <c r="AJ2597" s="19"/>
      <c r="AK2597" s="19"/>
      <c r="AL2597" s="19"/>
      <c r="AM2597" s="19"/>
      <c r="AN2597" s="19"/>
      <c r="AO2597" s="19"/>
      <c r="AP2597" s="19"/>
      <c r="AQ2597" s="19"/>
      <c r="AR2597" s="19" t="n">
        <v>172</v>
      </c>
      <c r="AS2597" s="20" t="str">
        <f aca="false">HYPERLINK("http://www.openstreetmap.org/?mlat=35.7384&amp;mlon=43.3138&amp;zoom=12#map=12/35.7384/43.3138","Maplink1")</f>
        <v>Maplink1</v>
      </c>
      <c r="AT2597" s="20" t="str">
        <f aca="false">HYPERLINK("https://www.google.iq/maps/search/+35.7384,43.3138/@35.7384,43.3138,14z?hl=en","Maplink2")</f>
        <v>Maplink2</v>
      </c>
      <c r="AU2597" s="20" t="str">
        <f aca="false">HYPERLINK("http://www.bing.com/maps/?lvl=14&amp;sty=h&amp;cp=35.7384~43.3138&amp;sp=point.35.7384_43.3138","Maplink3")</f>
        <v>Maplink3</v>
      </c>
    </row>
    <row r="2598" customFormat="false" ht="15" hidden="false" customHeight="true" outlineLevel="0" collapsed="false">
      <c r="A2598" s="15" t="n">
        <v>24549</v>
      </c>
      <c r="B2598" s="16" t="s">
        <v>27</v>
      </c>
      <c r="C2598" s="16" t="s">
        <v>5015</v>
      </c>
      <c r="D2598" s="16" t="s">
        <v>5022</v>
      </c>
      <c r="E2598" s="17" t="s">
        <v>5023</v>
      </c>
      <c r="F2598" s="16" t="n">
        <v>36.3624</v>
      </c>
      <c r="G2598" s="16" t="n">
        <v>43.0716</v>
      </c>
      <c r="H2598" s="18" t="n">
        <v>733</v>
      </c>
      <c r="I2598" s="18" t="n">
        <v>4398</v>
      </c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 t="n">
        <v>707</v>
      </c>
      <c r="W2598" s="19"/>
      <c r="X2598" s="19" t="n">
        <v>26</v>
      </c>
      <c r="Y2598" s="19"/>
      <c r="Z2598" s="19"/>
      <c r="AA2598" s="19"/>
      <c r="AB2598" s="19"/>
      <c r="AC2598" s="19" t="n">
        <v>55</v>
      </c>
      <c r="AD2598" s="19"/>
      <c r="AE2598" s="19" t="n">
        <v>81</v>
      </c>
      <c r="AF2598" s="19"/>
      <c r="AG2598" s="19" t="n">
        <v>25</v>
      </c>
      <c r="AH2598" s="19" t="n">
        <v>329</v>
      </c>
      <c r="AI2598" s="19" t="n">
        <v>31</v>
      </c>
      <c r="AJ2598" s="19" t="n">
        <v>172</v>
      </c>
      <c r="AK2598" s="19" t="n">
        <v>40</v>
      </c>
      <c r="AL2598" s="19"/>
      <c r="AM2598" s="19"/>
      <c r="AN2598" s="19" t="n">
        <v>37</v>
      </c>
      <c r="AO2598" s="19" t="n">
        <v>243</v>
      </c>
      <c r="AP2598" s="19" t="n">
        <v>310</v>
      </c>
      <c r="AQ2598" s="19" t="n">
        <v>143</v>
      </c>
      <c r="AR2598" s="19"/>
      <c r="AS2598" s="20" t="str">
        <f aca="false">HYPERLINK("http://www.openstreetmap.org/?mlat=36.3624&amp;mlon=43.0716&amp;zoom=12#map=12/36.3624/43.0716","Maplink1")</f>
        <v>Maplink1</v>
      </c>
      <c r="AT2598" s="20" t="str">
        <f aca="false">HYPERLINK("https://www.google.iq/maps/search/+36.3624,43.0716/@36.3624,43.0716,14z?hl=en","Maplink2")</f>
        <v>Maplink2</v>
      </c>
      <c r="AU2598" s="20" t="str">
        <f aca="false">HYPERLINK("http://www.bing.com/maps/?lvl=14&amp;sty=h&amp;cp=36.3624~43.0716&amp;sp=point.36.3624_43.0716","Maplink3")</f>
        <v>Maplink3</v>
      </c>
    </row>
    <row r="2599" customFormat="false" ht="15" hidden="false" customHeight="true" outlineLevel="0" collapsed="false">
      <c r="A2599" s="15" t="n">
        <v>29701</v>
      </c>
      <c r="B2599" s="16" t="s">
        <v>27</v>
      </c>
      <c r="C2599" s="16" t="s">
        <v>5015</v>
      </c>
      <c r="D2599" s="16" t="s">
        <v>5024</v>
      </c>
      <c r="E2599" s="17" t="s">
        <v>5025</v>
      </c>
      <c r="F2599" s="16" t="n">
        <v>35.772404</v>
      </c>
      <c r="G2599" s="16" t="n">
        <v>43.284631</v>
      </c>
      <c r="H2599" s="18" t="n">
        <v>137</v>
      </c>
      <c r="I2599" s="18" t="n">
        <v>822</v>
      </c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 t="n">
        <v>137</v>
      </c>
      <c r="W2599" s="19"/>
      <c r="X2599" s="19"/>
      <c r="Y2599" s="19"/>
      <c r="Z2599" s="19"/>
      <c r="AA2599" s="19"/>
      <c r="AB2599" s="19"/>
      <c r="AC2599" s="19" t="n">
        <v>137</v>
      </c>
      <c r="AD2599" s="19"/>
      <c r="AE2599" s="19"/>
      <c r="AF2599" s="19"/>
      <c r="AG2599" s="19"/>
      <c r="AH2599" s="19"/>
      <c r="AI2599" s="19"/>
      <c r="AJ2599" s="19"/>
      <c r="AK2599" s="19"/>
      <c r="AL2599" s="19"/>
      <c r="AM2599" s="19"/>
      <c r="AN2599" s="19"/>
      <c r="AO2599" s="19"/>
      <c r="AP2599" s="19"/>
      <c r="AQ2599" s="19"/>
      <c r="AR2599" s="19" t="n">
        <v>137</v>
      </c>
      <c r="AS2599" s="20" t="str">
        <f aca="false">HYPERLINK("http://www.openstreetmap.org/?mlat=35.7724&amp;mlon=43.2846&amp;zoom=12#map=12/35.7724/43.2846","Maplink1")</f>
        <v>Maplink1</v>
      </c>
      <c r="AT2599" s="20" t="str">
        <f aca="false">HYPERLINK("https://www.google.iq/maps/search/+35.7724,43.2846/@35.7724,43.2846,14z?hl=en","Maplink2")</f>
        <v>Maplink2</v>
      </c>
      <c r="AU2599" s="20" t="str">
        <f aca="false">HYPERLINK("http://www.bing.com/maps/?lvl=14&amp;sty=h&amp;cp=35.7724~43.2846&amp;sp=point.35.7724_43.2846","Maplink3")</f>
        <v>Maplink3</v>
      </c>
    </row>
    <row r="2600" customFormat="false" ht="15" hidden="false" customHeight="true" outlineLevel="0" collapsed="false">
      <c r="A2600" s="15" t="n">
        <v>18361</v>
      </c>
      <c r="B2600" s="16" t="s">
        <v>27</v>
      </c>
      <c r="C2600" s="16" t="s">
        <v>5015</v>
      </c>
      <c r="D2600" s="16" t="s">
        <v>800</v>
      </c>
      <c r="E2600" s="17" t="s">
        <v>5026</v>
      </c>
      <c r="F2600" s="16" t="n">
        <v>36.355</v>
      </c>
      <c r="G2600" s="16" t="n">
        <v>43.169444</v>
      </c>
      <c r="H2600" s="18" t="n">
        <v>57</v>
      </c>
      <c r="I2600" s="18" t="n">
        <v>342</v>
      </c>
      <c r="J2600" s="19" t="n">
        <v>32</v>
      </c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 t="n">
        <v>25</v>
      </c>
      <c r="W2600" s="19"/>
      <c r="X2600" s="19"/>
      <c r="Y2600" s="19"/>
      <c r="Z2600" s="19"/>
      <c r="AA2600" s="19"/>
      <c r="AB2600" s="19"/>
      <c r="AC2600" s="19" t="n">
        <v>19</v>
      </c>
      <c r="AD2600" s="19"/>
      <c r="AE2600" s="19"/>
      <c r="AF2600" s="19"/>
      <c r="AG2600" s="19"/>
      <c r="AH2600" s="19" t="n">
        <v>25</v>
      </c>
      <c r="AI2600" s="19"/>
      <c r="AJ2600" s="19" t="n">
        <v>13</v>
      </c>
      <c r="AK2600" s="19"/>
      <c r="AL2600" s="19" t="n">
        <v>4</v>
      </c>
      <c r="AM2600" s="19"/>
      <c r="AN2600" s="19"/>
      <c r="AO2600" s="19" t="n">
        <v>25</v>
      </c>
      <c r="AP2600" s="19" t="n">
        <v>28</v>
      </c>
      <c r="AQ2600" s="19"/>
      <c r="AR2600" s="19"/>
      <c r="AS2600" s="20" t="str">
        <f aca="false">HYPERLINK("http://www.openstreetmap.org/?mlat=36.355&amp;mlon=43.1694&amp;zoom=12#map=12/36.355/43.1694","Maplink1")</f>
        <v>Maplink1</v>
      </c>
      <c r="AT2600" s="20" t="str">
        <f aca="false">HYPERLINK("https://www.google.iq/maps/search/+36.355,43.1694/@36.355,43.1694,14z?hl=en","Maplink2")</f>
        <v>Maplink2</v>
      </c>
      <c r="AU2600" s="20" t="str">
        <f aca="false">HYPERLINK("http://www.bing.com/maps/?lvl=14&amp;sty=h&amp;cp=36.355~43.1694&amp;sp=point.36.355_43.1694","Maplink3")</f>
        <v>Maplink3</v>
      </c>
    </row>
    <row r="2601" customFormat="false" ht="15" hidden="false" customHeight="true" outlineLevel="0" collapsed="false">
      <c r="A2601" s="15" t="n">
        <v>20798</v>
      </c>
      <c r="B2601" s="16" t="s">
        <v>27</v>
      </c>
      <c r="C2601" s="16" t="s">
        <v>5015</v>
      </c>
      <c r="D2601" s="16" t="s">
        <v>5027</v>
      </c>
      <c r="E2601" s="17" t="s">
        <v>5028</v>
      </c>
      <c r="F2601" s="16" t="n">
        <v>36.3229</v>
      </c>
      <c r="G2601" s="16" t="n">
        <v>43.1798</v>
      </c>
      <c r="H2601" s="18" t="n">
        <v>200</v>
      </c>
      <c r="I2601" s="18" t="n">
        <v>1200</v>
      </c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 t="n">
        <v>200</v>
      </c>
      <c r="W2601" s="19"/>
      <c r="X2601" s="19"/>
      <c r="Y2601" s="19"/>
      <c r="Z2601" s="19"/>
      <c r="AA2601" s="19"/>
      <c r="AB2601" s="19"/>
      <c r="AC2601" s="19" t="n">
        <v>200</v>
      </c>
      <c r="AD2601" s="19"/>
      <c r="AE2601" s="19"/>
      <c r="AF2601" s="19"/>
      <c r="AG2601" s="19"/>
      <c r="AH2601" s="19"/>
      <c r="AI2601" s="19"/>
      <c r="AJ2601" s="19"/>
      <c r="AK2601" s="19"/>
      <c r="AL2601" s="19"/>
      <c r="AM2601" s="19" t="n">
        <v>200</v>
      </c>
      <c r="AN2601" s="19"/>
      <c r="AO2601" s="19"/>
      <c r="AP2601" s="19"/>
      <c r="AQ2601" s="19"/>
      <c r="AR2601" s="19"/>
      <c r="AS2601" s="20" t="str">
        <f aca="false">HYPERLINK("http://www.openstreetmap.org/?mlat=36.3229&amp;mlon=43.1798&amp;zoom=12#map=12/36.3229/43.1798","Maplink1")</f>
        <v>Maplink1</v>
      </c>
      <c r="AT2601" s="20" t="str">
        <f aca="false">HYPERLINK("https://www.google.iq/maps/search/+36.3229,43.1798/@36.3229,43.1798,14z?hl=en","Maplink2")</f>
        <v>Maplink2</v>
      </c>
      <c r="AU2601" s="20" t="str">
        <f aca="false">HYPERLINK("http://www.bing.com/maps/?lvl=14&amp;sty=h&amp;cp=36.3229~43.1798&amp;sp=point.36.3229_43.1798","Maplink3")</f>
        <v>Maplink3</v>
      </c>
    </row>
    <row r="2602" customFormat="false" ht="15" hidden="false" customHeight="true" outlineLevel="0" collapsed="false">
      <c r="A2602" s="15" t="n">
        <v>18377</v>
      </c>
      <c r="B2602" s="16" t="s">
        <v>27</v>
      </c>
      <c r="C2602" s="16" t="s">
        <v>5015</v>
      </c>
      <c r="D2602" s="16" t="s">
        <v>5029</v>
      </c>
      <c r="E2602" s="17" t="s">
        <v>840</v>
      </c>
      <c r="F2602" s="16" t="n">
        <v>36.4049</v>
      </c>
      <c r="G2602" s="16" t="n">
        <v>43.0914</v>
      </c>
      <c r="H2602" s="18" t="n">
        <v>410</v>
      </c>
      <c r="I2602" s="18" t="n">
        <v>2460</v>
      </c>
      <c r="J2602" s="19" t="n">
        <v>5</v>
      </c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 t="n">
        <v>405</v>
      </c>
      <c r="W2602" s="19"/>
      <c r="X2602" s="19"/>
      <c r="Y2602" s="19"/>
      <c r="Z2602" s="19"/>
      <c r="AA2602" s="19"/>
      <c r="AB2602" s="19"/>
      <c r="AC2602" s="19" t="n">
        <v>92</v>
      </c>
      <c r="AD2602" s="19"/>
      <c r="AE2602" s="19"/>
      <c r="AF2602" s="19"/>
      <c r="AG2602" s="19"/>
      <c r="AH2602" s="19" t="n">
        <v>263</v>
      </c>
      <c r="AI2602" s="19"/>
      <c r="AJ2602" s="19" t="n">
        <v>55</v>
      </c>
      <c r="AK2602" s="19"/>
      <c r="AL2602" s="19"/>
      <c r="AM2602" s="19"/>
      <c r="AN2602" s="19"/>
      <c r="AO2602" s="19" t="n">
        <v>275</v>
      </c>
      <c r="AP2602" s="19" t="n">
        <v>131</v>
      </c>
      <c r="AQ2602" s="19" t="n">
        <v>4</v>
      </c>
      <c r="AR2602" s="19"/>
      <c r="AS2602" s="20" t="str">
        <f aca="false">HYPERLINK("http://www.openstreetmap.org/?mlat=36.4049&amp;mlon=43.0914&amp;zoom=12#map=12/36.4049/43.0914","Maplink1")</f>
        <v>Maplink1</v>
      </c>
      <c r="AT2602" s="20" t="str">
        <f aca="false">HYPERLINK("https://www.google.iq/maps/search/+36.4049,43.0914/@36.4049,43.0914,14z?hl=en","Maplink2")</f>
        <v>Maplink2</v>
      </c>
      <c r="AU2602" s="20" t="str">
        <f aca="false">HYPERLINK("http://www.bing.com/maps/?lvl=14&amp;sty=h&amp;cp=36.4049~43.0914&amp;sp=point.36.4049_43.0914","Maplink3")</f>
        <v>Maplink3</v>
      </c>
    </row>
    <row r="2603" customFormat="false" ht="15" hidden="false" customHeight="true" outlineLevel="0" collapsed="false">
      <c r="A2603" s="15" t="n">
        <v>24617</v>
      </c>
      <c r="B2603" s="16" t="s">
        <v>27</v>
      </c>
      <c r="C2603" s="16" t="s">
        <v>5015</v>
      </c>
      <c r="D2603" s="16" t="s">
        <v>5030</v>
      </c>
      <c r="E2603" s="17" t="s">
        <v>5031</v>
      </c>
      <c r="F2603" s="16" t="n">
        <v>36.302</v>
      </c>
      <c r="G2603" s="16" t="n">
        <v>43.1903</v>
      </c>
      <c r="H2603" s="18" t="n">
        <v>93</v>
      </c>
      <c r="I2603" s="18" t="n">
        <v>558</v>
      </c>
      <c r="J2603" s="19"/>
      <c r="K2603" s="19"/>
      <c r="L2603" s="19"/>
      <c r="M2603" s="19"/>
      <c r="N2603" s="19"/>
      <c r="O2603" s="19"/>
      <c r="P2603" s="19"/>
      <c r="Q2603" s="19"/>
      <c r="R2603" s="19" t="n">
        <v>12</v>
      </c>
      <c r="S2603" s="19"/>
      <c r="T2603" s="19"/>
      <c r="U2603" s="19"/>
      <c r="V2603" s="19" t="n">
        <v>56</v>
      </c>
      <c r="W2603" s="19"/>
      <c r="X2603" s="19" t="n">
        <v>25</v>
      </c>
      <c r="Y2603" s="19"/>
      <c r="Z2603" s="19"/>
      <c r="AA2603" s="19"/>
      <c r="AB2603" s="19"/>
      <c r="AC2603" s="19" t="n">
        <v>21</v>
      </c>
      <c r="AD2603" s="19"/>
      <c r="AE2603" s="19"/>
      <c r="AF2603" s="19"/>
      <c r="AG2603" s="19"/>
      <c r="AH2603" s="19" t="n">
        <v>43</v>
      </c>
      <c r="AI2603" s="19"/>
      <c r="AJ2603" s="19" t="n">
        <v>9</v>
      </c>
      <c r="AK2603" s="19" t="n">
        <v>20</v>
      </c>
      <c r="AL2603" s="19"/>
      <c r="AM2603" s="19"/>
      <c r="AN2603" s="19"/>
      <c r="AO2603" s="19" t="n">
        <v>26</v>
      </c>
      <c r="AP2603" s="19" t="n">
        <v>67</v>
      </c>
      <c r="AQ2603" s="19"/>
      <c r="AR2603" s="19"/>
      <c r="AS2603" s="20" t="str">
        <f aca="false">HYPERLINK("http://www.openstreetmap.org/?mlat=36.302&amp;mlon=43.1903&amp;zoom=12#map=12/36.302/43.1903","Maplink1")</f>
        <v>Maplink1</v>
      </c>
      <c r="AT2603" s="20" t="str">
        <f aca="false">HYPERLINK("https://www.google.iq/maps/search/+36.302,43.1903/@36.302,43.1903,14z?hl=en","Maplink2")</f>
        <v>Maplink2</v>
      </c>
      <c r="AU2603" s="20" t="str">
        <f aca="false">HYPERLINK("http://www.bing.com/maps/?lvl=14&amp;sty=h&amp;cp=36.302~43.1903&amp;sp=point.36.302_43.1903","Maplink3")</f>
        <v>Maplink3</v>
      </c>
    </row>
    <row r="2604" customFormat="false" ht="15" hidden="false" customHeight="true" outlineLevel="0" collapsed="false">
      <c r="A2604" s="15" t="n">
        <v>24146</v>
      </c>
      <c r="B2604" s="16" t="s">
        <v>27</v>
      </c>
      <c r="C2604" s="16" t="s">
        <v>5015</v>
      </c>
      <c r="D2604" s="16" t="s">
        <v>5032</v>
      </c>
      <c r="E2604" s="17" t="s">
        <v>5033</v>
      </c>
      <c r="F2604" s="16" t="n">
        <v>36.465271</v>
      </c>
      <c r="G2604" s="16" t="n">
        <v>43.250424</v>
      </c>
      <c r="H2604" s="18" t="n">
        <v>17</v>
      </c>
      <c r="I2604" s="18" t="n">
        <v>102</v>
      </c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 t="n">
        <v>17</v>
      </c>
      <c r="W2604" s="19"/>
      <c r="X2604" s="19"/>
      <c r="Y2604" s="19"/>
      <c r="Z2604" s="19"/>
      <c r="AA2604" s="19"/>
      <c r="AB2604" s="19"/>
      <c r="AC2604" s="19" t="n">
        <v>17</v>
      </c>
      <c r="AD2604" s="19"/>
      <c r="AE2604" s="19"/>
      <c r="AF2604" s="19"/>
      <c r="AG2604" s="19"/>
      <c r="AH2604" s="19"/>
      <c r="AI2604" s="19"/>
      <c r="AJ2604" s="19"/>
      <c r="AK2604" s="19"/>
      <c r="AL2604" s="19"/>
      <c r="AM2604" s="19"/>
      <c r="AN2604" s="19"/>
      <c r="AO2604" s="19"/>
      <c r="AP2604" s="19"/>
      <c r="AQ2604" s="19"/>
      <c r="AR2604" s="19" t="n">
        <v>17</v>
      </c>
      <c r="AS2604" s="20" t="str">
        <f aca="false">HYPERLINK("http://www.openstreetmap.org/?mlat=36.4653&amp;mlon=43.2504&amp;zoom=12#map=12/36.4653/43.2504","Maplink1")</f>
        <v>Maplink1</v>
      </c>
      <c r="AT2604" s="20" t="str">
        <f aca="false">HYPERLINK("https://www.google.iq/maps/search/+36.4653,43.2504/@36.4653,43.2504,14z?hl=en","Maplink2")</f>
        <v>Maplink2</v>
      </c>
      <c r="AU2604" s="20" t="str">
        <f aca="false">HYPERLINK("http://www.bing.com/maps/?lvl=14&amp;sty=h&amp;cp=36.4653~43.2504&amp;sp=point.36.4653_43.2504","Maplink3")</f>
        <v>Maplink3</v>
      </c>
    </row>
    <row r="2605" customFormat="false" ht="15" hidden="false" customHeight="true" outlineLevel="0" collapsed="false">
      <c r="A2605" s="15" t="n">
        <v>24616</v>
      </c>
      <c r="B2605" s="16" t="s">
        <v>27</v>
      </c>
      <c r="C2605" s="16" t="s">
        <v>5015</v>
      </c>
      <c r="D2605" s="16" t="s">
        <v>5034</v>
      </c>
      <c r="E2605" s="17" t="s">
        <v>5035</v>
      </c>
      <c r="F2605" s="16" t="n">
        <v>36.2572</v>
      </c>
      <c r="G2605" s="16" t="n">
        <v>43.1912</v>
      </c>
      <c r="H2605" s="18" t="n">
        <v>13</v>
      </c>
      <c r="I2605" s="18" t="n">
        <v>78</v>
      </c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 t="n">
        <v>13</v>
      </c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9" t="n">
        <v>8</v>
      </c>
      <c r="AH2605" s="19"/>
      <c r="AI2605" s="19"/>
      <c r="AJ2605" s="19" t="n">
        <v>5</v>
      </c>
      <c r="AK2605" s="19"/>
      <c r="AL2605" s="19"/>
      <c r="AM2605" s="19"/>
      <c r="AN2605" s="19"/>
      <c r="AO2605" s="19" t="n">
        <v>8</v>
      </c>
      <c r="AP2605" s="19"/>
      <c r="AQ2605" s="19" t="n">
        <v>5</v>
      </c>
      <c r="AR2605" s="19"/>
      <c r="AS2605" s="20" t="str">
        <f aca="false">HYPERLINK("http://www.openstreetmap.org/?mlat=36.2572&amp;mlon=43.1912&amp;zoom=12#map=12/36.2572/43.1912","Maplink1")</f>
        <v>Maplink1</v>
      </c>
      <c r="AT2605" s="20" t="str">
        <f aca="false">HYPERLINK("https://www.google.iq/maps/search/+36.2572,43.1912/@36.2572,43.1912,14z?hl=en","Maplink2")</f>
        <v>Maplink2</v>
      </c>
      <c r="AU2605" s="20" t="str">
        <f aca="false">HYPERLINK("http://www.bing.com/maps/?lvl=14&amp;sty=h&amp;cp=36.2572~43.1912&amp;sp=point.36.2572_43.1912","Maplink3")</f>
        <v>Maplink3</v>
      </c>
    </row>
    <row r="2606" customFormat="false" ht="15" hidden="false" customHeight="true" outlineLevel="0" collapsed="false">
      <c r="A2606" s="15" t="n">
        <v>18356</v>
      </c>
      <c r="B2606" s="16" t="s">
        <v>27</v>
      </c>
      <c r="C2606" s="16" t="s">
        <v>5015</v>
      </c>
      <c r="D2606" s="16" t="s">
        <v>5036</v>
      </c>
      <c r="E2606" s="17" t="s">
        <v>3120</v>
      </c>
      <c r="F2606" s="16" t="n">
        <v>36.3925</v>
      </c>
      <c r="G2606" s="16" t="n">
        <v>43.199167</v>
      </c>
      <c r="H2606" s="18" t="n">
        <v>195</v>
      </c>
      <c r="I2606" s="18" t="n">
        <v>1170</v>
      </c>
      <c r="J2606" s="19" t="n">
        <v>10</v>
      </c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 t="n">
        <v>175</v>
      </c>
      <c r="W2606" s="19"/>
      <c r="X2606" s="19" t="n">
        <v>10</v>
      </c>
      <c r="Y2606" s="19"/>
      <c r="Z2606" s="19"/>
      <c r="AA2606" s="19"/>
      <c r="AB2606" s="19"/>
      <c r="AC2606" s="19" t="n">
        <v>59</v>
      </c>
      <c r="AD2606" s="19"/>
      <c r="AE2606" s="19"/>
      <c r="AF2606" s="19"/>
      <c r="AG2606" s="19"/>
      <c r="AH2606" s="19" t="n">
        <v>33</v>
      </c>
      <c r="AI2606" s="19" t="n">
        <v>55</v>
      </c>
      <c r="AJ2606" s="19" t="n">
        <v>48</v>
      </c>
      <c r="AK2606" s="19"/>
      <c r="AL2606" s="19" t="n">
        <v>10</v>
      </c>
      <c r="AM2606" s="19"/>
      <c r="AN2606" s="19" t="n">
        <v>110</v>
      </c>
      <c r="AO2606" s="19"/>
      <c r="AP2606" s="19" t="n">
        <v>68</v>
      </c>
      <c r="AQ2606" s="19" t="n">
        <v>7</v>
      </c>
      <c r="AR2606" s="19"/>
      <c r="AS2606" s="20" t="str">
        <f aca="false">HYPERLINK("http://www.openstreetmap.org/?mlat=36.3925&amp;mlon=43.1992&amp;zoom=12#map=12/36.3925/43.1992","Maplink1")</f>
        <v>Maplink1</v>
      </c>
      <c r="AT2606" s="20" t="str">
        <f aca="false">HYPERLINK("https://www.google.iq/maps/search/+36.3925,43.1992/@36.3925,43.1992,14z?hl=en","Maplink2")</f>
        <v>Maplink2</v>
      </c>
      <c r="AU2606" s="20" t="str">
        <f aca="false">HYPERLINK("http://www.bing.com/maps/?lvl=14&amp;sty=h&amp;cp=36.3925~43.1992&amp;sp=point.36.3925_43.1992","Maplink3")</f>
        <v>Maplink3</v>
      </c>
    </row>
    <row r="2607" customFormat="false" ht="15" hidden="false" customHeight="true" outlineLevel="0" collapsed="false">
      <c r="A2607" s="15" t="n">
        <v>25066</v>
      </c>
      <c r="B2607" s="16" t="s">
        <v>27</v>
      </c>
      <c r="C2607" s="16" t="s">
        <v>5015</v>
      </c>
      <c r="D2607" s="16" t="s">
        <v>5037</v>
      </c>
      <c r="E2607" s="17" t="s">
        <v>5038</v>
      </c>
      <c r="F2607" s="16" t="n">
        <v>36.341839</v>
      </c>
      <c r="G2607" s="16" t="n">
        <v>43.052996</v>
      </c>
      <c r="H2607" s="18" t="n">
        <v>285</v>
      </c>
      <c r="I2607" s="18" t="n">
        <v>1710</v>
      </c>
      <c r="J2607" s="19" t="n">
        <v>7</v>
      </c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 t="n">
        <v>268</v>
      </c>
      <c r="W2607" s="19"/>
      <c r="X2607" s="19" t="n">
        <v>10</v>
      </c>
      <c r="Y2607" s="19"/>
      <c r="Z2607" s="19"/>
      <c r="AA2607" s="19"/>
      <c r="AB2607" s="19"/>
      <c r="AC2607" s="19" t="n">
        <v>51</v>
      </c>
      <c r="AD2607" s="19"/>
      <c r="AE2607" s="19" t="n">
        <v>17</v>
      </c>
      <c r="AF2607" s="19"/>
      <c r="AG2607" s="19"/>
      <c r="AH2607" s="19" t="n">
        <v>42</v>
      </c>
      <c r="AI2607" s="19"/>
      <c r="AJ2607" s="19" t="n">
        <v>121</v>
      </c>
      <c r="AK2607" s="19" t="n">
        <v>54</v>
      </c>
      <c r="AL2607" s="19"/>
      <c r="AM2607" s="19"/>
      <c r="AN2607" s="19"/>
      <c r="AO2607" s="19" t="n">
        <v>53</v>
      </c>
      <c r="AP2607" s="19" t="n">
        <v>82</v>
      </c>
      <c r="AQ2607" s="19" t="n">
        <v>150</v>
      </c>
      <c r="AR2607" s="19"/>
      <c r="AS2607" s="20" t="str">
        <f aca="false">HYPERLINK("http://www.openstreetmap.org/?mlat=36.3418&amp;mlon=43.053&amp;zoom=12#map=12/36.3418/43.053","Maplink1")</f>
        <v>Maplink1</v>
      </c>
      <c r="AT2607" s="20" t="str">
        <f aca="false">HYPERLINK("https://www.google.iq/maps/search/+36.3418,43.053/@36.3418,43.053,14z?hl=en","Maplink2")</f>
        <v>Maplink2</v>
      </c>
      <c r="AU2607" s="20" t="str">
        <f aca="false">HYPERLINK("http://www.bing.com/maps/?lvl=14&amp;sty=h&amp;cp=36.3418~43.053&amp;sp=point.36.3418_43.053","Maplink3")</f>
        <v>Maplink3</v>
      </c>
    </row>
    <row r="2608" customFormat="false" ht="15" hidden="false" customHeight="true" outlineLevel="0" collapsed="false">
      <c r="A2608" s="15" t="n">
        <v>18328</v>
      </c>
      <c r="B2608" s="16" t="s">
        <v>27</v>
      </c>
      <c r="C2608" s="16" t="s">
        <v>5015</v>
      </c>
      <c r="D2608" s="16" t="s">
        <v>5039</v>
      </c>
      <c r="E2608" s="17" t="s">
        <v>5040</v>
      </c>
      <c r="F2608" s="16" t="n">
        <v>36.353351</v>
      </c>
      <c r="G2608" s="16" t="n">
        <v>43.214264</v>
      </c>
      <c r="H2608" s="18" t="n">
        <v>41</v>
      </c>
      <c r="I2608" s="18" t="n">
        <v>246</v>
      </c>
      <c r="J2608" s="19" t="n">
        <v>16</v>
      </c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 t="n">
        <v>21</v>
      </c>
      <c r="W2608" s="19"/>
      <c r="X2608" s="19" t="n">
        <v>4</v>
      </c>
      <c r="Y2608" s="19"/>
      <c r="Z2608" s="19"/>
      <c r="AA2608" s="19"/>
      <c r="AB2608" s="19"/>
      <c r="AC2608" s="19" t="n">
        <v>2</v>
      </c>
      <c r="AD2608" s="19"/>
      <c r="AE2608" s="19"/>
      <c r="AF2608" s="19"/>
      <c r="AG2608" s="19"/>
      <c r="AH2608" s="19" t="n">
        <v>4</v>
      </c>
      <c r="AI2608" s="19"/>
      <c r="AJ2608" s="19" t="n">
        <v>14</v>
      </c>
      <c r="AK2608" s="19" t="n">
        <v>21</v>
      </c>
      <c r="AL2608" s="19" t="n">
        <v>6</v>
      </c>
      <c r="AM2608" s="19"/>
      <c r="AN2608" s="19"/>
      <c r="AO2608" s="19"/>
      <c r="AP2608" s="19" t="n">
        <v>25</v>
      </c>
      <c r="AQ2608" s="19" t="n">
        <v>10</v>
      </c>
      <c r="AR2608" s="19"/>
      <c r="AS2608" s="20" t="str">
        <f aca="false">HYPERLINK("http://www.openstreetmap.org/?mlat=36.3534&amp;mlon=43.2143&amp;zoom=12#map=12/36.3534/43.2143","Maplink1")</f>
        <v>Maplink1</v>
      </c>
      <c r="AT2608" s="20" t="str">
        <f aca="false">HYPERLINK("https://www.google.iq/maps/search/+36.3534,43.2143/@36.3534,43.2143,14z?hl=en","Maplink2")</f>
        <v>Maplink2</v>
      </c>
      <c r="AU2608" s="20" t="str">
        <f aca="false">HYPERLINK("http://www.bing.com/maps/?lvl=14&amp;sty=h&amp;cp=36.3534~43.2143&amp;sp=point.36.3534_43.2143","Maplink3")</f>
        <v>Maplink3</v>
      </c>
    </row>
    <row r="2609" customFormat="false" ht="15" hidden="false" customHeight="true" outlineLevel="0" collapsed="false">
      <c r="A2609" s="15" t="n">
        <v>18365</v>
      </c>
      <c r="B2609" s="16" t="s">
        <v>27</v>
      </c>
      <c r="C2609" s="16" t="s">
        <v>5015</v>
      </c>
      <c r="D2609" s="16" t="s">
        <v>5041</v>
      </c>
      <c r="E2609" s="17" t="s">
        <v>5042</v>
      </c>
      <c r="F2609" s="16" t="n">
        <v>36.322033</v>
      </c>
      <c r="G2609" s="16" t="n">
        <v>43.093643</v>
      </c>
      <c r="H2609" s="18" t="n">
        <v>85</v>
      </c>
      <c r="I2609" s="18" t="n">
        <v>510</v>
      </c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 t="n">
        <v>36</v>
      </c>
      <c r="W2609" s="19"/>
      <c r="X2609" s="19" t="n">
        <v>49</v>
      </c>
      <c r="Y2609" s="19"/>
      <c r="Z2609" s="19"/>
      <c r="AA2609" s="19"/>
      <c r="AB2609" s="19"/>
      <c r="AC2609" s="19" t="n">
        <v>60</v>
      </c>
      <c r="AD2609" s="19"/>
      <c r="AE2609" s="19"/>
      <c r="AF2609" s="19"/>
      <c r="AG2609" s="19"/>
      <c r="AH2609" s="19"/>
      <c r="AI2609" s="19"/>
      <c r="AJ2609" s="19" t="n">
        <v>25</v>
      </c>
      <c r="AK2609" s="19"/>
      <c r="AL2609" s="19"/>
      <c r="AM2609" s="19"/>
      <c r="AN2609" s="19"/>
      <c r="AO2609" s="19"/>
      <c r="AP2609" s="19" t="n">
        <v>69</v>
      </c>
      <c r="AQ2609" s="19" t="n">
        <v>16</v>
      </c>
      <c r="AR2609" s="19"/>
      <c r="AS2609" s="20" t="str">
        <f aca="false">HYPERLINK("http://www.openstreetmap.org/?mlat=36.322&amp;mlon=43.0936&amp;zoom=12#map=12/36.322/43.0936","Maplink1")</f>
        <v>Maplink1</v>
      </c>
      <c r="AT2609" s="20" t="str">
        <f aca="false">HYPERLINK("https://www.google.iq/maps/search/+36.322,43.0936/@36.322,43.0936,14z?hl=en","Maplink2")</f>
        <v>Maplink2</v>
      </c>
      <c r="AU2609" s="20" t="str">
        <f aca="false">HYPERLINK("http://www.bing.com/maps/?lvl=14&amp;sty=h&amp;cp=36.322~43.0936&amp;sp=point.36.322_43.0936","Maplink3")</f>
        <v>Maplink3</v>
      </c>
    </row>
    <row r="2610" customFormat="false" ht="15" hidden="false" customHeight="true" outlineLevel="0" collapsed="false">
      <c r="A2610" s="15" t="n">
        <v>18337</v>
      </c>
      <c r="B2610" s="16" t="s">
        <v>27</v>
      </c>
      <c r="C2610" s="16" t="s">
        <v>5015</v>
      </c>
      <c r="D2610" s="16" t="s">
        <v>5043</v>
      </c>
      <c r="E2610" s="17" t="s">
        <v>5044</v>
      </c>
      <c r="F2610" s="16" t="n">
        <v>36.387934</v>
      </c>
      <c r="G2610" s="16" t="n">
        <v>43.178249</v>
      </c>
      <c r="H2610" s="18" t="n">
        <v>25</v>
      </c>
      <c r="I2610" s="18" t="n">
        <v>150</v>
      </c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 t="n">
        <v>25</v>
      </c>
      <c r="W2610" s="19"/>
      <c r="X2610" s="19"/>
      <c r="Y2610" s="19"/>
      <c r="Z2610" s="19"/>
      <c r="AA2610" s="19"/>
      <c r="AB2610" s="19"/>
      <c r="AC2610" s="19" t="n">
        <v>19</v>
      </c>
      <c r="AD2610" s="19"/>
      <c r="AE2610" s="19"/>
      <c r="AF2610" s="19"/>
      <c r="AG2610" s="19"/>
      <c r="AH2610" s="19"/>
      <c r="AI2610" s="19"/>
      <c r="AJ2610" s="19" t="n">
        <v>6</v>
      </c>
      <c r="AK2610" s="19"/>
      <c r="AL2610" s="19"/>
      <c r="AM2610" s="19"/>
      <c r="AN2610" s="19"/>
      <c r="AO2610" s="19"/>
      <c r="AP2610" s="19" t="n">
        <v>17</v>
      </c>
      <c r="AQ2610" s="19" t="n">
        <v>8</v>
      </c>
      <c r="AR2610" s="19"/>
      <c r="AS2610" s="20" t="str">
        <f aca="false">HYPERLINK("http://www.openstreetmap.org/?mlat=36.3879&amp;mlon=43.1782&amp;zoom=12#map=12/36.3879/43.1782","Maplink1")</f>
        <v>Maplink1</v>
      </c>
      <c r="AT2610" s="20" t="str">
        <f aca="false">HYPERLINK("https://www.google.iq/maps/search/+36.3879,43.1782/@36.3879,43.1782,14z?hl=en","Maplink2")</f>
        <v>Maplink2</v>
      </c>
      <c r="AU2610" s="20" t="str">
        <f aca="false">HYPERLINK("http://www.bing.com/maps/?lvl=14&amp;sty=h&amp;cp=36.3879~43.1782&amp;sp=point.36.3879_43.1782","Maplink3")</f>
        <v>Maplink3</v>
      </c>
    </row>
    <row r="2611" customFormat="false" ht="15" hidden="false" customHeight="true" outlineLevel="0" collapsed="false">
      <c r="A2611" s="15" t="n">
        <v>18331</v>
      </c>
      <c r="B2611" s="16" t="s">
        <v>27</v>
      </c>
      <c r="C2611" s="16" t="s">
        <v>5015</v>
      </c>
      <c r="D2611" s="16" t="s">
        <v>5045</v>
      </c>
      <c r="E2611" s="17" t="s">
        <v>5046</v>
      </c>
      <c r="F2611" s="16" t="n">
        <v>36.3934</v>
      </c>
      <c r="G2611" s="16" t="n">
        <v>43.1503</v>
      </c>
      <c r="H2611" s="18" t="n">
        <v>106</v>
      </c>
      <c r="I2611" s="18" t="n">
        <v>636</v>
      </c>
      <c r="J2611" s="19" t="n">
        <v>12</v>
      </c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 t="n">
        <v>53</v>
      </c>
      <c r="W2611" s="19"/>
      <c r="X2611" s="19" t="n">
        <v>41</v>
      </c>
      <c r="Y2611" s="19"/>
      <c r="Z2611" s="19"/>
      <c r="AA2611" s="19"/>
      <c r="AB2611" s="19"/>
      <c r="AC2611" s="19" t="n">
        <v>26</v>
      </c>
      <c r="AD2611" s="19"/>
      <c r="AE2611" s="19" t="n">
        <v>12</v>
      </c>
      <c r="AF2611" s="19"/>
      <c r="AG2611" s="19"/>
      <c r="AH2611" s="19" t="n">
        <v>36</v>
      </c>
      <c r="AI2611" s="19" t="n">
        <v>6</v>
      </c>
      <c r="AJ2611" s="19" t="n">
        <v>26</v>
      </c>
      <c r="AK2611" s="19"/>
      <c r="AL2611" s="19" t="n">
        <v>7</v>
      </c>
      <c r="AM2611" s="19"/>
      <c r="AN2611" s="19"/>
      <c r="AO2611" s="19" t="n">
        <v>15</v>
      </c>
      <c r="AP2611" s="19" t="n">
        <v>70</v>
      </c>
      <c r="AQ2611" s="19" t="n">
        <v>14</v>
      </c>
      <c r="AR2611" s="19"/>
      <c r="AS2611" s="20" t="str">
        <f aca="false">HYPERLINK("http://www.openstreetmap.org/?mlat=36.3934&amp;mlon=43.1503&amp;zoom=12#map=12/36.3934/43.1503","Maplink1")</f>
        <v>Maplink1</v>
      </c>
      <c r="AT2611" s="20" t="str">
        <f aca="false">HYPERLINK("https://www.google.iq/maps/search/+36.3934,43.1503/@36.3934,43.1503,14z?hl=en","Maplink2")</f>
        <v>Maplink2</v>
      </c>
      <c r="AU2611" s="20" t="str">
        <f aca="false">HYPERLINK("http://www.bing.com/maps/?lvl=14&amp;sty=h&amp;cp=36.3934~43.1503&amp;sp=point.36.3934_43.1503","Maplink3")</f>
        <v>Maplink3</v>
      </c>
    </row>
    <row r="2612" customFormat="false" ht="15" hidden="false" customHeight="true" outlineLevel="0" collapsed="false">
      <c r="A2612" s="15" t="n">
        <v>24738</v>
      </c>
      <c r="B2612" s="16" t="s">
        <v>27</v>
      </c>
      <c r="C2612" s="16" t="s">
        <v>5015</v>
      </c>
      <c r="D2612" s="16" t="s">
        <v>5047</v>
      </c>
      <c r="E2612" s="17" t="s">
        <v>5048</v>
      </c>
      <c r="F2612" s="16" t="n">
        <v>36.37991</v>
      </c>
      <c r="G2612" s="16" t="n">
        <v>43.069568</v>
      </c>
      <c r="H2612" s="18" t="n">
        <v>135</v>
      </c>
      <c r="I2612" s="18" t="n">
        <v>810</v>
      </c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 t="n">
        <v>135</v>
      </c>
      <c r="W2612" s="19"/>
      <c r="X2612" s="19"/>
      <c r="Y2612" s="19"/>
      <c r="Z2612" s="19"/>
      <c r="AA2612" s="19"/>
      <c r="AB2612" s="19"/>
      <c r="AC2612" s="19" t="n">
        <v>15</v>
      </c>
      <c r="AD2612" s="19"/>
      <c r="AE2612" s="19"/>
      <c r="AF2612" s="19"/>
      <c r="AG2612" s="19"/>
      <c r="AH2612" s="19"/>
      <c r="AI2612" s="19"/>
      <c r="AJ2612" s="19" t="n">
        <v>100</v>
      </c>
      <c r="AK2612" s="19" t="n">
        <v>20</v>
      </c>
      <c r="AL2612" s="19"/>
      <c r="AM2612" s="19"/>
      <c r="AN2612" s="19"/>
      <c r="AO2612" s="19" t="n">
        <v>100</v>
      </c>
      <c r="AP2612" s="19" t="n">
        <v>20</v>
      </c>
      <c r="AQ2612" s="19" t="n">
        <v>15</v>
      </c>
      <c r="AR2612" s="19"/>
      <c r="AS2612" s="20" t="str">
        <f aca="false">HYPERLINK("http://www.openstreetmap.org/?mlat=36.3799&amp;mlon=43.0696&amp;zoom=12#map=12/36.3799/43.0696","Maplink1")</f>
        <v>Maplink1</v>
      </c>
      <c r="AT2612" s="20" t="str">
        <f aca="false">HYPERLINK("https://www.google.iq/maps/search/+36.3799,43.0696/@36.3799,43.0696,14z?hl=en","Maplink2")</f>
        <v>Maplink2</v>
      </c>
      <c r="AU2612" s="20" t="str">
        <f aca="false">HYPERLINK("http://www.bing.com/maps/?lvl=14&amp;sty=h&amp;cp=36.3799~43.0696&amp;sp=point.36.3799_43.0696","Maplink3")</f>
        <v>Maplink3</v>
      </c>
    </row>
    <row r="2613" customFormat="false" ht="15" hidden="false" customHeight="true" outlineLevel="0" collapsed="false">
      <c r="A2613" s="15" t="n">
        <v>18339</v>
      </c>
      <c r="B2613" s="16" t="s">
        <v>27</v>
      </c>
      <c r="C2613" s="16" t="s">
        <v>5015</v>
      </c>
      <c r="D2613" s="16" t="s">
        <v>5049</v>
      </c>
      <c r="E2613" s="17" t="s">
        <v>5050</v>
      </c>
      <c r="F2613" s="16" t="n">
        <v>36.348816</v>
      </c>
      <c r="G2613" s="16" t="n">
        <v>43.223955</v>
      </c>
      <c r="H2613" s="18" t="n">
        <v>270</v>
      </c>
      <c r="I2613" s="18" t="n">
        <v>1620</v>
      </c>
      <c r="J2613" s="19" t="n">
        <v>95</v>
      </c>
      <c r="K2613" s="19"/>
      <c r="L2613" s="19"/>
      <c r="M2613" s="19"/>
      <c r="N2613" s="19"/>
      <c r="O2613" s="19"/>
      <c r="P2613" s="19"/>
      <c r="Q2613" s="19"/>
      <c r="R2613" s="19" t="n">
        <v>42</v>
      </c>
      <c r="S2613" s="19"/>
      <c r="T2613" s="19"/>
      <c r="U2613" s="19"/>
      <c r="V2613" s="19" t="n">
        <v>102</v>
      </c>
      <c r="W2613" s="19"/>
      <c r="X2613" s="19" t="n">
        <v>31</v>
      </c>
      <c r="Y2613" s="19"/>
      <c r="Z2613" s="19"/>
      <c r="AA2613" s="19"/>
      <c r="AB2613" s="19"/>
      <c r="AC2613" s="19" t="n">
        <v>70</v>
      </c>
      <c r="AD2613" s="19"/>
      <c r="AE2613" s="19"/>
      <c r="AF2613" s="19" t="n">
        <v>15</v>
      </c>
      <c r="AG2613" s="19"/>
      <c r="AH2613" s="19" t="n">
        <v>51</v>
      </c>
      <c r="AI2613" s="19" t="n">
        <v>10</v>
      </c>
      <c r="AJ2613" s="19" t="n">
        <v>59</v>
      </c>
      <c r="AK2613" s="19" t="n">
        <v>65</v>
      </c>
      <c r="AL2613" s="19" t="n">
        <v>2</v>
      </c>
      <c r="AM2613" s="19"/>
      <c r="AN2613" s="19"/>
      <c r="AO2613" s="19" t="n">
        <v>78</v>
      </c>
      <c r="AP2613" s="19" t="n">
        <v>138</v>
      </c>
      <c r="AQ2613" s="19" t="n">
        <v>52</v>
      </c>
      <c r="AR2613" s="19"/>
      <c r="AS2613" s="20" t="str">
        <f aca="false">HYPERLINK("http://www.openstreetmap.org/?mlat=36.3488&amp;mlon=43.224&amp;zoom=12#map=12/36.3488/43.224","Maplink1")</f>
        <v>Maplink1</v>
      </c>
      <c r="AT2613" s="20" t="str">
        <f aca="false">HYPERLINK("https://www.google.iq/maps/search/+36.3488,43.224/@36.3488,43.224,14z?hl=en","Maplink2")</f>
        <v>Maplink2</v>
      </c>
      <c r="AU2613" s="20" t="str">
        <f aca="false">HYPERLINK("http://www.bing.com/maps/?lvl=14&amp;sty=h&amp;cp=36.3488~43.224&amp;sp=point.36.3488_43.224","Maplink3")</f>
        <v>Maplink3</v>
      </c>
    </row>
    <row r="2614" customFormat="false" ht="15" hidden="false" customHeight="true" outlineLevel="0" collapsed="false">
      <c r="A2614" s="15" t="n">
        <v>18369</v>
      </c>
      <c r="B2614" s="16" t="s">
        <v>27</v>
      </c>
      <c r="C2614" s="16" t="s">
        <v>5015</v>
      </c>
      <c r="D2614" s="16" t="s">
        <v>5051</v>
      </c>
      <c r="E2614" s="17" t="s">
        <v>298</v>
      </c>
      <c r="F2614" s="16" t="n">
        <v>36.397116</v>
      </c>
      <c r="G2614" s="16" t="n">
        <v>43.119337</v>
      </c>
      <c r="H2614" s="18" t="n">
        <v>28</v>
      </c>
      <c r="I2614" s="18" t="n">
        <v>168</v>
      </c>
      <c r="J2614" s="19" t="n">
        <v>8</v>
      </c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 t="n">
        <v>20</v>
      </c>
      <c r="Y2614" s="19"/>
      <c r="Z2614" s="19"/>
      <c r="AA2614" s="19"/>
      <c r="AB2614" s="19"/>
      <c r="AC2614" s="19" t="n">
        <v>6</v>
      </c>
      <c r="AD2614" s="19"/>
      <c r="AE2614" s="19"/>
      <c r="AF2614" s="19"/>
      <c r="AG2614" s="19"/>
      <c r="AH2614" s="19" t="n">
        <v>2</v>
      </c>
      <c r="AI2614" s="19"/>
      <c r="AJ2614" s="19"/>
      <c r="AK2614" s="19" t="n">
        <v>20</v>
      </c>
      <c r="AL2614" s="19" t="n">
        <v>8</v>
      </c>
      <c r="AM2614" s="19"/>
      <c r="AN2614" s="19"/>
      <c r="AO2614" s="19"/>
      <c r="AP2614" s="19" t="n">
        <v>20</v>
      </c>
      <c r="AQ2614" s="19"/>
      <c r="AR2614" s="19"/>
      <c r="AS2614" s="20" t="str">
        <f aca="false">HYPERLINK("http://www.openstreetmap.org/?mlat=36.3971&amp;mlon=43.1193&amp;zoom=12#map=12/36.3971/43.1193","Maplink1")</f>
        <v>Maplink1</v>
      </c>
      <c r="AT2614" s="20" t="str">
        <f aca="false">HYPERLINK("https://www.google.iq/maps/search/+36.3971,43.1193/@36.3971,43.1193,14z?hl=en","Maplink2")</f>
        <v>Maplink2</v>
      </c>
      <c r="AU2614" s="20" t="str">
        <f aca="false">HYPERLINK("http://www.bing.com/maps/?lvl=14&amp;sty=h&amp;cp=36.3971~43.1193&amp;sp=point.36.3971_43.1193","Maplink3")</f>
        <v>Maplink3</v>
      </c>
    </row>
    <row r="2615" customFormat="false" ht="15" hidden="false" customHeight="true" outlineLevel="0" collapsed="false">
      <c r="A2615" s="15" t="n">
        <v>20993</v>
      </c>
      <c r="B2615" s="16" t="s">
        <v>27</v>
      </c>
      <c r="C2615" s="16" t="s">
        <v>5015</v>
      </c>
      <c r="D2615" s="16" t="s">
        <v>5052</v>
      </c>
      <c r="E2615" s="17" t="s">
        <v>5053</v>
      </c>
      <c r="F2615" s="16" t="n">
        <v>36.338021</v>
      </c>
      <c r="G2615" s="16" t="n">
        <v>43.120256</v>
      </c>
      <c r="H2615" s="18" t="n">
        <v>18</v>
      </c>
      <c r="I2615" s="18" t="n">
        <v>108</v>
      </c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 t="n">
        <v>18</v>
      </c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9"/>
      <c r="AH2615" s="19" t="n">
        <v>15</v>
      </c>
      <c r="AI2615" s="19" t="n">
        <v>3</v>
      </c>
      <c r="AJ2615" s="19"/>
      <c r="AK2615" s="19"/>
      <c r="AL2615" s="19"/>
      <c r="AM2615" s="19"/>
      <c r="AN2615" s="19"/>
      <c r="AO2615" s="19" t="n">
        <v>3</v>
      </c>
      <c r="AP2615" s="19" t="n">
        <v>15</v>
      </c>
      <c r="AQ2615" s="19"/>
      <c r="AR2615" s="19"/>
      <c r="AS2615" s="20" t="str">
        <f aca="false">HYPERLINK("http://www.openstreetmap.org/?mlat=36.338&amp;mlon=43.1203&amp;zoom=12#map=12/36.338/43.1203","Maplink1")</f>
        <v>Maplink1</v>
      </c>
      <c r="AT2615" s="20" t="str">
        <f aca="false">HYPERLINK("https://www.google.iq/maps/search/+36.338,43.1203/@36.338,43.1203,14z?hl=en","Maplink2")</f>
        <v>Maplink2</v>
      </c>
      <c r="AU2615" s="20" t="str">
        <f aca="false">HYPERLINK("http://www.bing.com/maps/?lvl=14&amp;sty=h&amp;cp=36.338~43.1203&amp;sp=point.36.338_43.1203","Maplink3")</f>
        <v>Maplink3</v>
      </c>
    </row>
    <row r="2616" customFormat="false" ht="15" hidden="false" customHeight="true" outlineLevel="0" collapsed="false">
      <c r="A2616" s="15" t="n">
        <v>18346</v>
      </c>
      <c r="B2616" s="16" t="s">
        <v>27</v>
      </c>
      <c r="C2616" s="16" t="s">
        <v>5015</v>
      </c>
      <c r="D2616" s="16" t="s">
        <v>5054</v>
      </c>
      <c r="E2616" s="17" t="s">
        <v>5055</v>
      </c>
      <c r="F2616" s="16" t="n">
        <v>36.3134</v>
      </c>
      <c r="G2616" s="16" t="n">
        <v>43.1109</v>
      </c>
      <c r="H2616" s="18" t="n">
        <v>339</v>
      </c>
      <c r="I2616" s="18" t="n">
        <v>2034</v>
      </c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 t="n">
        <v>100</v>
      </c>
      <c r="W2616" s="19"/>
      <c r="X2616" s="19" t="n">
        <v>239</v>
      </c>
      <c r="Y2616" s="19"/>
      <c r="Z2616" s="19"/>
      <c r="AA2616" s="19"/>
      <c r="AB2616" s="19"/>
      <c r="AC2616" s="19" t="n">
        <v>76</v>
      </c>
      <c r="AD2616" s="19"/>
      <c r="AE2616" s="19" t="n">
        <v>11</v>
      </c>
      <c r="AF2616" s="19"/>
      <c r="AG2616" s="19"/>
      <c r="AH2616" s="19" t="n">
        <v>23</v>
      </c>
      <c r="AI2616" s="19" t="n">
        <v>15</v>
      </c>
      <c r="AJ2616" s="19" t="n">
        <v>115</v>
      </c>
      <c r="AK2616" s="19" t="n">
        <v>99</v>
      </c>
      <c r="AL2616" s="19"/>
      <c r="AM2616" s="19"/>
      <c r="AN2616" s="19"/>
      <c r="AO2616" s="19"/>
      <c r="AP2616" s="19" t="n">
        <v>147</v>
      </c>
      <c r="AQ2616" s="19" t="n">
        <v>192</v>
      </c>
      <c r="AR2616" s="19"/>
      <c r="AS2616" s="20" t="str">
        <f aca="false">HYPERLINK("http://www.openstreetmap.org/?mlat=36.3134&amp;mlon=43.1109&amp;zoom=12#map=12/36.3134/43.1109","Maplink1")</f>
        <v>Maplink1</v>
      </c>
      <c r="AT2616" s="20" t="str">
        <f aca="false">HYPERLINK("https://www.google.iq/maps/search/+36.3134,43.1109/@36.3134,43.1109,14z?hl=en","Maplink2")</f>
        <v>Maplink2</v>
      </c>
      <c r="AU2616" s="20" t="str">
        <f aca="false">HYPERLINK("http://www.bing.com/maps/?lvl=14&amp;sty=h&amp;cp=36.3134~43.1109&amp;sp=point.36.3134_43.1109","Maplink3")</f>
        <v>Maplink3</v>
      </c>
    </row>
    <row r="2617" customFormat="false" ht="15" hidden="false" customHeight="true" outlineLevel="0" collapsed="false">
      <c r="A2617" s="15" t="n">
        <v>29683</v>
      </c>
      <c r="B2617" s="16" t="s">
        <v>27</v>
      </c>
      <c r="C2617" s="16" t="s">
        <v>5015</v>
      </c>
      <c r="D2617" s="16" t="s">
        <v>5056</v>
      </c>
      <c r="E2617" s="17" t="s">
        <v>5057</v>
      </c>
      <c r="F2617" s="16" t="n">
        <v>36.46963</v>
      </c>
      <c r="G2617" s="16" t="n">
        <v>43.22626</v>
      </c>
      <c r="H2617" s="18" t="n">
        <v>288</v>
      </c>
      <c r="I2617" s="18" t="n">
        <v>1728</v>
      </c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 t="n">
        <v>288</v>
      </c>
      <c r="W2617" s="19"/>
      <c r="X2617" s="19"/>
      <c r="Y2617" s="19"/>
      <c r="Z2617" s="19"/>
      <c r="AA2617" s="19"/>
      <c r="AB2617" s="19"/>
      <c r="AC2617" s="19" t="n">
        <v>288</v>
      </c>
      <c r="AD2617" s="19"/>
      <c r="AE2617" s="19"/>
      <c r="AF2617" s="19"/>
      <c r="AG2617" s="19"/>
      <c r="AH2617" s="19"/>
      <c r="AI2617" s="19"/>
      <c r="AJ2617" s="19"/>
      <c r="AK2617" s="19"/>
      <c r="AL2617" s="19"/>
      <c r="AM2617" s="19"/>
      <c r="AN2617" s="19"/>
      <c r="AO2617" s="19"/>
      <c r="AP2617" s="19"/>
      <c r="AQ2617" s="19"/>
      <c r="AR2617" s="19" t="n">
        <v>288</v>
      </c>
      <c r="AS2617" s="20" t="str">
        <f aca="false">HYPERLINK("http://www.openstreetmap.org/?mlat=36.4696&amp;mlon=43.2263&amp;zoom=12#map=12/36.4696/43.2263","Maplink1")</f>
        <v>Maplink1</v>
      </c>
      <c r="AT2617" s="20" t="str">
        <f aca="false">HYPERLINK("https://www.google.iq/maps/search/+36.4696,43.2263/@36.4696,43.2263,14z?hl=en","Maplink2")</f>
        <v>Maplink2</v>
      </c>
      <c r="AU2617" s="20" t="str">
        <f aca="false">HYPERLINK("http://www.bing.com/maps/?lvl=14&amp;sty=h&amp;cp=36.4696~43.2263&amp;sp=point.36.4696_43.2263","Maplink3")</f>
        <v>Maplink3</v>
      </c>
    </row>
    <row r="2618" customFormat="false" ht="15" hidden="false" customHeight="true" outlineLevel="0" collapsed="false">
      <c r="A2618" s="15" t="n">
        <v>18375</v>
      </c>
      <c r="B2618" s="16" t="s">
        <v>27</v>
      </c>
      <c r="C2618" s="16" t="s">
        <v>5015</v>
      </c>
      <c r="D2618" s="16" t="s">
        <v>5058</v>
      </c>
      <c r="E2618" s="17" t="s">
        <v>5059</v>
      </c>
      <c r="F2618" s="16" t="n">
        <v>36.321667</v>
      </c>
      <c r="G2618" s="16" t="n">
        <v>43.112778</v>
      </c>
      <c r="H2618" s="18" t="n">
        <v>177</v>
      </c>
      <c r="I2618" s="18" t="n">
        <v>1062</v>
      </c>
      <c r="J2618" s="19"/>
      <c r="K2618" s="19"/>
      <c r="L2618" s="19"/>
      <c r="M2618" s="19"/>
      <c r="N2618" s="19"/>
      <c r="O2618" s="19"/>
      <c r="P2618" s="19"/>
      <c r="Q2618" s="19"/>
      <c r="R2618" s="19" t="n">
        <v>17</v>
      </c>
      <c r="S2618" s="19"/>
      <c r="T2618" s="19"/>
      <c r="U2618" s="19"/>
      <c r="V2618" s="19" t="n">
        <v>102</v>
      </c>
      <c r="W2618" s="19"/>
      <c r="X2618" s="19" t="n">
        <v>58</v>
      </c>
      <c r="Y2618" s="19"/>
      <c r="Z2618" s="19"/>
      <c r="AA2618" s="19"/>
      <c r="AB2618" s="19"/>
      <c r="AC2618" s="19" t="n">
        <v>81</v>
      </c>
      <c r="AD2618" s="19"/>
      <c r="AE2618" s="19"/>
      <c r="AF2618" s="19"/>
      <c r="AG2618" s="19" t="n">
        <v>10</v>
      </c>
      <c r="AH2618" s="19"/>
      <c r="AI2618" s="19" t="n">
        <v>10</v>
      </c>
      <c r="AJ2618" s="19" t="n">
        <v>51</v>
      </c>
      <c r="AK2618" s="19" t="n">
        <v>25</v>
      </c>
      <c r="AL2618" s="19"/>
      <c r="AM2618" s="19"/>
      <c r="AN2618" s="19" t="n">
        <v>22</v>
      </c>
      <c r="AO2618" s="19" t="n">
        <v>36</v>
      </c>
      <c r="AP2618" s="19" t="n">
        <v>93</v>
      </c>
      <c r="AQ2618" s="19" t="n">
        <v>26</v>
      </c>
      <c r="AR2618" s="19"/>
      <c r="AS2618" s="20" t="str">
        <f aca="false">HYPERLINK("http://www.openstreetmap.org/?mlat=36.3217&amp;mlon=43.1128&amp;zoom=12#map=12/36.3217/43.1128","Maplink1")</f>
        <v>Maplink1</v>
      </c>
      <c r="AT2618" s="20" t="str">
        <f aca="false">HYPERLINK("https://www.google.iq/maps/search/+36.3217,43.1128/@36.3217,43.1128,14z?hl=en","Maplink2")</f>
        <v>Maplink2</v>
      </c>
      <c r="AU2618" s="20" t="str">
        <f aca="false">HYPERLINK("http://www.bing.com/maps/?lvl=14&amp;sty=h&amp;cp=36.3217~43.1128&amp;sp=point.36.3217_43.1128","Maplink3")</f>
        <v>Maplink3</v>
      </c>
    </row>
    <row r="2619" customFormat="false" ht="15" hidden="false" customHeight="true" outlineLevel="0" collapsed="false">
      <c r="A2619" s="15" t="n">
        <v>24550</v>
      </c>
      <c r="B2619" s="16" t="s">
        <v>27</v>
      </c>
      <c r="C2619" s="16" t="s">
        <v>5015</v>
      </c>
      <c r="D2619" s="16" t="s">
        <v>5060</v>
      </c>
      <c r="E2619" s="17" t="s">
        <v>5061</v>
      </c>
      <c r="F2619" s="16" t="n">
        <v>36.33004</v>
      </c>
      <c r="G2619" s="16" t="n">
        <v>43.198483</v>
      </c>
      <c r="H2619" s="18" t="n">
        <v>80</v>
      </c>
      <c r="I2619" s="18" t="n">
        <v>480</v>
      </c>
      <c r="J2619" s="19" t="n">
        <v>15</v>
      </c>
      <c r="K2619" s="19"/>
      <c r="L2619" s="19"/>
      <c r="M2619" s="19"/>
      <c r="N2619" s="19"/>
      <c r="O2619" s="19"/>
      <c r="P2619" s="19"/>
      <c r="Q2619" s="19"/>
      <c r="R2619" s="19" t="n">
        <v>24</v>
      </c>
      <c r="S2619" s="19"/>
      <c r="T2619" s="19"/>
      <c r="U2619" s="19"/>
      <c r="V2619" s="19" t="n">
        <v>37</v>
      </c>
      <c r="W2619" s="19"/>
      <c r="X2619" s="19" t="n">
        <v>4</v>
      </c>
      <c r="Y2619" s="19"/>
      <c r="Z2619" s="19"/>
      <c r="AA2619" s="19"/>
      <c r="AB2619" s="19"/>
      <c r="AC2619" s="19" t="n">
        <v>28</v>
      </c>
      <c r="AD2619" s="19"/>
      <c r="AE2619" s="19"/>
      <c r="AF2619" s="19"/>
      <c r="AG2619" s="19"/>
      <c r="AH2619" s="19" t="n">
        <v>7</v>
      </c>
      <c r="AI2619" s="19" t="n">
        <v>9</v>
      </c>
      <c r="AJ2619" s="19" t="n">
        <v>36</v>
      </c>
      <c r="AK2619" s="19"/>
      <c r="AL2619" s="19"/>
      <c r="AM2619" s="19"/>
      <c r="AN2619" s="19" t="n">
        <v>13</v>
      </c>
      <c r="AO2619" s="19" t="n">
        <v>16</v>
      </c>
      <c r="AP2619" s="19" t="n">
        <v>43</v>
      </c>
      <c r="AQ2619" s="19" t="n">
        <v>8</v>
      </c>
      <c r="AR2619" s="19"/>
      <c r="AS2619" s="20" t="str">
        <f aca="false">HYPERLINK("http://www.openstreetmap.org/?mlat=36.33&amp;mlon=43.1985&amp;zoom=12#map=12/36.33/43.1985","Maplink1")</f>
        <v>Maplink1</v>
      </c>
      <c r="AT2619" s="20" t="str">
        <f aca="false">HYPERLINK("https://www.google.iq/maps/search/+36.33,43.1985/@36.33,43.1985,14z?hl=en","Maplink2")</f>
        <v>Maplink2</v>
      </c>
      <c r="AU2619" s="20" t="str">
        <f aca="false">HYPERLINK("http://www.bing.com/maps/?lvl=14&amp;sty=h&amp;cp=36.33~43.1985&amp;sp=point.36.33_43.1985","Maplink3")</f>
        <v>Maplink3</v>
      </c>
    </row>
    <row r="2620" customFormat="false" ht="15" hidden="false" customHeight="true" outlineLevel="0" collapsed="false">
      <c r="A2620" s="15" t="n">
        <v>18393</v>
      </c>
      <c r="B2620" s="16" t="s">
        <v>27</v>
      </c>
      <c r="C2620" s="16" t="s">
        <v>5015</v>
      </c>
      <c r="D2620" s="16" t="s">
        <v>5062</v>
      </c>
      <c r="E2620" s="17" t="s">
        <v>3994</v>
      </c>
      <c r="F2620" s="16" t="n">
        <v>36.3686</v>
      </c>
      <c r="G2620" s="16" t="n">
        <v>43.139</v>
      </c>
      <c r="H2620" s="18" t="n">
        <v>52</v>
      </c>
      <c r="I2620" s="18" t="n">
        <v>312</v>
      </c>
      <c r="J2620" s="19" t="n">
        <v>3</v>
      </c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 t="n">
        <v>34</v>
      </c>
      <c r="W2620" s="19"/>
      <c r="X2620" s="19" t="n">
        <v>15</v>
      </c>
      <c r="Y2620" s="19"/>
      <c r="Z2620" s="19"/>
      <c r="AA2620" s="19"/>
      <c r="AB2620" s="19"/>
      <c r="AC2620" s="19" t="n">
        <v>21</v>
      </c>
      <c r="AD2620" s="19"/>
      <c r="AE2620" s="19"/>
      <c r="AF2620" s="19"/>
      <c r="AG2620" s="19"/>
      <c r="AH2620" s="19" t="n">
        <v>16</v>
      </c>
      <c r="AI2620" s="19"/>
      <c r="AJ2620" s="19"/>
      <c r="AK2620" s="19" t="n">
        <v>15</v>
      </c>
      <c r="AL2620" s="19" t="n">
        <v>3</v>
      </c>
      <c r="AM2620" s="19"/>
      <c r="AN2620" s="19"/>
      <c r="AO2620" s="19"/>
      <c r="AP2620" s="19" t="n">
        <v>49</v>
      </c>
      <c r="AQ2620" s="19"/>
      <c r="AR2620" s="19"/>
      <c r="AS2620" s="20" t="str">
        <f aca="false">HYPERLINK("http://www.openstreetmap.org/?mlat=36.3686&amp;mlon=43.139&amp;zoom=12#map=12/36.3686/43.139","Maplink1")</f>
        <v>Maplink1</v>
      </c>
      <c r="AT2620" s="20" t="str">
        <f aca="false">HYPERLINK("https://www.google.iq/maps/search/+36.3686,43.139/@36.3686,43.139,14z?hl=en","Maplink2")</f>
        <v>Maplink2</v>
      </c>
      <c r="AU2620" s="20" t="str">
        <f aca="false">HYPERLINK("http://www.bing.com/maps/?lvl=14&amp;sty=h&amp;cp=36.3686~43.139&amp;sp=point.36.3686_43.139","Maplink3")</f>
        <v>Maplink3</v>
      </c>
    </row>
    <row r="2621" customFormat="false" ht="15" hidden="false" customHeight="true" outlineLevel="0" collapsed="false">
      <c r="A2621" s="15" t="n">
        <v>20782</v>
      </c>
      <c r="B2621" s="16" t="s">
        <v>27</v>
      </c>
      <c r="C2621" s="16" t="s">
        <v>5015</v>
      </c>
      <c r="D2621" s="16" t="s">
        <v>5063</v>
      </c>
      <c r="E2621" s="17" t="s">
        <v>942</v>
      </c>
      <c r="F2621" s="16" t="n">
        <v>36.3861</v>
      </c>
      <c r="G2621" s="16" t="n">
        <v>43.1939</v>
      </c>
      <c r="H2621" s="18" t="n">
        <v>111</v>
      </c>
      <c r="I2621" s="18" t="n">
        <v>666</v>
      </c>
      <c r="J2621" s="19" t="n">
        <v>5</v>
      </c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 t="n">
        <v>106</v>
      </c>
      <c r="W2621" s="19"/>
      <c r="X2621" s="19"/>
      <c r="Y2621" s="19"/>
      <c r="Z2621" s="19"/>
      <c r="AA2621" s="19"/>
      <c r="AB2621" s="19"/>
      <c r="AC2621" s="19" t="n">
        <v>31</v>
      </c>
      <c r="AD2621" s="19"/>
      <c r="AE2621" s="19"/>
      <c r="AF2621" s="19"/>
      <c r="AG2621" s="19"/>
      <c r="AH2621" s="19" t="n">
        <v>80</v>
      </c>
      <c r="AI2621" s="19"/>
      <c r="AJ2621" s="19"/>
      <c r="AK2621" s="19"/>
      <c r="AL2621" s="19" t="n">
        <v>5</v>
      </c>
      <c r="AM2621" s="19"/>
      <c r="AN2621" s="19"/>
      <c r="AO2621" s="19"/>
      <c r="AP2621" s="19" t="n">
        <v>70</v>
      </c>
      <c r="AQ2621" s="19" t="n">
        <v>36</v>
      </c>
      <c r="AR2621" s="19"/>
      <c r="AS2621" s="20" t="str">
        <f aca="false">HYPERLINK("http://www.openstreetmap.org/?mlat=36.3861&amp;mlon=43.1939&amp;zoom=12#map=12/36.3861/43.1939","Maplink1")</f>
        <v>Maplink1</v>
      </c>
      <c r="AT2621" s="20" t="str">
        <f aca="false">HYPERLINK("https://www.google.iq/maps/search/+36.3861,43.1939/@36.3861,43.1939,14z?hl=en","Maplink2")</f>
        <v>Maplink2</v>
      </c>
      <c r="AU2621" s="20" t="str">
        <f aca="false">HYPERLINK("http://www.bing.com/maps/?lvl=14&amp;sty=h&amp;cp=36.3861~43.1939&amp;sp=point.36.3861_43.1939","Maplink3")</f>
        <v>Maplink3</v>
      </c>
    </row>
    <row r="2622" customFormat="false" ht="15" hidden="false" customHeight="true" outlineLevel="0" collapsed="false">
      <c r="A2622" s="15" t="n">
        <v>18244</v>
      </c>
      <c r="B2622" s="16" t="s">
        <v>27</v>
      </c>
      <c r="C2622" s="16" t="s">
        <v>5015</v>
      </c>
      <c r="D2622" s="16" t="s">
        <v>5064</v>
      </c>
      <c r="E2622" s="17" t="s">
        <v>5065</v>
      </c>
      <c r="F2622" s="16" t="n">
        <v>36.3338</v>
      </c>
      <c r="G2622" s="16" t="n">
        <v>43.1345</v>
      </c>
      <c r="H2622" s="18" t="n">
        <v>17</v>
      </c>
      <c r="I2622" s="18" t="n">
        <v>102</v>
      </c>
      <c r="J2622" s="19" t="n">
        <v>2</v>
      </c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 t="n">
        <v>15</v>
      </c>
      <c r="W2622" s="19"/>
      <c r="X2622" s="19"/>
      <c r="Y2622" s="19"/>
      <c r="Z2622" s="19"/>
      <c r="AA2622" s="19"/>
      <c r="AB2622" s="19"/>
      <c r="AC2622" s="19" t="n">
        <v>15</v>
      </c>
      <c r="AD2622" s="19"/>
      <c r="AE2622" s="19"/>
      <c r="AF2622" s="19"/>
      <c r="AG2622" s="19"/>
      <c r="AH2622" s="19" t="n">
        <v>2</v>
      </c>
      <c r="AI2622" s="19"/>
      <c r="AJ2622" s="19"/>
      <c r="AK2622" s="19"/>
      <c r="AL2622" s="19" t="n">
        <v>2</v>
      </c>
      <c r="AM2622" s="19"/>
      <c r="AN2622" s="19"/>
      <c r="AO2622" s="19"/>
      <c r="AP2622" s="19" t="n">
        <v>15</v>
      </c>
      <c r="AQ2622" s="19"/>
      <c r="AR2622" s="19"/>
      <c r="AS2622" s="20" t="str">
        <f aca="false">HYPERLINK("http://www.openstreetmap.org/?mlat=36.3338&amp;mlon=43.1345&amp;zoom=12#map=12/36.3338/43.1345","Maplink1")</f>
        <v>Maplink1</v>
      </c>
      <c r="AT2622" s="20" t="str">
        <f aca="false">HYPERLINK("https://www.google.iq/maps/search/+36.3338,43.1345/@36.3338,43.1345,14z?hl=en","Maplink2")</f>
        <v>Maplink2</v>
      </c>
      <c r="AU2622" s="20" t="str">
        <f aca="false">HYPERLINK("http://www.bing.com/maps/?lvl=14&amp;sty=h&amp;cp=36.3338~43.1345&amp;sp=point.36.3338_43.1345","Maplink3")</f>
        <v>Maplink3</v>
      </c>
    </row>
    <row r="2623" customFormat="false" ht="15" hidden="false" customHeight="true" outlineLevel="0" collapsed="false">
      <c r="A2623" s="15" t="n">
        <v>18336</v>
      </c>
      <c r="B2623" s="16" t="s">
        <v>27</v>
      </c>
      <c r="C2623" s="16" t="s">
        <v>5015</v>
      </c>
      <c r="D2623" s="16" t="s">
        <v>5066</v>
      </c>
      <c r="E2623" s="17" t="s">
        <v>4763</v>
      </c>
      <c r="F2623" s="16" t="n">
        <v>36.363207</v>
      </c>
      <c r="G2623" s="16" t="n">
        <v>43.18564</v>
      </c>
      <c r="H2623" s="18" t="n">
        <v>77</v>
      </c>
      <c r="I2623" s="18" t="n">
        <v>462</v>
      </c>
      <c r="J2623" s="19" t="n">
        <v>19</v>
      </c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 t="n">
        <v>48</v>
      </c>
      <c r="W2623" s="19"/>
      <c r="X2623" s="19" t="n">
        <v>10</v>
      </c>
      <c r="Y2623" s="19"/>
      <c r="Z2623" s="19"/>
      <c r="AA2623" s="19"/>
      <c r="AB2623" s="19"/>
      <c r="AC2623" s="19" t="n">
        <v>48</v>
      </c>
      <c r="AD2623" s="19"/>
      <c r="AE2623" s="19"/>
      <c r="AF2623" s="19"/>
      <c r="AG2623" s="19"/>
      <c r="AH2623" s="19" t="n">
        <v>10</v>
      </c>
      <c r="AI2623" s="19"/>
      <c r="AJ2623" s="19" t="n">
        <v>9</v>
      </c>
      <c r="AK2623" s="19" t="n">
        <v>10</v>
      </c>
      <c r="AL2623" s="19" t="n">
        <v>10</v>
      </c>
      <c r="AM2623" s="19"/>
      <c r="AN2623" s="19" t="n">
        <v>10</v>
      </c>
      <c r="AO2623" s="19" t="n">
        <v>40</v>
      </c>
      <c r="AP2623" s="19" t="n">
        <v>17</v>
      </c>
      <c r="AQ2623" s="19"/>
      <c r="AR2623" s="19"/>
      <c r="AS2623" s="20" t="str">
        <f aca="false">HYPERLINK("http://www.openstreetmap.org/?mlat=36.3632&amp;mlon=43.1856&amp;zoom=12#map=12/36.3632/43.1856","Maplink1")</f>
        <v>Maplink1</v>
      </c>
      <c r="AT2623" s="20" t="str">
        <f aca="false">HYPERLINK("https://www.google.iq/maps/search/+36.3632,43.1856/@36.3632,43.1856,14z?hl=en","Maplink2")</f>
        <v>Maplink2</v>
      </c>
      <c r="AU2623" s="20" t="str">
        <f aca="false">HYPERLINK("http://www.bing.com/maps/?lvl=14&amp;sty=h&amp;cp=36.3632~43.1856&amp;sp=point.36.3632_43.1856","Maplink3")</f>
        <v>Maplink3</v>
      </c>
    </row>
    <row r="2624" customFormat="false" ht="15" hidden="false" customHeight="true" outlineLevel="0" collapsed="false">
      <c r="A2624" s="15" t="n">
        <v>18348</v>
      </c>
      <c r="B2624" s="16" t="s">
        <v>27</v>
      </c>
      <c r="C2624" s="16" t="s">
        <v>5015</v>
      </c>
      <c r="D2624" s="16" t="s">
        <v>5067</v>
      </c>
      <c r="E2624" s="17" t="s">
        <v>5068</v>
      </c>
      <c r="F2624" s="16" t="n">
        <v>36.352753</v>
      </c>
      <c r="G2624" s="16" t="n">
        <v>43.159832</v>
      </c>
      <c r="H2624" s="18" t="n">
        <v>12</v>
      </c>
      <c r="I2624" s="18" t="n">
        <v>72</v>
      </c>
      <c r="J2624" s="19" t="n">
        <v>2</v>
      </c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 t="n">
        <v>10</v>
      </c>
      <c r="W2624" s="19"/>
      <c r="X2624" s="19"/>
      <c r="Y2624" s="19"/>
      <c r="Z2624" s="19"/>
      <c r="AA2624" s="19"/>
      <c r="AB2624" s="19"/>
      <c r="AC2624" s="19" t="n">
        <v>10</v>
      </c>
      <c r="AD2624" s="19"/>
      <c r="AE2624" s="19"/>
      <c r="AF2624" s="19"/>
      <c r="AG2624" s="19"/>
      <c r="AH2624" s="19" t="n">
        <v>2</v>
      </c>
      <c r="AI2624" s="19"/>
      <c r="AJ2624" s="19"/>
      <c r="AK2624" s="19"/>
      <c r="AL2624" s="19" t="n">
        <v>2</v>
      </c>
      <c r="AM2624" s="19"/>
      <c r="AN2624" s="19"/>
      <c r="AO2624" s="19"/>
      <c r="AP2624" s="19" t="n">
        <v>10</v>
      </c>
      <c r="AQ2624" s="19"/>
      <c r="AR2624" s="19"/>
      <c r="AS2624" s="20" t="str">
        <f aca="false">HYPERLINK("http://www.openstreetmap.org/?mlat=36.3528&amp;mlon=43.1598&amp;zoom=12#map=12/36.3528/43.1598","Maplink1")</f>
        <v>Maplink1</v>
      </c>
      <c r="AT2624" s="20" t="str">
        <f aca="false">HYPERLINK("https://www.google.iq/maps/search/+36.3528,43.1598/@36.3528,43.1598,14z?hl=en","Maplink2")</f>
        <v>Maplink2</v>
      </c>
      <c r="AU2624" s="20" t="str">
        <f aca="false">HYPERLINK("http://www.bing.com/maps/?lvl=14&amp;sty=h&amp;cp=36.3528~43.1598&amp;sp=point.36.3528_43.1598","Maplink3")</f>
        <v>Maplink3</v>
      </c>
    </row>
    <row r="2625" customFormat="false" ht="15" hidden="false" customHeight="true" outlineLevel="0" collapsed="false">
      <c r="A2625" s="15" t="n">
        <v>18366</v>
      </c>
      <c r="B2625" s="16" t="s">
        <v>27</v>
      </c>
      <c r="C2625" s="16" t="s">
        <v>5015</v>
      </c>
      <c r="D2625" s="16" t="s">
        <v>5069</v>
      </c>
      <c r="E2625" s="17" t="s">
        <v>5070</v>
      </c>
      <c r="F2625" s="16" t="n">
        <v>36.3963</v>
      </c>
      <c r="G2625" s="16" t="n">
        <v>43.1926</v>
      </c>
      <c r="H2625" s="18" t="n">
        <v>292</v>
      </c>
      <c r="I2625" s="18" t="n">
        <v>1752</v>
      </c>
      <c r="J2625" s="19" t="n">
        <v>15</v>
      </c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 t="n">
        <v>259</v>
      </c>
      <c r="W2625" s="19"/>
      <c r="X2625" s="19" t="n">
        <v>18</v>
      </c>
      <c r="Y2625" s="19"/>
      <c r="Z2625" s="19"/>
      <c r="AA2625" s="19"/>
      <c r="AB2625" s="19"/>
      <c r="AC2625" s="19" t="n">
        <v>90</v>
      </c>
      <c r="AD2625" s="19"/>
      <c r="AE2625" s="19" t="n">
        <v>8</v>
      </c>
      <c r="AF2625" s="19"/>
      <c r="AG2625" s="19" t="n">
        <v>30</v>
      </c>
      <c r="AH2625" s="19" t="n">
        <v>29</v>
      </c>
      <c r="AI2625" s="19" t="n">
        <v>63</v>
      </c>
      <c r="AJ2625" s="19" t="n">
        <v>54</v>
      </c>
      <c r="AK2625" s="19" t="n">
        <v>18</v>
      </c>
      <c r="AL2625" s="19" t="n">
        <v>15</v>
      </c>
      <c r="AM2625" s="19"/>
      <c r="AN2625" s="19" t="n">
        <v>192</v>
      </c>
      <c r="AO2625" s="19"/>
      <c r="AP2625" s="19" t="n">
        <v>54</v>
      </c>
      <c r="AQ2625" s="19" t="n">
        <v>31</v>
      </c>
      <c r="AR2625" s="19"/>
      <c r="AS2625" s="20" t="str">
        <f aca="false">HYPERLINK("http://www.openstreetmap.org/?mlat=36.3963&amp;mlon=43.1926&amp;zoom=12#map=12/36.3963/43.1926","Maplink1")</f>
        <v>Maplink1</v>
      </c>
      <c r="AT2625" s="20" t="str">
        <f aca="false">HYPERLINK("https://www.google.iq/maps/search/+36.3963,43.1926/@36.3963,43.1926,14z?hl=en","Maplink2")</f>
        <v>Maplink2</v>
      </c>
      <c r="AU2625" s="20" t="str">
        <f aca="false">HYPERLINK("http://www.bing.com/maps/?lvl=14&amp;sty=h&amp;cp=36.3963~43.1926&amp;sp=point.36.3963_43.1926","Maplink3")</f>
        <v>Maplink3</v>
      </c>
    </row>
    <row r="2626" customFormat="false" ht="15" hidden="false" customHeight="true" outlineLevel="0" collapsed="false">
      <c r="A2626" s="15" t="n">
        <v>17127</v>
      </c>
      <c r="B2626" s="16" t="s">
        <v>27</v>
      </c>
      <c r="C2626" s="16" t="s">
        <v>5015</v>
      </c>
      <c r="D2626" s="16" t="s">
        <v>5071</v>
      </c>
      <c r="E2626" s="17" t="s">
        <v>5072</v>
      </c>
      <c r="F2626" s="16" t="n">
        <v>35.7976</v>
      </c>
      <c r="G2626" s="16" t="n">
        <v>43.2932</v>
      </c>
      <c r="H2626" s="18" t="n">
        <v>763</v>
      </c>
      <c r="I2626" s="18" t="n">
        <v>4578</v>
      </c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 t="n">
        <v>763</v>
      </c>
      <c r="W2626" s="19"/>
      <c r="X2626" s="19"/>
      <c r="Y2626" s="19"/>
      <c r="Z2626" s="19"/>
      <c r="AA2626" s="19"/>
      <c r="AB2626" s="19"/>
      <c r="AC2626" s="19" t="n">
        <v>763</v>
      </c>
      <c r="AD2626" s="19"/>
      <c r="AE2626" s="19"/>
      <c r="AF2626" s="19"/>
      <c r="AG2626" s="19"/>
      <c r="AH2626" s="19"/>
      <c r="AI2626" s="19"/>
      <c r="AJ2626" s="19"/>
      <c r="AK2626" s="19"/>
      <c r="AL2626" s="19"/>
      <c r="AM2626" s="19"/>
      <c r="AN2626" s="19"/>
      <c r="AO2626" s="19"/>
      <c r="AP2626" s="19"/>
      <c r="AQ2626" s="19" t="n">
        <v>50</v>
      </c>
      <c r="AR2626" s="19" t="n">
        <v>713</v>
      </c>
      <c r="AS2626" s="20" t="str">
        <f aca="false">HYPERLINK("http://www.openstreetmap.org/?mlat=35.7976&amp;mlon=43.2932&amp;zoom=12#map=12/35.7976/43.2932","Maplink1")</f>
        <v>Maplink1</v>
      </c>
      <c r="AT2626" s="20" t="str">
        <f aca="false">HYPERLINK("https://www.google.iq/maps/search/+35.7976,43.2932/@35.7976,43.2932,14z?hl=en","Maplink2")</f>
        <v>Maplink2</v>
      </c>
      <c r="AU2626" s="20" t="str">
        <f aca="false">HYPERLINK("http://www.bing.com/maps/?lvl=14&amp;sty=h&amp;cp=35.7976~43.2932&amp;sp=point.35.7976_43.2932","Maplink3")</f>
        <v>Maplink3</v>
      </c>
    </row>
    <row r="2627" customFormat="false" ht="15" hidden="false" customHeight="true" outlineLevel="0" collapsed="false">
      <c r="A2627" s="15" t="n">
        <v>23875</v>
      </c>
      <c r="B2627" s="16" t="s">
        <v>27</v>
      </c>
      <c r="C2627" s="16" t="s">
        <v>5015</v>
      </c>
      <c r="D2627" s="16" t="s">
        <v>5073</v>
      </c>
      <c r="E2627" s="17" t="s">
        <v>5074</v>
      </c>
      <c r="F2627" s="16" t="n">
        <v>36.348582</v>
      </c>
      <c r="G2627" s="16" t="n">
        <v>43.226873</v>
      </c>
      <c r="H2627" s="18" t="n">
        <v>60</v>
      </c>
      <c r="I2627" s="18" t="n">
        <v>360</v>
      </c>
      <c r="J2627" s="19"/>
      <c r="K2627" s="19"/>
      <c r="L2627" s="19"/>
      <c r="M2627" s="19"/>
      <c r="N2627" s="19"/>
      <c r="O2627" s="19"/>
      <c r="P2627" s="19"/>
      <c r="Q2627" s="19"/>
      <c r="R2627" s="19" t="n">
        <v>3</v>
      </c>
      <c r="S2627" s="19"/>
      <c r="T2627" s="19"/>
      <c r="U2627" s="19"/>
      <c r="V2627" s="19" t="n">
        <v>54</v>
      </c>
      <c r="W2627" s="19"/>
      <c r="X2627" s="19" t="n">
        <v>3</v>
      </c>
      <c r="Y2627" s="19"/>
      <c r="Z2627" s="19"/>
      <c r="AA2627" s="19"/>
      <c r="AB2627" s="19"/>
      <c r="AC2627" s="19" t="n">
        <v>26</v>
      </c>
      <c r="AD2627" s="19"/>
      <c r="AE2627" s="19"/>
      <c r="AF2627" s="19"/>
      <c r="AG2627" s="19"/>
      <c r="AH2627" s="19" t="n">
        <v>15</v>
      </c>
      <c r="AI2627" s="19" t="n">
        <v>5</v>
      </c>
      <c r="AJ2627" s="19" t="n">
        <v>14</v>
      </c>
      <c r="AK2627" s="19"/>
      <c r="AL2627" s="19"/>
      <c r="AM2627" s="19"/>
      <c r="AN2627" s="19"/>
      <c r="AO2627" s="19" t="n">
        <v>23</v>
      </c>
      <c r="AP2627" s="19" t="n">
        <v>23</v>
      </c>
      <c r="AQ2627" s="19" t="n">
        <v>14</v>
      </c>
      <c r="AR2627" s="19"/>
      <c r="AS2627" s="20" t="str">
        <f aca="false">HYPERLINK("http://www.openstreetmap.org/?mlat=36.3486&amp;mlon=43.2269&amp;zoom=12#map=12/36.3486/43.2269","Maplink1")</f>
        <v>Maplink1</v>
      </c>
      <c r="AT2627" s="20" t="str">
        <f aca="false">HYPERLINK("https://www.google.iq/maps/search/+36.3486,43.2269/@36.3486,43.2269,14z?hl=en","Maplink2")</f>
        <v>Maplink2</v>
      </c>
      <c r="AU2627" s="20" t="str">
        <f aca="false">HYPERLINK("http://www.bing.com/maps/?lvl=14&amp;sty=h&amp;cp=36.3486~43.2269&amp;sp=point.36.3486_43.2269","Maplink3")</f>
        <v>Maplink3</v>
      </c>
    </row>
    <row r="2628" customFormat="false" ht="15" hidden="false" customHeight="true" outlineLevel="0" collapsed="false">
      <c r="A2628" s="15" t="n">
        <v>18338</v>
      </c>
      <c r="B2628" s="16" t="s">
        <v>27</v>
      </c>
      <c r="C2628" s="16" t="s">
        <v>5015</v>
      </c>
      <c r="D2628" s="16" t="s">
        <v>5075</v>
      </c>
      <c r="E2628" s="17" t="s">
        <v>5076</v>
      </c>
      <c r="F2628" s="16" t="n">
        <v>36.348582</v>
      </c>
      <c r="G2628" s="16" t="n">
        <v>43.226873</v>
      </c>
      <c r="H2628" s="18" t="n">
        <v>39</v>
      </c>
      <c r="I2628" s="18" t="n">
        <v>234</v>
      </c>
      <c r="J2628" s="19" t="n">
        <v>21</v>
      </c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 t="n">
        <v>18</v>
      </c>
      <c r="W2628" s="19"/>
      <c r="X2628" s="19"/>
      <c r="Y2628" s="19"/>
      <c r="Z2628" s="19"/>
      <c r="AA2628" s="19"/>
      <c r="AB2628" s="19"/>
      <c r="AC2628" s="19" t="n">
        <v>4</v>
      </c>
      <c r="AD2628" s="19"/>
      <c r="AE2628" s="19"/>
      <c r="AF2628" s="19"/>
      <c r="AG2628" s="19"/>
      <c r="AH2628" s="19" t="n">
        <v>17</v>
      </c>
      <c r="AI2628" s="19"/>
      <c r="AJ2628" s="19" t="n">
        <v>18</v>
      </c>
      <c r="AK2628" s="19"/>
      <c r="AL2628" s="19" t="n">
        <v>21</v>
      </c>
      <c r="AM2628" s="19"/>
      <c r="AN2628" s="19"/>
      <c r="AO2628" s="19" t="n">
        <v>18</v>
      </c>
      <c r="AP2628" s="19"/>
      <c r="AQ2628" s="19"/>
      <c r="AR2628" s="19"/>
      <c r="AS2628" s="20" t="str">
        <f aca="false">HYPERLINK("http://www.openstreetmap.org/?mlat=36.3486&amp;mlon=43.2269&amp;zoom=12#map=12/36.3486/43.2269","Maplink1")</f>
        <v>Maplink1</v>
      </c>
      <c r="AT2628" s="20" t="str">
        <f aca="false">HYPERLINK("https://www.google.iq/maps/search/+36.3486,43.2269/@36.3486,43.2269,14z?hl=en","Maplink2")</f>
        <v>Maplink2</v>
      </c>
      <c r="AU2628" s="20" t="str">
        <f aca="false">HYPERLINK("http://www.bing.com/maps/?lvl=14&amp;sty=h&amp;cp=36.3486~43.2269&amp;sp=point.36.3486_43.2269","Maplink3")</f>
        <v>Maplink3</v>
      </c>
    </row>
    <row r="2629" customFormat="false" ht="15" hidden="false" customHeight="true" outlineLevel="0" collapsed="false">
      <c r="A2629" s="15" t="n">
        <v>18344</v>
      </c>
      <c r="B2629" s="16" t="s">
        <v>27</v>
      </c>
      <c r="C2629" s="16" t="s">
        <v>5015</v>
      </c>
      <c r="D2629" s="16" t="s">
        <v>5077</v>
      </c>
      <c r="E2629" s="17" t="s">
        <v>1051</v>
      </c>
      <c r="F2629" s="16" t="n">
        <v>36.324488</v>
      </c>
      <c r="G2629" s="16" t="n">
        <v>43.088512</v>
      </c>
      <c r="H2629" s="18" t="n">
        <v>67</v>
      </c>
      <c r="I2629" s="18" t="n">
        <v>402</v>
      </c>
      <c r="J2629" s="19" t="n">
        <v>15</v>
      </c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 t="n">
        <v>37</v>
      </c>
      <c r="W2629" s="19"/>
      <c r="X2629" s="19" t="n">
        <v>15</v>
      </c>
      <c r="Y2629" s="19"/>
      <c r="Z2629" s="19"/>
      <c r="AA2629" s="19"/>
      <c r="AB2629" s="19"/>
      <c r="AC2629" s="19" t="n">
        <v>42</v>
      </c>
      <c r="AD2629" s="19"/>
      <c r="AE2629" s="19"/>
      <c r="AF2629" s="19"/>
      <c r="AG2629" s="19"/>
      <c r="AH2629" s="19" t="n">
        <v>5</v>
      </c>
      <c r="AI2629" s="19" t="n">
        <v>1</v>
      </c>
      <c r="AJ2629" s="19" t="n">
        <v>4</v>
      </c>
      <c r="AK2629" s="19" t="n">
        <v>15</v>
      </c>
      <c r="AL2629" s="19" t="n">
        <v>15</v>
      </c>
      <c r="AM2629" s="19"/>
      <c r="AN2629" s="19"/>
      <c r="AO2629" s="19"/>
      <c r="AP2629" s="19" t="n">
        <v>52</v>
      </c>
      <c r="AQ2629" s="19"/>
      <c r="AR2629" s="19"/>
      <c r="AS2629" s="20" t="str">
        <f aca="false">HYPERLINK("http://www.openstreetmap.org/?mlat=36.3245&amp;mlon=43.0885&amp;zoom=12#map=12/36.3245/43.0885","Maplink1")</f>
        <v>Maplink1</v>
      </c>
      <c r="AT2629" s="20" t="str">
        <f aca="false">HYPERLINK("https://www.google.iq/maps/search/+36.3245,43.0885/@36.3245,43.0885,14z?hl=en","Maplink2")</f>
        <v>Maplink2</v>
      </c>
      <c r="AU2629" s="20" t="str">
        <f aca="false">HYPERLINK("http://www.bing.com/maps/?lvl=14&amp;sty=h&amp;cp=36.3245~43.0885&amp;sp=point.36.3245_43.0885","Maplink3")</f>
        <v>Maplink3</v>
      </c>
    </row>
    <row r="2630" customFormat="false" ht="15" hidden="false" customHeight="true" outlineLevel="0" collapsed="false">
      <c r="A2630" s="15" t="n">
        <v>18322</v>
      </c>
      <c r="B2630" s="16" t="s">
        <v>27</v>
      </c>
      <c r="C2630" s="16" t="s">
        <v>5015</v>
      </c>
      <c r="D2630" s="16" t="s">
        <v>5078</v>
      </c>
      <c r="E2630" s="17" t="s">
        <v>354</v>
      </c>
      <c r="F2630" s="16" t="n">
        <v>36.295928</v>
      </c>
      <c r="G2630" s="16" t="n">
        <v>43.201387</v>
      </c>
      <c r="H2630" s="18" t="n">
        <v>79</v>
      </c>
      <c r="I2630" s="18" t="n">
        <v>474</v>
      </c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 t="n">
        <v>72</v>
      </c>
      <c r="W2630" s="19"/>
      <c r="X2630" s="19" t="n">
        <v>7</v>
      </c>
      <c r="Y2630" s="19"/>
      <c r="Z2630" s="19"/>
      <c r="AA2630" s="19"/>
      <c r="AB2630" s="19"/>
      <c r="AC2630" s="19"/>
      <c r="AD2630" s="19"/>
      <c r="AE2630" s="19"/>
      <c r="AF2630" s="19"/>
      <c r="AG2630" s="19"/>
      <c r="AH2630" s="19" t="n">
        <v>27</v>
      </c>
      <c r="AI2630" s="19"/>
      <c r="AJ2630" s="19" t="n">
        <v>45</v>
      </c>
      <c r="AK2630" s="19" t="n">
        <v>7</v>
      </c>
      <c r="AL2630" s="19"/>
      <c r="AM2630" s="19"/>
      <c r="AN2630" s="19" t="n">
        <v>35</v>
      </c>
      <c r="AO2630" s="19"/>
      <c r="AP2630" s="19" t="n">
        <v>27</v>
      </c>
      <c r="AQ2630" s="19" t="n">
        <v>17</v>
      </c>
      <c r="AR2630" s="19"/>
      <c r="AS2630" s="20" t="str">
        <f aca="false">HYPERLINK("http://www.openstreetmap.org/?mlat=36.2959&amp;mlon=43.2014&amp;zoom=12#map=12/36.2959/43.2014","Maplink1")</f>
        <v>Maplink1</v>
      </c>
      <c r="AT2630" s="20" t="str">
        <f aca="false">HYPERLINK("https://www.google.iq/maps/search/+36.2959,43.2014/@36.2959,43.2014,14z?hl=en","Maplink2")</f>
        <v>Maplink2</v>
      </c>
      <c r="AU2630" s="20" t="str">
        <f aca="false">HYPERLINK("http://www.bing.com/maps/?lvl=14&amp;sty=h&amp;cp=36.2959~43.2014&amp;sp=point.36.2959_43.2014","Maplink3")</f>
        <v>Maplink3</v>
      </c>
    </row>
    <row r="2631" customFormat="false" ht="15" hidden="false" customHeight="true" outlineLevel="0" collapsed="false">
      <c r="A2631" s="15" t="n">
        <v>18372</v>
      </c>
      <c r="B2631" s="16" t="s">
        <v>27</v>
      </c>
      <c r="C2631" s="16" t="s">
        <v>5015</v>
      </c>
      <c r="D2631" s="16" t="s">
        <v>5079</v>
      </c>
      <c r="E2631" s="17" t="s">
        <v>728</v>
      </c>
      <c r="F2631" s="16" t="n">
        <v>36.3304</v>
      </c>
      <c r="G2631" s="16" t="n">
        <v>43.1967</v>
      </c>
      <c r="H2631" s="18" t="n">
        <v>57</v>
      </c>
      <c r="I2631" s="18" t="n">
        <v>342</v>
      </c>
      <c r="J2631" s="19" t="n">
        <v>20</v>
      </c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 t="n">
        <v>17</v>
      </c>
      <c r="W2631" s="19"/>
      <c r="X2631" s="19" t="n">
        <v>20</v>
      </c>
      <c r="Y2631" s="19"/>
      <c r="Z2631" s="19"/>
      <c r="AA2631" s="19"/>
      <c r="AB2631" s="19"/>
      <c r="AC2631" s="19" t="n">
        <v>37</v>
      </c>
      <c r="AD2631" s="19"/>
      <c r="AE2631" s="19"/>
      <c r="AF2631" s="19"/>
      <c r="AG2631" s="19"/>
      <c r="AH2631" s="19" t="n">
        <v>5</v>
      </c>
      <c r="AI2631" s="19"/>
      <c r="AJ2631" s="19" t="n">
        <v>15</v>
      </c>
      <c r="AK2631" s="19"/>
      <c r="AL2631" s="19"/>
      <c r="AM2631" s="19"/>
      <c r="AN2631" s="19"/>
      <c r="AO2631" s="19"/>
      <c r="AP2631" s="19" t="n">
        <v>57</v>
      </c>
      <c r="AQ2631" s="19"/>
      <c r="AR2631" s="19"/>
      <c r="AS2631" s="20" t="str">
        <f aca="false">HYPERLINK("http://www.openstreetmap.org/?mlat=36.3304&amp;mlon=43.1967&amp;zoom=12#map=12/36.3304/43.1967","Maplink1")</f>
        <v>Maplink1</v>
      </c>
      <c r="AT2631" s="20" t="str">
        <f aca="false">HYPERLINK("https://www.google.iq/maps/search/+36.3304,43.1967/@36.3304,43.1967,14z?hl=en","Maplink2")</f>
        <v>Maplink2</v>
      </c>
      <c r="AU2631" s="20" t="str">
        <f aca="false">HYPERLINK("http://www.bing.com/maps/?lvl=14&amp;sty=h&amp;cp=36.3304~43.1967&amp;sp=point.36.3304_43.1967","Maplink3")</f>
        <v>Maplink3</v>
      </c>
    </row>
    <row r="2632" customFormat="false" ht="15" hidden="false" customHeight="true" outlineLevel="0" collapsed="false">
      <c r="A2632" s="15" t="n">
        <v>18367</v>
      </c>
      <c r="B2632" s="16" t="s">
        <v>27</v>
      </c>
      <c r="C2632" s="16" t="s">
        <v>5015</v>
      </c>
      <c r="D2632" s="16" t="s">
        <v>5080</v>
      </c>
      <c r="E2632" s="17" t="s">
        <v>1879</v>
      </c>
      <c r="F2632" s="16" t="n">
        <v>36.3367</v>
      </c>
      <c r="G2632" s="16" t="n">
        <v>43.083634</v>
      </c>
      <c r="H2632" s="18" t="n">
        <v>599</v>
      </c>
      <c r="I2632" s="18" t="n">
        <v>3594</v>
      </c>
      <c r="J2632" s="19" t="n">
        <v>22</v>
      </c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 t="n">
        <v>487</v>
      </c>
      <c r="W2632" s="19"/>
      <c r="X2632" s="19" t="n">
        <v>90</v>
      </c>
      <c r="Y2632" s="19"/>
      <c r="Z2632" s="19"/>
      <c r="AA2632" s="19"/>
      <c r="AB2632" s="19"/>
      <c r="AC2632" s="19" t="n">
        <v>56</v>
      </c>
      <c r="AD2632" s="19"/>
      <c r="AE2632" s="19"/>
      <c r="AF2632" s="19"/>
      <c r="AG2632" s="19" t="n">
        <v>32</v>
      </c>
      <c r="AH2632" s="19" t="n">
        <v>72</v>
      </c>
      <c r="AI2632" s="19" t="n">
        <v>30</v>
      </c>
      <c r="AJ2632" s="19" t="n">
        <v>15</v>
      </c>
      <c r="AK2632" s="19" t="n">
        <v>394</v>
      </c>
      <c r="AL2632" s="19" t="n">
        <v>7</v>
      </c>
      <c r="AM2632" s="19"/>
      <c r="AN2632" s="19" t="n">
        <v>82</v>
      </c>
      <c r="AO2632" s="19" t="n">
        <v>78</v>
      </c>
      <c r="AP2632" s="19" t="n">
        <v>387</v>
      </c>
      <c r="AQ2632" s="19" t="n">
        <v>45</v>
      </c>
      <c r="AR2632" s="19"/>
      <c r="AS2632" s="20" t="str">
        <f aca="false">HYPERLINK("http://www.openstreetmap.org/?mlat=36.3367&amp;mlon=43.0836&amp;zoom=12#map=12/36.3367/43.0836","Maplink1")</f>
        <v>Maplink1</v>
      </c>
      <c r="AT2632" s="20" t="str">
        <f aca="false">HYPERLINK("https://www.google.iq/maps/search/+36.3367,43.0836/@36.3367,43.0836,14z?hl=en","Maplink2")</f>
        <v>Maplink2</v>
      </c>
      <c r="AU2632" s="20" t="str">
        <f aca="false">HYPERLINK("http://www.bing.com/maps/?lvl=14&amp;sty=h&amp;cp=36.3367~43.0836&amp;sp=point.36.3367_43.0836","Maplink3")</f>
        <v>Maplink3</v>
      </c>
    </row>
    <row r="2633" customFormat="false" ht="15" hidden="false" customHeight="true" outlineLevel="0" collapsed="false">
      <c r="A2633" s="15" t="n">
        <v>18327</v>
      </c>
      <c r="B2633" s="16" t="s">
        <v>27</v>
      </c>
      <c r="C2633" s="16" t="s">
        <v>5015</v>
      </c>
      <c r="D2633" s="16" t="s">
        <v>5081</v>
      </c>
      <c r="E2633" s="17" t="s">
        <v>3963</v>
      </c>
      <c r="F2633" s="16" t="n">
        <v>36.378133</v>
      </c>
      <c r="G2633" s="16" t="n">
        <v>43.184112</v>
      </c>
      <c r="H2633" s="18" t="n">
        <v>102</v>
      </c>
      <c r="I2633" s="18" t="n">
        <v>612</v>
      </c>
      <c r="J2633" s="19" t="n">
        <v>7</v>
      </c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 t="n">
        <v>83</v>
      </c>
      <c r="W2633" s="19"/>
      <c r="X2633" s="19" t="n">
        <v>12</v>
      </c>
      <c r="Y2633" s="19"/>
      <c r="Z2633" s="19"/>
      <c r="AA2633" s="19"/>
      <c r="AB2633" s="19"/>
      <c r="AC2633" s="19" t="n">
        <v>20</v>
      </c>
      <c r="AD2633" s="19"/>
      <c r="AE2633" s="19"/>
      <c r="AF2633" s="19"/>
      <c r="AG2633" s="19"/>
      <c r="AH2633" s="19" t="n">
        <v>48</v>
      </c>
      <c r="AI2633" s="19" t="n">
        <v>12</v>
      </c>
      <c r="AJ2633" s="19" t="n">
        <v>4</v>
      </c>
      <c r="AK2633" s="19" t="n">
        <v>18</v>
      </c>
      <c r="AL2633" s="19" t="n">
        <v>7</v>
      </c>
      <c r="AM2633" s="19"/>
      <c r="AN2633" s="19"/>
      <c r="AO2633" s="19" t="n">
        <v>7</v>
      </c>
      <c r="AP2633" s="19" t="n">
        <v>50</v>
      </c>
      <c r="AQ2633" s="19" t="n">
        <v>38</v>
      </c>
      <c r="AR2633" s="19"/>
      <c r="AS2633" s="20" t="str">
        <f aca="false">HYPERLINK("http://www.openstreetmap.org/?mlat=36.3781&amp;mlon=43.1841&amp;zoom=12#map=12/36.3781/43.1841","Maplink1")</f>
        <v>Maplink1</v>
      </c>
      <c r="AT2633" s="20" t="str">
        <f aca="false">HYPERLINK("https://www.google.iq/maps/search/+36.3781,43.1841/@36.3781,43.1841,14z?hl=en","Maplink2")</f>
        <v>Maplink2</v>
      </c>
      <c r="AU2633" s="20" t="str">
        <f aca="false">HYPERLINK("http://www.bing.com/maps/?lvl=14&amp;sty=h&amp;cp=36.3781~43.1841&amp;sp=point.36.3781_43.1841","Maplink3")</f>
        <v>Maplink3</v>
      </c>
    </row>
    <row r="2634" customFormat="false" ht="15" hidden="false" customHeight="true" outlineLevel="0" collapsed="false">
      <c r="A2634" s="15" t="n">
        <v>28435</v>
      </c>
      <c r="B2634" s="16" t="s">
        <v>27</v>
      </c>
      <c r="C2634" s="16" t="s">
        <v>5015</v>
      </c>
      <c r="D2634" s="16" t="s">
        <v>5082</v>
      </c>
      <c r="E2634" s="17" t="s">
        <v>5083</v>
      </c>
      <c r="F2634" s="16" t="n">
        <v>36.422923</v>
      </c>
      <c r="G2634" s="16" t="n">
        <v>42.768673</v>
      </c>
      <c r="H2634" s="18" t="n">
        <v>20</v>
      </c>
      <c r="I2634" s="18" t="n">
        <v>120</v>
      </c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 t="n">
        <v>20</v>
      </c>
      <c r="W2634" s="19"/>
      <c r="X2634" s="19"/>
      <c r="Y2634" s="19"/>
      <c r="Z2634" s="19"/>
      <c r="AA2634" s="19"/>
      <c r="AB2634" s="19"/>
      <c r="AC2634" s="19" t="n">
        <v>20</v>
      </c>
      <c r="AD2634" s="19"/>
      <c r="AE2634" s="19"/>
      <c r="AF2634" s="19"/>
      <c r="AG2634" s="19"/>
      <c r="AH2634" s="19"/>
      <c r="AI2634" s="19"/>
      <c r="AJ2634" s="19"/>
      <c r="AK2634" s="19"/>
      <c r="AL2634" s="19"/>
      <c r="AM2634" s="19"/>
      <c r="AN2634" s="19"/>
      <c r="AO2634" s="19"/>
      <c r="AP2634" s="19" t="n">
        <v>20</v>
      </c>
      <c r="AQ2634" s="19"/>
      <c r="AR2634" s="19"/>
      <c r="AS2634" s="20" t="str">
        <f aca="false">HYPERLINK("http://www.openstreetmap.org/?mlat=36.4229&amp;mlon=42.7687&amp;zoom=12#map=12/36.4229/42.7687","Maplink1")</f>
        <v>Maplink1</v>
      </c>
      <c r="AT2634" s="20" t="str">
        <f aca="false">HYPERLINK("https://www.google.iq/maps/search/+36.4229,42.7687/@36.4229,42.7687,14z?hl=en","Maplink2")</f>
        <v>Maplink2</v>
      </c>
      <c r="AU2634" s="20" t="str">
        <f aca="false">HYPERLINK("http://www.bing.com/maps/?lvl=14&amp;sty=h&amp;cp=36.4229~42.7687&amp;sp=point.36.4229_42.7687","Maplink3")</f>
        <v>Maplink3</v>
      </c>
    </row>
    <row r="2635" customFormat="false" ht="15" hidden="false" customHeight="true" outlineLevel="0" collapsed="false">
      <c r="A2635" s="15" t="n">
        <v>25741</v>
      </c>
      <c r="B2635" s="16" t="s">
        <v>27</v>
      </c>
      <c r="C2635" s="16" t="s">
        <v>5015</v>
      </c>
      <c r="D2635" s="16" t="s">
        <v>5084</v>
      </c>
      <c r="E2635" s="17" t="s">
        <v>5085</v>
      </c>
      <c r="F2635" s="16" t="n">
        <v>36.3104</v>
      </c>
      <c r="G2635" s="16" t="n">
        <v>42.9227</v>
      </c>
      <c r="H2635" s="18" t="n">
        <v>45</v>
      </c>
      <c r="I2635" s="18" t="n">
        <v>270</v>
      </c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 t="n">
        <v>45</v>
      </c>
      <c r="W2635" s="19"/>
      <c r="X2635" s="19"/>
      <c r="Y2635" s="19"/>
      <c r="Z2635" s="19"/>
      <c r="AA2635" s="19"/>
      <c r="AB2635" s="19"/>
      <c r="AC2635" s="19" t="n">
        <v>30</v>
      </c>
      <c r="AD2635" s="19"/>
      <c r="AE2635" s="19"/>
      <c r="AF2635" s="19"/>
      <c r="AG2635" s="19"/>
      <c r="AH2635" s="19"/>
      <c r="AI2635" s="19"/>
      <c r="AJ2635" s="19"/>
      <c r="AK2635" s="19" t="n">
        <v>15</v>
      </c>
      <c r="AL2635" s="19"/>
      <c r="AM2635" s="19"/>
      <c r="AN2635" s="19"/>
      <c r="AO2635" s="19" t="n">
        <v>30</v>
      </c>
      <c r="AP2635" s="19" t="n">
        <v>15</v>
      </c>
      <c r="AQ2635" s="19"/>
      <c r="AR2635" s="19"/>
      <c r="AS2635" s="20" t="str">
        <f aca="false">HYPERLINK("http://www.openstreetmap.org/?mlat=36.3104&amp;mlon=42.9227&amp;zoom=12#map=12/36.3104/42.9227","Maplink1")</f>
        <v>Maplink1</v>
      </c>
      <c r="AT2635" s="20" t="str">
        <f aca="false">HYPERLINK("https://www.google.iq/maps/search/+36.3104,42.9227/@36.3104,42.9227,14z?hl=en","Maplink2")</f>
        <v>Maplink2</v>
      </c>
      <c r="AU2635" s="20" t="str">
        <f aca="false">HYPERLINK("http://www.bing.com/maps/?lvl=14&amp;sty=h&amp;cp=36.3104~42.9227&amp;sp=point.36.3104_42.9227","Maplink3")</f>
        <v>Maplink3</v>
      </c>
    </row>
    <row r="2636" customFormat="false" ht="15" hidden="false" customHeight="true" outlineLevel="0" collapsed="false">
      <c r="A2636" s="15" t="n">
        <v>17428</v>
      </c>
      <c r="B2636" s="16" t="s">
        <v>27</v>
      </c>
      <c r="C2636" s="16" t="s">
        <v>5015</v>
      </c>
      <c r="D2636" s="16" t="s">
        <v>5086</v>
      </c>
      <c r="E2636" s="17" t="s">
        <v>5087</v>
      </c>
      <c r="F2636" s="16" t="n">
        <v>36.0252</v>
      </c>
      <c r="G2636" s="16" t="n">
        <v>42.9373</v>
      </c>
      <c r="H2636" s="18" t="n">
        <v>47</v>
      </c>
      <c r="I2636" s="18" t="n">
        <v>282</v>
      </c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 t="n">
        <v>15</v>
      </c>
      <c r="W2636" s="19"/>
      <c r="X2636" s="19" t="n">
        <v>32</v>
      </c>
      <c r="Y2636" s="19"/>
      <c r="Z2636" s="19"/>
      <c r="AA2636" s="19"/>
      <c r="AB2636" s="19"/>
      <c r="AC2636" s="19" t="n">
        <v>20</v>
      </c>
      <c r="AD2636" s="19"/>
      <c r="AE2636" s="19"/>
      <c r="AF2636" s="19"/>
      <c r="AG2636" s="19"/>
      <c r="AH2636" s="19"/>
      <c r="AI2636" s="19"/>
      <c r="AJ2636" s="19"/>
      <c r="AK2636" s="19" t="n">
        <v>27</v>
      </c>
      <c r="AL2636" s="19"/>
      <c r="AM2636" s="19"/>
      <c r="AN2636" s="19"/>
      <c r="AO2636" s="19"/>
      <c r="AP2636" s="19" t="n">
        <v>12</v>
      </c>
      <c r="AQ2636" s="19" t="n">
        <v>35</v>
      </c>
      <c r="AR2636" s="19"/>
      <c r="AS2636" s="20" t="str">
        <f aca="false">HYPERLINK("http://www.openstreetmap.org/?mlat=36.0252&amp;mlon=42.9373&amp;zoom=12#map=12/36.0252/42.9373","Maplink1")</f>
        <v>Maplink1</v>
      </c>
      <c r="AT2636" s="20" t="str">
        <f aca="false">HYPERLINK("https://www.google.iq/maps/search/+36.0252,42.9373/@36.0252,42.9373,14z?hl=en","Maplink2")</f>
        <v>Maplink2</v>
      </c>
      <c r="AU2636" s="20" t="str">
        <f aca="false">HYPERLINK("http://www.bing.com/maps/?lvl=14&amp;sty=h&amp;cp=36.0252~42.9373&amp;sp=point.36.0252_42.9373","Maplink3")</f>
        <v>Maplink3</v>
      </c>
    </row>
    <row r="2637" customFormat="false" ht="15" hidden="false" customHeight="true" outlineLevel="0" collapsed="false">
      <c r="A2637" s="15" t="n">
        <v>18384</v>
      </c>
      <c r="B2637" s="16" t="s">
        <v>27</v>
      </c>
      <c r="C2637" s="16" t="s">
        <v>5015</v>
      </c>
      <c r="D2637" s="16" t="s">
        <v>5088</v>
      </c>
      <c r="E2637" s="17" t="s">
        <v>85</v>
      </c>
      <c r="F2637" s="16" t="n">
        <v>36.31759</v>
      </c>
      <c r="G2637" s="16" t="n">
        <v>43.098782</v>
      </c>
      <c r="H2637" s="18" t="n">
        <v>161</v>
      </c>
      <c r="I2637" s="18" t="n">
        <v>966</v>
      </c>
      <c r="J2637" s="19" t="n">
        <v>12</v>
      </c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 t="n">
        <v>99</v>
      </c>
      <c r="W2637" s="19"/>
      <c r="X2637" s="19" t="n">
        <v>50</v>
      </c>
      <c r="Y2637" s="19"/>
      <c r="Z2637" s="19"/>
      <c r="AA2637" s="19"/>
      <c r="AB2637" s="19"/>
      <c r="AC2637" s="19" t="n">
        <v>100</v>
      </c>
      <c r="AD2637" s="19"/>
      <c r="AE2637" s="19"/>
      <c r="AF2637" s="19"/>
      <c r="AG2637" s="19"/>
      <c r="AH2637" s="19" t="n">
        <v>33</v>
      </c>
      <c r="AI2637" s="19"/>
      <c r="AJ2637" s="19" t="n">
        <v>28</v>
      </c>
      <c r="AK2637" s="19"/>
      <c r="AL2637" s="19"/>
      <c r="AM2637" s="19"/>
      <c r="AN2637" s="19"/>
      <c r="AO2637" s="19"/>
      <c r="AP2637" s="19" t="n">
        <v>60</v>
      </c>
      <c r="AQ2637" s="19" t="n">
        <v>101</v>
      </c>
      <c r="AR2637" s="19"/>
      <c r="AS2637" s="20" t="str">
        <f aca="false">HYPERLINK("http://www.openstreetmap.org/?mlat=36.3176&amp;mlon=43.0988&amp;zoom=12#map=12/36.3176/43.0988","Maplink1")</f>
        <v>Maplink1</v>
      </c>
      <c r="AT2637" s="20" t="str">
        <f aca="false">HYPERLINK("https://www.google.iq/maps/search/+36.3176,43.0988/@36.3176,43.0988,14z?hl=en","Maplink2")</f>
        <v>Maplink2</v>
      </c>
      <c r="AU2637" s="20" t="str">
        <f aca="false">HYPERLINK("http://www.bing.com/maps/?lvl=14&amp;sty=h&amp;cp=36.3176~43.0988&amp;sp=point.36.3176_43.0988","Maplink3")</f>
        <v>Maplink3</v>
      </c>
    </row>
    <row r="2638" customFormat="false" ht="15" hidden="false" customHeight="true" outlineLevel="0" collapsed="false">
      <c r="A2638" s="15" t="n">
        <v>28434</v>
      </c>
      <c r="B2638" s="16" t="s">
        <v>27</v>
      </c>
      <c r="C2638" s="16" t="s">
        <v>5015</v>
      </c>
      <c r="D2638" s="16" t="s">
        <v>5089</v>
      </c>
      <c r="E2638" s="17" t="s">
        <v>5090</v>
      </c>
      <c r="F2638" s="16" t="n">
        <v>36.4348</v>
      </c>
      <c r="G2638" s="16" t="n">
        <v>42.7992</v>
      </c>
      <c r="H2638" s="18" t="n">
        <v>30</v>
      </c>
      <c r="I2638" s="18" t="n">
        <v>180</v>
      </c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 t="n">
        <v>30</v>
      </c>
      <c r="W2638" s="19"/>
      <c r="X2638" s="19"/>
      <c r="Y2638" s="19"/>
      <c r="Z2638" s="19"/>
      <c r="AA2638" s="19"/>
      <c r="AB2638" s="19"/>
      <c r="AC2638" s="19" t="n">
        <v>30</v>
      </c>
      <c r="AD2638" s="19"/>
      <c r="AE2638" s="19"/>
      <c r="AF2638" s="19"/>
      <c r="AG2638" s="19"/>
      <c r="AH2638" s="19"/>
      <c r="AI2638" s="19"/>
      <c r="AJ2638" s="19"/>
      <c r="AK2638" s="19"/>
      <c r="AL2638" s="19"/>
      <c r="AM2638" s="19"/>
      <c r="AN2638" s="19"/>
      <c r="AO2638" s="19"/>
      <c r="AP2638" s="19" t="n">
        <v>30</v>
      </c>
      <c r="AQ2638" s="19"/>
      <c r="AR2638" s="19"/>
      <c r="AS2638" s="20" t="str">
        <f aca="false">HYPERLINK("http://www.openstreetmap.org/?mlat=36.4348&amp;mlon=42.7992&amp;zoom=12#map=12/36.4348/42.7992","Maplink1")</f>
        <v>Maplink1</v>
      </c>
      <c r="AT2638" s="20" t="str">
        <f aca="false">HYPERLINK("https://www.google.iq/maps/search/+36.4348,42.7992/@36.4348,42.7992,14z?hl=en","Maplink2")</f>
        <v>Maplink2</v>
      </c>
      <c r="AU2638" s="20" t="str">
        <f aca="false">HYPERLINK("http://www.bing.com/maps/?lvl=14&amp;sty=h&amp;cp=36.4348~42.7992&amp;sp=point.36.4348_42.7992","Maplink3")</f>
        <v>Maplink3</v>
      </c>
    </row>
    <row r="2639" customFormat="false" ht="15" hidden="false" customHeight="true" outlineLevel="0" collapsed="false">
      <c r="A2639" s="15" t="n">
        <v>17574</v>
      </c>
      <c r="B2639" s="16" t="s">
        <v>27</v>
      </c>
      <c r="C2639" s="16" t="s">
        <v>5015</v>
      </c>
      <c r="D2639" s="16" t="s">
        <v>5091</v>
      </c>
      <c r="E2639" s="17" t="s">
        <v>5092</v>
      </c>
      <c r="F2639" s="16" t="n">
        <v>36.5132</v>
      </c>
      <c r="G2639" s="16" t="n">
        <v>42.7368</v>
      </c>
      <c r="H2639" s="18" t="n">
        <v>143</v>
      </c>
      <c r="I2639" s="18" t="n">
        <v>858</v>
      </c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 t="n">
        <v>143</v>
      </c>
      <c r="W2639" s="19"/>
      <c r="X2639" s="19"/>
      <c r="Y2639" s="19"/>
      <c r="Z2639" s="19"/>
      <c r="AA2639" s="19"/>
      <c r="AB2639" s="19"/>
      <c r="AC2639" s="19" t="n">
        <v>143</v>
      </c>
      <c r="AD2639" s="19"/>
      <c r="AE2639" s="19"/>
      <c r="AF2639" s="19"/>
      <c r="AG2639" s="19"/>
      <c r="AH2639" s="19"/>
      <c r="AI2639" s="19"/>
      <c r="AJ2639" s="19"/>
      <c r="AK2639" s="19"/>
      <c r="AL2639" s="19"/>
      <c r="AM2639" s="19"/>
      <c r="AN2639" s="19"/>
      <c r="AO2639" s="19" t="n">
        <v>143</v>
      </c>
      <c r="AP2639" s="19"/>
      <c r="AQ2639" s="19"/>
      <c r="AR2639" s="19"/>
      <c r="AS2639" s="20" t="str">
        <f aca="false">HYPERLINK("http://www.openstreetmap.org/?mlat=36.5132&amp;mlon=42.7368&amp;zoom=12#map=12/36.5132/42.7368","Maplink1")</f>
        <v>Maplink1</v>
      </c>
      <c r="AT2639" s="20" t="str">
        <f aca="false">HYPERLINK("https://www.google.iq/maps/search/+36.5132,42.7368/@36.5132,42.7368,14z?hl=en","Maplink2")</f>
        <v>Maplink2</v>
      </c>
      <c r="AU2639" s="20" t="str">
        <f aca="false">HYPERLINK("http://www.bing.com/maps/?lvl=14&amp;sty=h&amp;cp=36.5132~42.7368&amp;sp=point.36.5132_42.7368","Maplink3")</f>
        <v>Maplink3</v>
      </c>
    </row>
    <row r="2640" customFormat="false" ht="15" hidden="false" customHeight="true" outlineLevel="0" collapsed="false">
      <c r="A2640" s="15" t="n">
        <v>18245</v>
      </c>
      <c r="B2640" s="16" t="s">
        <v>27</v>
      </c>
      <c r="C2640" s="16" t="s">
        <v>5015</v>
      </c>
      <c r="D2640" s="16" t="s">
        <v>5093</v>
      </c>
      <c r="E2640" s="17" t="s">
        <v>5094</v>
      </c>
      <c r="F2640" s="16" t="n">
        <v>36.332807</v>
      </c>
      <c r="G2640" s="16" t="n">
        <v>43.128518</v>
      </c>
      <c r="H2640" s="18" t="n">
        <v>46</v>
      </c>
      <c r="I2640" s="18" t="n">
        <v>276</v>
      </c>
      <c r="J2640" s="19" t="n">
        <v>6</v>
      </c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 t="n">
        <v>40</v>
      </c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9"/>
      <c r="AH2640" s="19" t="n">
        <v>46</v>
      </c>
      <c r="AI2640" s="19"/>
      <c r="AJ2640" s="19"/>
      <c r="AK2640" s="19"/>
      <c r="AL2640" s="19" t="n">
        <v>6</v>
      </c>
      <c r="AM2640" s="19"/>
      <c r="AN2640" s="19"/>
      <c r="AO2640" s="19" t="n">
        <v>40</v>
      </c>
      <c r="AP2640" s="19"/>
      <c r="AQ2640" s="19"/>
      <c r="AR2640" s="19"/>
      <c r="AS2640" s="20" t="str">
        <f aca="false">HYPERLINK("http://www.openstreetmap.org/?mlat=36.3328&amp;mlon=43.1285&amp;zoom=12#map=12/36.3328/43.1285","Maplink1")</f>
        <v>Maplink1</v>
      </c>
      <c r="AT2640" s="20" t="str">
        <f aca="false">HYPERLINK("https://www.google.iq/maps/search/+36.3328,43.1285/@36.3328,43.1285,14z?hl=en","Maplink2")</f>
        <v>Maplink2</v>
      </c>
      <c r="AU2640" s="20" t="str">
        <f aca="false">HYPERLINK("http://www.bing.com/maps/?lvl=14&amp;sty=h&amp;cp=36.3328~43.1285&amp;sp=point.36.3328_43.1285","Maplink3")</f>
        <v>Maplink3</v>
      </c>
    </row>
    <row r="2641" customFormat="false" ht="15" hidden="false" customHeight="true" outlineLevel="0" collapsed="false">
      <c r="A2641" s="15" t="n">
        <v>17751</v>
      </c>
      <c r="B2641" s="16" t="s">
        <v>27</v>
      </c>
      <c r="C2641" s="16" t="s">
        <v>5015</v>
      </c>
      <c r="D2641" s="16" t="s">
        <v>5095</v>
      </c>
      <c r="E2641" s="17" t="s">
        <v>5096</v>
      </c>
      <c r="F2641" s="16" t="n">
        <v>36.425</v>
      </c>
      <c r="G2641" s="16" t="n">
        <v>42.9632</v>
      </c>
      <c r="H2641" s="18" t="n">
        <v>123</v>
      </c>
      <c r="I2641" s="18" t="n">
        <v>738</v>
      </c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 t="n">
        <v>123</v>
      </c>
      <c r="W2641" s="19"/>
      <c r="X2641" s="19"/>
      <c r="Y2641" s="19"/>
      <c r="Z2641" s="19"/>
      <c r="AA2641" s="19"/>
      <c r="AB2641" s="19"/>
      <c r="AC2641" s="19" t="n">
        <v>33</v>
      </c>
      <c r="AD2641" s="19"/>
      <c r="AE2641" s="19"/>
      <c r="AF2641" s="19"/>
      <c r="AG2641" s="19"/>
      <c r="AH2641" s="19"/>
      <c r="AI2641" s="19"/>
      <c r="AJ2641" s="19"/>
      <c r="AK2641" s="19" t="n">
        <v>90</v>
      </c>
      <c r="AL2641" s="19"/>
      <c r="AM2641" s="19"/>
      <c r="AN2641" s="19"/>
      <c r="AO2641" s="19"/>
      <c r="AP2641" s="19" t="n">
        <v>90</v>
      </c>
      <c r="AQ2641" s="19" t="n">
        <v>33</v>
      </c>
      <c r="AR2641" s="19"/>
      <c r="AS2641" s="20" t="str">
        <f aca="false">HYPERLINK("http://www.openstreetmap.org/?mlat=36.425&amp;mlon=42.9632&amp;zoom=12#map=12/36.425/42.9632","Maplink1")</f>
        <v>Maplink1</v>
      </c>
      <c r="AT2641" s="20" t="str">
        <f aca="false">HYPERLINK("https://www.google.iq/maps/search/+36.425,42.9632/@36.425,42.9632,14z?hl=en","Maplink2")</f>
        <v>Maplink2</v>
      </c>
      <c r="AU2641" s="20" t="str">
        <f aca="false">HYPERLINK("http://www.bing.com/maps/?lvl=14&amp;sty=h&amp;cp=36.425~42.9632&amp;sp=point.36.425_42.9632","Maplink3")</f>
        <v>Maplink3</v>
      </c>
    </row>
    <row r="2642" customFormat="false" ht="15" hidden="false" customHeight="true" outlineLevel="0" collapsed="false">
      <c r="A2642" s="15" t="n">
        <v>22652</v>
      </c>
      <c r="B2642" s="16" t="s">
        <v>27</v>
      </c>
      <c r="C2642" s="16" t="s">
        <v>5015</v>
      </c>
      <c r="D2642" s="16" t="s">
        <v>5097</v>
      </c>
      <c r="E2642" s="17" t="s">
        <v>5098</v>
      </c>
      <c r="F2642" s="16" t="n">
        <v>36.461762</v>
      </c>
      <c r="G2642" s="16" t="n">
        <v>43.217937</v>
      </c>
      <c r="H2642" s="18" t="n">
        <v>250</v>
      </c>
      <c r="I2642" s="18" t="n">
        <v>1500</v>
      </c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 t="n">
        <v>250</v>
      </c>
      <c r="W2642" s="19"/>
      <c r="X2642" s="19"/>
      <c r="Y2642" s="19"/>
      <c r="Z2642" s="19"/>
      <c r="AA2642" s="19"/>
      <c r="AB2642" s="19"/>
      <c r="AC2642" s="19" t="n">
        <v>210</v>
      </c>
      <c r="AD2642" s="19"/>
      <c r="AE2642" s="19"/>
      <c r="AF2642" s="19"/>
      <c r="AG2642" s="19"/>
      <c r="AH2642" s="19"/>
      <c r="AI2642" s="19"/>
      <c r="AJ2642" s="19" t="n">
        <v>40</v>
      </c>
      <c r="AK2642" s="19"/>
      <c r="AL2642" s="19"/>
      <c r="AM2642" s="19"/>
      <c r="AN2642" s="19"/>
      <c r="AO2642" s="19"/>
      <c r="AP2642" s="19"/>
      <c r="AQ2642" s="19"/>
      <c r="AR2642" s="19" t="n">
        <v>250</v>
      </c>
      <c r="AS2642" s="20" t="str">
        <f aca="false">HYPERLINK("http://www.openstreetmap.org/?mlat=36.4618&amp;mlon=43.2179&amp;zoom=12#map=12/36.4618/43.2179","Maplink1")</f>
        <v>Maplink1</v>
      </c>
      <c r="AT2642" s="20" t="str">
        <f aca="false">HYPERLINK("https://www.google.iq/maps/search/+36.4618,43.2179/@36.4618,43.2179,14z?hl=en","Maplink2")</f>
        <v>Maplink2</v>
      </c>
      <c r="AU2642" s="20" t="str">
        <f aca="false">HYPERLINK("http://www.bing.com/maps/?lvl=14&amp;sty=h&amp;cp=36.4618~43.2179&amp;sp=point.36.4618_43.2179","Maplink3")</f>
        <v>Maplink3</v>
      </c>
    </row>
    <row r="2643" customFormat="false" ht="15" hidden="false" customHeight="true" outlineLevel="0" collapsed="false">
      <c r="A2643" s="15" t="n">
        <v>17382</v>
      </c>
      <c r="B2643" s="16" t="s">
        <v>27</v>
      </c>
      <c r="C2643" s="16" t="s">
        <v>5015</v>
      </c>
      <c r="D2643" s="16" t="s">
        <v>5099</v>
      </c>
      <c r="E2643" s="17" t="s">
        <v>5100</v>
      </c>
      <c r="F2643" s="16" t="n">
        <v>36.368735</v>
      </c>
      <c r="G2643" s="16" t="n">
        <v>43.294915</v>
      </c>
      <c r="H2643" s="18" t="n">
        <v>33</v>
      </c>
      <c r="I2643" s="18" t="n">
        <v>198</v>
      </c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 t="n">
        <v>33</v>
      </c>
      <c r="Y2643" s="19"/>
      <c r="Z2643" s="19"/>
      <c r="AA2643" s="19"/>
      <c r="AB2643" s="19"/>
      <c r="AC2643" s="19"/>
      <c r="AD2643" s="19"/>
      <c r="AE2643" s="19"/>
      <c r="AF2643" s="19"/>
      <c r="AG2643" s="19"/>
      <c r="AH2643" s="19"/>
      <c r="AI2643" s="19"/>
      <c r="AJ2643" s="19" t="n">
        <v>33</v>
      </c>
      <c r="AK2643" s="19"/>
      <c r="AL2643" s="19"/>
      <c r="AM2643" s="19"/>
      <c r="AN2643" s="19"/>
      <c r="AO2643" s="19"/>
      <c r="AP2643" s="19" t="n">
        <v>33</v>
      </c>
      <c r="AQ2643" s="19"/>
      <c r="AR2643" s="19"/>
      <c r="AS2643" s="20" t="str">
        <f aca="false">HYPERLINK("http://www.openstreetmap.org/?mlat=36.3687&amp;mlon=43.2949&amp;zoom=12#map=12/36.3687/43.2949","Maplink1")</f>
        <v>Maplink1</v>
      </c>
      <c r="AT2643" s="20" t="str">
        <f aca="false">HYPERLINK("https://www.google.iq/maps/search/+36.3687,43.2949/@36.3687,43.2949,14z?hl=en","Maplink2")</f>
        <v>Maplink2</v>
      </c>
      <c r="AU2643" s="20" t="str">
        <f aca="false">HYPERLINK("http://www.bing.com/maps/?lvl=14&amp;sty=h&amp;cp=36.3687~43.2949&amp;sp=point.36.3687_43.2949","Maplink3")</f>
        <v>Maplink3</v>
      </c>
    </row>
    <row r="2644" customFormat="false" ht="15" hidden="false" customHeight="true" outlineLevel="0" collapsed="false">
      <c r="A2644" s="15" t="n">
        <v>20796</v>
      </c>
      <c r="B2644" s="16" t="s">
        <v>27</v>
      </c>
      <c r="C2644" s="16" t="s">
        <v>5015</v>
      </c>
      <c r="D2644" s="16" t="s">
        <v>5101</v>
      </c>
      <c r="E2644" s="17" t="s">
        <v>5102</v>
      </c>
      <c r="F2644" s="16" t="n">
        <v>36.4064</v>
      </c>
      <c r="G2644" s="16" t="n">
        <v>43.1024</v>
      </c>
      <c r="H2644" s="18" t="n">
        <v>106</v>
      </c>
      <c r="I2644" s="18" t="n">
        <v>636</v>
      </c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 t="n">
        <v>106</v>
      </c>
      <c r="W2644" s="19"/>
      <c r="X2644" s="19"/>
      <c r="Y2644" s="19"/>
      <c r="Z2644" s="19"/>
      <c r="AA2644" s="19"/>
      <c r="AB2644" s="19"/>
      <c r="AC2644" s="19" t="n">
        <v>10</v>
      </c>
      <c r="AD2644" s="19"/>
      <c r="AE2644" s="19"/>
      <c r="AF2644" s="19"/>
      <c r="AG2644" s="19"/>
      <c r="AH2644" s="19" t="n">
        <v>12</v>
      </c>
      <c r="AI2644" s="19"/>
      <c r="AJ2644" s="19" t="n">
        <v>84</v>
      </c>
      <c r="AK2644" s="19"/>
      <c r="AL2644" s="19"/>
      <c r="AM2644" s="19"/>
      <c r="AN2644" s="19"/>
      <c r="AO2644" s="19"/>
      <c r="AP2644" s="19" t="n">
        <v>96</v>
      </c>
      <c r="AQ2644" s="19" t="n">
        <v>10</v>
      </c>
      <c r="AR2644" s="19"/>
      <c r="AS2644" s="20" t="str">
        <f aca="false">HYPERLINK("http://www.openstreetmap.org/?mlat=36.4064&amp;mlon=43.1024&amp;zoom=12#map=12/36.4064/43.1024","Maplink1")</f>
        <v>Maplink1</v>
      </c>
      <c r="AT2644" s="20" t="str">
        <f aca="false">HYPERLINK("https://www.google.iq/maps/search/+36.4064,43.1024/@36.4064,43.1024,14z?hl=en","Maplink2")</f>
        <v>Maplink2</v>
      </c>
      <c r="AU2644" s="20" t="str">
        <f aca="false">HYPERLINK("http://www.bing.com/maps/?lvl=14&amp;sty=h&amp;cp=36.4064~43.1024&amp;sp=point.36.4064_43.1024","Maplink3")</f>
        <v>Maplink3</v>
      </c>
    </row>
    <row r="2645" customFormat="false" ht="15" hidden="false" customHeight="true" outlineLevel="0" collapsed="false">
      <c r="A2645" s="15" t="n">
        <v>22440</v>
      </c>
      <c r="B2645" s="16" t="s">
        <v>27</v>
      </c>
      <c r="C2645" s="16" t="s">
        <v>5015</v>
      </c>
      <c r="D2645" s="16" t="s">
        <v>5103</v>
      </c>
      <c r="E2645" s="17" t="s">
        <v>5104</v>
      </c>
      <c r="F2645" s="16" t="n">
        <v>36.491096</v>
      </c>
      <c r="G2645" s="16" t="n">
        <v>43.215801</v>
      </c>
      <c r="H2645" s="18" t="n">
        <v>140</v>
      </c>
      <c r="I2645" s="18" t="n">
        <v>840</v>
      </c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 t="n">
        <v>140</v>
      </c>
      <c r="W2645" s="19"/>
      <c r="X2645" s="19"/>
      <c r="Y2645" s="19"/>
      <c r="Z2645" s="19"/>
      <c r="AA2645" s="19"/>
      <c r="AB2645" s="19"/>
      <c r="AC2645" s="19" t="n">
        <v>140</v>
      </c>
      <c r="AD2645" s="19"/>
      <c r="AE2645" s="19"/>
      <c r="AF2645" s="19"/>
      <c r="AG2645" s="19"/>
      <c r="AH2645" s="19"/>
      <c r="AI2645" s="19"/>
      <c r="AJ2645" s="19"/>
      <c r="AK2645" s="19"/>
      <c r="AL2645" s="19"/>
      <c r="AM2645" s="19"/>
      <c r="AN2645" s="19"/>
      <c r="AO2645" s="19"/>
      <c r="AP2645" s="19"/>
      <c r="AQ2645" s="19"/>
      <c r="AR2645" s="19" t="n">
        <v>140</v>
      </c>
      <c r="AS2645" s="20" t="str">
        <f aca="false">HYPERLINK("http://www.openstreetmap.org/?mlat=36.4911&amp;mlon=43.2158&amp;zoom=12#map=12/36.4911/43.2158","Maplink1")</f>
        <v>Maplink1</v>
      </c>
      <c r="AT2645" s="20" t="str">
        <f aca="false">HYPERLINK("https://www.google.iq/maps/search/+36.4911,43.2158/@36.4911,43.2158,14z?hl=en","Maplink2")</f>
        <v>Maplink2</v>
      </c>
      <c r="AU2645" s="20" t="str">
        <f aca="false">HYPERLINK("http://www.bing.com/maps/?lvl=14&amp;sty=h&amp;cp=36.4911~43.2158&amp;sp=point.36.4911_43.2158","Maplink3")</f>
        <v>Maplink3</v>
      </c>
    </row>
    <row r="2646" customFormat="false" ht="15" hidden="false" customHeight="true" outlineLevel="0" collapsed="false">
      <c r="A2646" s="15" t="n">
        <v>29702</v>
      </c>
      <c r="B2646" s="16" t="s">
        <v>27</v>
      </c>
      <c r="C2646" s="16" t="s">
        <v>5015</v>
      </c>
      <c r="D2646" s="16" t="s">
        <v>5105</v>
      </c>
      <c r="E2646" s="17" t="s">
        <v>5106</v>
      </c>
      <c r="F2646" s="16" t="n">
        <v>35.749899</v>
      </c>
      <c r="G2646" s="16" t="n">
        <v>43.319924</v>
      </c>
      <c r="H2646" s="18" t="n">
        <v>449</v>
      </c>
      <c r="I2646" s="18" t="n">
        <v>2694</v>
      </c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 t="n">
        <v>449</v>
      </c>
      <c r="W2646" s="19"/>
      <c r="X2646" s="19"/>
      <c r="Y2646" s="19"/>
      <c r="Z2646" s="19"/>
      <c r="AA2646" s="19"/>
      <c r="AB2646" s="19" t="n">
        <v>449</v>
      </c>
      <c r="AC2646" s="19"/>
      <c r="AD2646" s="19"/>
      <c r="AE2646" s="19"/>
      <c r="AF2646" s="19"/>
      <c r="AG2646" s="19"/>
      <c r="AH2646" s="19"/>
      <c r="AI2646" s="19"/>
      <c r="AJ2646" s="19"/>
      <c r="AK2646" s="19"/>
      <c r="AL2646" s="19"/>
      <c r="AM2646" s="19"/>
      <c r="AN2646" s="19"/>
      <c r="AO2646" s="19"/>
      <c r="AP2646" s="19"/>
      <c r="AQ2646" s="19"/>
      <c r="AR2646" s="19" t="n">
        <v>449</v>
      </c>
      <c r="AS2646" s="20" t="str">
        <f aca="false">HYPERLINK("http://www.openstreetmap.org/?mlat=35.7499&amp;mlon=43.3199&amp;zoom=12#map=12/35.7499/43.3199","Maplink1")</f>
        <v>Maplink1</v>
      </c>
      <c r="AT2646" s="20" t="str">
        <f aca="false">HYPERLINK("https://www.google.iq/maps/search/+35.7499,43.3199/@35.7499,43.3199,14z?hl=en","Maplink2")</f>
        <v>Maplink2</v>
      </c>
      <c r="AU2646" s="20" t="str">
        <f aca="false">HYPERLINK("http://www.bing.com/maps/?lvl=14&amp;sty=h&amp;cp=35.7499~43.3199&amp;sp=point.35.7499_43.3199","Maplink3")</f>
        <v>Maplink3</v>
      </c>
    </row>
    <row r="2647" customFormat="false" ht="15" hidden="false" customHeight="true" outlineLevel="0" collapsed="false">
      <c r="A2647" s="15" t="n">
        <v>17128</v>
      </c>
      <c r="B2647" s="16" t="s">
        <v>27</v>
      </c>
      <c r="C2647" s="16" t="s">
        <v>5015</v>
      </c>
      <c r="D2647" s="16" t="s">
        <v>5107</v>
      </c>
      <c r="E2647" s="17" t="s">
        <v>5108</v>
      </c>
      <c r="F2647" s="16" t="n">
        <v>36.1671</v>
      </c>
      <c r="G2647" s="16" t="n">
        <v>43.2579</v>
      </c>
      <c r="H2647" s="18" t="n">
        <v>249</v>
      </c>
      <c r="I2647" s="18" t="n">
        <v>1494</v>
      </c>
      <c r="J2647" s="19"/>
      <c r="K2647" s="19"/>
      <c r="L2647" s="19"/>
      <c r="M2647" s="19"/>
      <c r="N2647" s="19"/>
      <c r="O2647" s="19"/>
      <c r="P2647" s="19"/>
      <c r="Q2647" s="19"/>
      <c r="R2647" s="19" t="n">
        <v>30</v>
      </c>
      <c r="S2647" s="19"/>
      <c r="T2647" s="19"/>
      <c r="U2647" s="19"/>
      <c r="V2647" s="19" t="n">
        <v>85</v>
      </c>
      <c r="W2647" s="19"/>
      <c r="X2647" s="19" t="n">
        <v>134</v>
      </c>
      <c r="Y2647" s="19"/>
      <c r="Z2647" s="19"/>
      <c r="AA2647" s="19"/>
      <c r="AB2647" s="19"/>
      <c r="AC2647" s="19" t="n">
        <v>62</v>
      </c>
      <c r="AD2647" s="19"/>
      <c r="AE2647" s="19"/>
      <c r="AF2647" s="19"/>
      <c r="AG2647" s="19"/>
      <c r="AH2647" s="19"/>
      <c r="AI2647" s="19"/>
      <c r="AJ2647" s="19" t="n">
        <v>12</v>
      </c>
      <c r="AK2647" s="19" t="n">
        <v>175</v>
      </c>
      <c r="AL2647" s="19"/>
      <c r="AM2647" s="19"/>
      <c r="AN2647" s="19"/>
      <c r="AO2647" s="19"/>
      <c r="AP2647" s="19" t="n">
        <v>134</v>
      </c>
      <c r="AQ2647" s="19" t="n">
        <v>115</v>
      </c>
      <c r="AR2647" s="19"/>
      <c r="AS2647" s="20" t="str">
        <f aca="false">HYPERLINK("http://www.openstreetmap.org/?mlat=36.1671&amp;mlon=43.2579&amp;zoom=12#map=12/36.1671/43.2579","Maplink1")</f>
        <v>Maplink1</v>
      </c>
      <c r="AT2647" s="20" t="str">
        <f aca="false">HYPERLINK("https://www.google.iq/maps/search/+36.1671,43.2579/@36.1671,43.2579,14z?hl=en","Maplink2")</f>
        <v>Maplink2</v>
      </c>
      <c r="AU2647" s="20" t="str">
        <f aca="false">HYPERLINK("http://www.bing.com/maps/?lvl=14&amp;sty=h&amp;cp=36.1671~43.2579&amp;sp=point.36.1671_43.2579","Maplink3")</f>
        <v>Maplink3</v>
      </c>
    </row>
    <row r="2648" customFormat="false" ht="15" hidden="false" customHeight="true" outlineLevel="0" collapsed="false">
      <c r="A2648" s="15" t="n">
        <v>18247</v>
      </c>
      <c r="B2648" s="16" t="s">
        <v>27</v>
      </c>
      <c r="C2648" s="16" t="s">
        <v>5015</v>
      </c>
      <c r="D2648" s="16" t="s">
        <v>5109</v>
      </c>
      <c r="E2648" s="17" t="s">
        <v>5110</v>
      </c>
      <c r="F2648" s="16" t="n">
        <v>36.3647</v>
      </c>
      <c r="G2648" s="16" t="n">
        <v>43.087</v>
      </c>
      <c r="H2648" s="18" t="n">
        <v>665</v>
      </c>
      <c r="I2648" s="18" t="n">
        <v>3990</v>
      </c>
      <c r="J2648" s="19" t="n">
        <v>8</v>
      </c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 t="n">
        <v>657</v>
      </c>
      <c r="W2648" s="19"/>
      <c r="X2648" s="19"/>
      <c r="Y2648" s="19"/>
      <c r="Z2648" s="19"/>
      <c r="AA2648" s="19"/>
      <c r="AB2648" s="19"/>
      <c r="AC2648" s="19" t="n">
        <v>117</v>
      </c>
      <c r="AD2648" s="19"/>
      <c r="AE2648" s="19"/>
      <c r="AF2648" s="19"/>
      <c r="AG2648" s="19"/>
      <c r="AH2648" s="19" t="n">
        <v>502</v>
      </c>
      <c r="AI2648" s="19" t="n">
        <v>4</v>
      </c>
      <c r="AJ2648" s="19" t="n">
        <v>42</v>
      </c>
      <c r="AK2648" s="19"/>
      <c r="AL2648" s="19" t="n">
        <v>8</v>
      </c>
      <c r="AM2648" s="19"/>
      <c r="AN2648" s="19"/>
      <c r="AO2648" s="19" t="n">
        <v>38</v>
      </c>
      <c r="AP2648" s="19" t="n">
        <v>609</v>
      </c>
      <c r="AQ2648" s="19" t="n">
        <v>10</v>
      </c>
      <c r="AR2648" s="19"/>
      <c r="AS2648" s="20" t="str">
        <f aca="false">HYPERLINK("http://www.openstreetmap.org/?mlat=36.3647&amp;mlon=43.087&amp;zoom=12#map=12/36.3647/43.087","Maplink1")</f>
        <v>Maplink1</v>
      </c>
      <c r="AT2648" s="20" t="str">
        <f aca="false">HYPERLINK("https://www.google.iq/maps/search/+36.3647,43.087/@36.3647,43.087,14z?hl=en","Maplink2")</f>
        <v>Maplink2</v>
      </c>
      <c r="AU2648" s="20" t="str">
        <f aca="false">HYPERLINK("http://www.bing.com/maps/?lvl=14&amp;sty=h&amp;cp=36.3647~43.087&amp;sp=point.36.3647_43.087","Maplink3")</f>
        <v>Maplink3</v>
      </c>
    </row>
    <row r="2649" customFormat="false" ht="15" hidden="false" customHeight="true" outlineLevel="0" collapsed="false">
      <c r="A2649" s="15" t="n">
        <v>24636</v>
      </c>
      <c r="B2649" s="16" t="s">
        <v>27</v>
      </c>
      <c r="C2649" s="16" t="s">
        <v>5015</v>
      </c>
      <c r="D2649" s="16" t="s">
        <v>5111</v>
      </c>
      <c r="E2649" s="17" t="s">
        <v>5112</v>
      </c>
      <c r="F2649" s="16" t="n">
        <v>36.389066</v>
      </c>
      <c r="G2649" s="16" t="n">
        <v>43.076673</v>
      </c>
      <c r="H2649" s="18" t="n">
        <v>82</v>
      </c>
      <c r="I2649" s="18" t="n">
        <v>492</v>
      </c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 t="n">
        <v>82</v>
      </c>
      <c r="W2649" s="19"/>
      <c r="X2649" s="19"/>
      <c r="Y2649" s="19"/>
      <c r="Z2649" s="19"/>
      <c r="AA2649" s="19"/>
      <c r="AB2649" s="19"/>
      <c r="AC2649" s="19" t="n">
        <v>16</v>
      </c>
      <c r="AD2649" s="19"/>
      <c r="AE2649" s="19"/>
      <c r="AF2649" s="19"/>
      <c r="AG2649" s="19"/>
      <c r="AH2649" s="19" t="n">
        <v>61</v>
      </c>
      <c r="AI2649" s="19"/>
      <c r="AJ2649" s="19" t="n">
        <v>5</v>
      </c>
      <c r="AK2649" s="19"/>
      <c r="AL2649" s="19"/>
      <c r="AM2649" s="19"/>
      <c r="AN2649" s="19"/>
      <c r="AO2649" s="19" t="n">
        <v>5</v>
      </c>
      <c r="AP2649" s="19" t="n">
        <v>45</v>
      </c>
      <c r="AQ2649" s="19" t="n">
        <v>32</v>
      </c>
      <c r="AR2649" s="19"/>
      <c r="AS2649" s="20" t="str">
        <f aca="false">HYPERLINK("http://www.openstreetmap.org/?mlat=36.3891&amp;mlon=43.0767&amp;zoom=12#map=12/36.3891/43.0767","Maplink1")</f>
        <v>Maplink1</v>
      </c>
      <c r="AT2649" s="20" t="str">
        <f aca="false">HYPERLINK("https://www.google.iq/maps/search/+36.3891,43.0767/@36.3891,43.0767,14z?hl=en","Maplink2")</f>
        <v>Maplink2</v>
      </c>
      <c r="AU2649" s="20" t="str">
        <f aca="false">HYPERLINK("http://www.bing.com/maps/?lvl=14&amp;sty=h&amp;cp=36.3891~43.0767&amp;sp=point.36.3891_43.0767","Maplink3")</f>
        <v>Maplink3</v>
      </c>
    </row>
    <row r="2650" customFormat="false" ht="15" hidden="false" customHeight="true" outlineLevel="0" collapsed="false">
      <c r="A2650" s="15" t="n">
        <v>18383</v>
      </c>
      <c r="B2650" s="16" t="s">
        <v>27</v>
      </c>
      <c r="C2650" s="16" t="s">
        <v>5015</v>
      </c>
      <c r="D2650" s="16" t="s">
        <v>4319</v>
      </c>
      <c r="E2650" s="17" t="s">
        <v>4320</v>
      </c>
      <c r="F2650" s="16" t="n">
        <v>36.353959</v>
      </c>
      <c r="G2650" s="16" t="n">
        <v>43.211905</v>
      </c>
      <c r="H2650" s="18" t="n">
        <v>73</v>
      </c>
      <c r="I2650" s="18" t="n">
        <v>438</v>
      </c>
      <c r="J2650" s="19" t="n">
        <v>15</v>
      </c>
      <c r="K2650" s="19"/>
      <c r="L2650" s="19"/>
      <c r="M2650" s="19"/>
      <c r="N2650" s="19"/>
      <c r="O2650" s="19"/>
      <c r="P2650" s="19"/>
      <c r="Q2650" s="19"/>
      <c r="R2650" s="19" t="n">
        <v>12</v>
      </c>
      <c r="S2650" s="19"/>
      <c r="T2650" s="19"/>
      <c r="U2650" s="19"/>
      <c r="V2650" s="19" t="n">
        <v>46</v>
      </c>
      <c r="W2650" s="19"/>
      <c r="X2650" s="19"/>
      <c r="Y2650" s="19"/>
      <c r="Z2650" s="19"/>
      <c r="AA2650" s="19"/>
      <c r="AB2650" s="19"/>
      <c r="AC2650" s="19" t="n">
        <v>51</v>
      </c>
      <c r="AD2650" s="19"/>
      <c r="AE2650" s="19"/>
      <c r="AF2650" s="19"/>
      <c r="AG2650" s="19"/>
      <c r="AH2650" s="19" t="n">
        <v>12</v>
      </c>
      <c r="AI2650" s="19"/>
      <c r="AJ2650" s="19" t="n">
        <v>10</v>
      </c>
      <c r="AK2650" s="19"/>
      <c r="AL2650" s="19"/>
      <c r="AM2650" s="19"/>
      <c r="AN2650" s="19"/>
      <c r="AO2650" s="19"/>
      <c r="AP2650" s="19" t="n">
        <v>44</v>
      </c>
      <c r="AQ2650" s="19" t="n">
        <v>29</v>
      </c>
      <c r="AR2650" s="19"/>
      <c r="AS2650" s="20" t="str">
        <f aca="false">HYPERLINK("http://www.openstreetmap.org/?mlat=36.354&amp;mlon=43.2119&amp;zoom=12#map=12/36.354/43.2119","Maplink1")</f>
        <v>Maplink1</v>
      </c>
      <c r="AT2650" s="20" t="str">
        <f aca="false">HYPERLINK("https://www.google.iq/maps/search/+36.354,43.2119/@36.354,43.2119,14z?hl=en","Maplink2")</f>
        <v>Maplink2</v>
      </c>
      <c r="AU2650" s="20" t="str">
        <f aca="false">HYPERLINK("http://www.bing.com/maps/?lvl=14&amp;sty=h&amp;cp=36.354~43.2119&amp;sp=point.36.354_43.2119","Maplink3")</f>
        <v>Maplink3</v>
      </c>
    </row>
    <row r="2651" customFormat="false" ht="15" hidden="false" customHeight="true" outlineLevel="0" collapsed="false">
      <c r="A2651" s="15" t="n">
        <v>18306</v>
      </c>
      <c r="B2651" s="16" t="s">
        <v>27</v>
      </c>
      <c r="C2651" s="16" t="s">
        <v>5015</v>
      </c>
      <c r="D2651" s="16" t="s">
        <v>5113</v>
      </c>
      <c r="E2651" s="17" t="s">
        <v>5114</v>
      </c>
      <c r="F2651" s="16" t="n">
        <v>36.4029</v>
      </c>
      <c r="G2651" s="16" t="n">
        <v>43.1216</v>
      </c>
      <c r="H2651" s="18" t="n">
        <v>102</v>
      </c>
      <c r="I2651" s="18" t="n">
        <v>612</v>
      </c>
      <c r="J2651" s="19" t="n">
        <v>1</v>
      </c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 t="n">
        <v>59</v>
      </c>
      <c r="W2651" s="19"/>
      <c r="X2651" s="19" t="n">
        <v>42</v>
      </c>
      <c r="Y2651" s="19"/>
      <c r="Z2651" s="19"/>
      <c r="AA2651" s="19"/>
      <c r="AB2651" s="19"/>
      <c r="AC2651" s="19" t="n">
        <v>32</v>
      </c>
      <c r="AD2651" s="19"/>
      <c r="AE2651" s="19"/>
      <c r="AF2651" s="19"/>
      <c r="AG2651" s="19"/>
      <c r="AH2651" s="19" t="n">
        <v>55</v>
      </c>
      <c r="AI2651" s="19"/>
      <c r="AJ2651" s="19"/>
      <c r="AK2651" s="19" t="n">
        <v>15</v>
      </c>
      <c r="AL2651" s="19" t="n">
        <v>1</v>
      </c>
      <c r="AM2651" s="19"/>
      <c r="AN2651" s="19"/>
      <c r="AO2651" s="19"/>
      <c r="AP2651" s="19" t="n">
        <v>101</v>
      </c>
      <c r="AQ2651" s="19"/>
      <c r="AR2651" s="19"/>
      <c r="AS2651" s="20" t="str">
        <f aca="false">HYPERLINK("http://www.openstreetmap.org/?mlat=36.4029&amp;mlon=43.1216&amp;zoom=12#map=12/36.4029/43.1216","Maplink1")</f>
        <v>Maplink1</v>
      </c>
      <c r="AT2651" s="20" t="str">
        <f aca="false">HYPERLINK("https://www.google.iq/maps/search/+36.4029,43.1216/@36.4029,43.1216,14z?hl=en","Maplink2")</f>
        <v>Maplink2</v>
      </c>
      <c r="AU2651" s="20" t="str">
        <f aca="false">HYPERLINK("http://www.bing.com/maps/?lvl=14&amp;sty=h&amp;cp=36.4029~43.1216&amp;sp=point.36.4029_43.1216","Maplink3")</f>
        <v>Maplink3</v>
      </c>
    </row>
    <row r="2652" customFormat="false" ht="15" hidden="false" customHeight="true" outlineLevel="0" collapsed="false">
      <c r="A2652" s="15" t="n">
        <v>23789</v>
      </c>
      <c r="B2652" s="16" t="s">
        <v>27</v>
      </c>
      <c r="C2652" s="16" t="s">
        <v>5015</v>
      </c>
      <c r="D2652" s="16" t="s">
        <v>5115</v>
      </c>
      <c r="E2652" s="17" t="s">
        <v>93</v>
      </c>
      <c r="F2652" s="16" t="n">
        <v>36.34655</v>
      </c>
      <c r="G2652" s="16" t="n">
        <v>43.12357</v>
      </c>
      <c r="H2652" s="18" t="n">
        <v>110</v>
      </c>
      <c r="I2652" s="18" t="n">
        <v>660</v>
      </c>
      <c r="J2652" s="19" t="n">
        <v>8</v>
      </c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 t="n">
        <v>95</v>
      </c>
      <c r="W2652" s="19"/>
      <c r="X2652" s="19" t="n">
        <v>7</v>
      </c>
      <c r="Y2652" s="19"/>
      <c r="Z2652" s="19"/>
      <c r="AA2652" s="19"/>
      <c r="AB2652" s="19"/>
      <c r="AC2652" s="19" t="n">
        <v>22</v>
      </c>
      <c r="AD2652" s="19"/>
      <c r="AE2652" s="19"/>
      <c r="AF2652" s="19"/>
      <c r="AG2652" s="19"/>
      <c r="AH2652" s="19" t="n">
        <v>53</v>
      </c>
      <c r="AI2652" s="19" t="n">
        <v>25</v>
      </c>
      <c r="AJ2652" s="19" t="n">
        <v>10</v>
      </c>
      <c r="AK2652" s="19"/>
      <c r="AL2652" s="19" t="n">
        <v>8</v>
      </c>
      <c r="AM2652" s="19"/>
      <c r="AN2652" s="19" t="n">
        <v>50</v>
      </c>
      <c r="AO2652" s="19"/>
      <c r="AP2652" s="19" t="n">
        <v>52</v>
      </c>
      <c r="AQ2652" s="19"/>
      <c r="AR2652" s="19"/>
      <c r="AS2652" s="20" t="str">
        <f aca="false">HYPERLINK("http://www.openstreetmap.org/?mlat=36.3466&amp;mlon=43.1236&amp;zoom=12#map=12/36.3466/43.1236","Maplink1")</f>
        <v>Maplink1</v>
      </c>
      <c r="AT2652" s="20" t="str">
        <f aca="false">HYPERLINK("https://www.google.iq/maps/search/+36.3466,43.1236/@36.3466,43.1236,14z?hl=en","Maplink2")</f>
        <v>Maplink2</v>
      </c>
      <c r="AU2652" s="20" t="str">
        <f aca="false">HYPERLINK("http://www.bing.com/maps/?lvl=14&amp;sty=h&amp;cp=36.3466~43.1236&amp;sp=point.36.3466_43.1236","Maplink3")</f>
        <v>Maplink3</v>
      </c>
    </row>
    <row r="2653" customFormat="false" ht="15" hidden="false" customHeight="true" outlineLevel="0" collapsed="false">
      <c r="A2653" s="15" t="n">
        <v>18314</v>
      </c>
      <c r="B2653" s="16" t="s">
        <v>27</v>
      </c>
      <c r="C2653" s="16" t="s">
        <v>5015</v>
      </c>
      <c r="D2653" s="16" t="s">
        <v>5116</v>
      </c>
      <c r="E2653" s="17" t="s">
        <v>5117</v>
      </c>
      <c r="F2653" s="16" t="n">
        <v>36.3255</v>
      </c>
      <c r="G2653" s="16" t="n">
        <v>43.2167</v>
      </c>
      <c r="H2653" s="18" t="n">
        <v>249</v>
      </c>
      <c r="I2653" s="18" t="n">
        <v>1494</v>
      </c>
      <c r="J2653" s="19" t="n">
        <v>72</v>
      </c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 t="n">
        <v>170</v>
      </c>
      <c r="W2653" s="19"/>
      <c r="X2653" s="19" t="n">
        <v>7</v>
      </c>
      <c r="Y2653" s="19"/>
      <c r="Z2653" s="19"/>
      <c r="AA2653" s="19"/>
      <c r="AB2653" s="19"/>
      <c r="AC2653" s="19" t="n">
        <v>34</v>
      </c>
      <c r="AD2653" s="19"/>
      <c r="AE2653" s="19"/>
      <c r="AF2653" s="19"/>
      <c r="AG2653" s="19"/>
      <c r="AH2653" s="19" t="n">
        <v>18</v>
      </c>
      <c r="AI2653" s="19"/>
      <c r="AJ2653" s="19" t="n">
        <v>197</v>
      </c>
      <c r="AK2653" s="19"/>
      <c r="AL2653" s="19"/>
      <c r="AM2653" s="19"/>
      <c r="AN2653" s="19" t="n">
        <v>46</v>
      </c>
      <c r="AO2653" s="19" t="n">
        <v>72</v>
      </c>
      <c r="AP2653" s="19" t="n">
        <v>35</v>
      </c>
      <c r="AQ2653" s="19" t="n">
        <v>96</v>
      </c>
      <c r="AR2653" s="19"/>
      <c r="AS2653" s="20" t="str">
        <f aca="false">HYPERLINK("http://www.openstreetmap.org/?mlat=36.3255&amp;mlon=43.2167&amp;zoom=12#map=12/36.3255/43.2167","Maplink1")</f>
        <v>Maplink1</v>
      </c>
      <c r="AT2653" s="20" t="str">
        <f aca="false">HYPERLINK("https://www.google.iq/maps/search/+36.3255,43.2167/@36.3255,43.2167,14z?hl=en","Maplink2")</f>
        <v>Maplink2</v>
      </c>
      <c r="AU2653" s="20" t="str">
        <f aca="false">HYPERLINK("http://www.bing.com/maps/?lvl=14&amp;sty=h&amp;cp=36.3255~43.2167&amp;sp=point.36.3255_43.2167","Maplink3")</f>
        <v>Maplink3</v>
      </c>
    </row>
    <row r="2654" customFormat="false" ht="15" hidden="false" customHeight="true" outlineLevel="0" collapsed="false">
      <c r="A2654" s="15" t="n">
        <v>18313</v>
      </c>
      <c r="B2654" s="16" t="s">
        <v>27</v>
      </c>
      <c r="C2654" s="16" t="s">
        <v>5015</v>
      </c>
      <c r="D2654" s="16" t="s">
        <v>5118</v>
      </c>
      <c r="E2654" s="17" t="s">
        <v>5119</v>
      </c>
      <c r="F2654" s="16" t="n">
        <v>36.3506</v>
      </c>
      <c r="G2654" s="16" t="n">
        <v>43.0886</v>
      </c>
      <c r="H2654" s="18" t="n">
        <v>271</v>
      </c>
      <c r="I2654" s="18" t="n">
        <v>1626</v>
      </c>
      <c r="J2654" s="19" t="n">
        <v>4</v>
      </c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 t="n">
        <v>239</v>
      </c>
      <c r="W2654" s="19"/>
      <c r="X2654" s="19" t="n">
        <v>28</v>
      </c>
      <c r="Y2654" s="19"/>
      <c r="Z2654" s="19"/>
      <c r="AA2654" s="19"/>
      <c r="AB2654" s="19"/>
      <c r="AC2654" s="19" t="n">
        <v>78</v>
      </c>
      <c r="AD2654" s="19"/>
      <c r="AE2654" s="19"/>
      <c r="AF2654" s="19"/>
      <c r="AG2654" s="19"/>
      <c r="AH2654" s="19" t="n">
        <v>139</v>
      </c>
      <c r="AI2654" s="19"/>
      <c r="AJ2654" s="19" t="n">
        <v>46</v>
      </c>
      <c r="AK2654" s="19" t="n">
        <v>8</v>
      </c>
      <c r="AL2654" s="19" t="n">
        <v>4</v>
      </c>
      <c r="AM2654" s="19"/>
      <c r="AN2654" s="19" t="n">
        <v>21</v>
      </c>
      <c r="AO2654" s="19" t="n">
        <v>67</v>
      </c>
      <c r="AP2654" s="19" t="n">
        <v>88</v>
      </c>
      <c r="AQ2654" s="19" t="n">
        <v>91</v>
      </c>
      <c r="AR2654" s="19"/>
      <c r="AS2654" s="20" t="str">
        <f aca="false">HYPERLINK("http://www.openstreetmap.org/?mlat=36.3506&amp;mlon=43.0886&amp;zoom=12#map=12/36.3506/43.0886","Maplink1")</f>
        <v>Maplink1</v>
      </c>
      <c r="AT2654" s="20" t="str">
        <f aca="false">HYPERLINK("https://www.google.iq/maps/search/+36.3506,43.0886/@36.3506,43.0886,14z?hl=en","Maplink2")</f>
        <v>Maplink2</v>
      </c>
      <c r="AU2654" s="20" t="str">
        <f aca="false">HYPERLINK("http://www.bing.com/maps/?lvl=14&amp;sty=h&amp;cp=36.3506~43.0886&amp;sp=point.36.3506_43.0886","Maplink3")</f>
        <v>Maplink3</v>
      </c>
    </row>
    <row r="2655" customFormat="false" ht="15" hidden="false" customHeight="true" outlineLevel="0" collapsed="false">
      <c r="A2655" s="15" t="n">
        <v>23929</v>
      </c>
      <c r="B2655" s="16" t="s">
        <v>27</v>
      </c>
      <c r="C2655" s="16" t="s">
        <v>5015</v>
      </c>
      <c r="D2655" s="16" t="s">
        <v>5120</v>
      </c>
      <c r="E2655" s="17" t="s">
        <v>4507</v>
      </c>
      <c r="F2655" s="16" t="n">
        <v>36.3802</v>
      </c>
      <c r="G2655" s="16" t="n">
        <v>43.1539</v>
      </c>
      <c r="H2655" s="18" t="n">
        <v>12</v>
      </c>
      <c r="I2655" s="18" t="n">
        <v>72</v>
      </c>
      <c r="J2655" s="19" t="n">
        <v>3</v>
      </c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 t="n">
        <v>6</v>
      </c>
      <c r="W2655" s="19"/>
      <c r="X2655" s="19" t="n">
        <v>3</v>
      </c>
      <c r="Y2655" s="19"/>
      <c r="Z2655" s="19"/>
      <c r="AA2655" s="19"/>
      <c r="AB2655" s="19"/>
      <c r="AC2655" s="19"/>
      <c r="AD2655" s="19"/>
      <c r="AE2655" s="19"/>
      <c r="AF2655" s="19"/>
      <c r="AG2655" s="19"/>
      <c r="AH2655" s="19" t="n">
        <v>7</v>
      </c>
      <c r="AI2655" s="19"/>
      <c r="AJ2655" s="19"/>
      <c r="AK2655" s="19" t="n">
        <v>5</v>
      </c>
      <c r="AL2655" s="19" t="n">
        <v>3</v>
      </c>
      <c r="AM2655" s="19"/>
      <c r="AN2655" s="19"/>
      <c r="AO2655" s="19"/>
      <c r="AP2655" s="19" t="n">
        <v>4</v>
      </c>
      <c r="AQ2655" s="19" t="n">
        <v>5</v>
      </c>
      <c r="AR2655" s="19"/>
      <c r="AS2655" s="20" t="str">
        <f aca="false">HYPERLINK("http://www.openstreetmap.org/?mlat=36.3802&amp;mlon=43.1539&amp;zoom=12#map=12/36.3802/43.1539","Maplink1")</f>
        <v>Maplink1</v>
      </c>
      <c r="AT2655" s="20" t="str">
        <f aca="false">HYPERLINK("https://www.google.iq/maps/search/+36.3802,43.1539/@36.3802,43.1539,14z?hl=en","Maplink2")</f>
        <v>Maplink2</v>
      </c>
      <c r="AU2655" s="20" t="str">
        <f aca="false">HYPERLINK("http://www.bing.com/maps/?lvl=14&amp;sty=h&amp;cp=36.3802~43.1539&amp;sp=point.36.3802_43.1539","Maplink3")</f>
        <v>Maplink3</v>
      </c>
    </row>
    <row r="2656" customFormat="false" ht="15" hidden="false" customHeight="true" outlineLevel="0" collapsed="false">
      <c r="A2656" s="15" t="n">
        <v>23934</v>
      </c>
      <c r="B2656" s="16" t="s">
        <v>27</v>
      </c>
      <c r="C2656" s="16" t="s">
        <v>5015</v>
      </c>
      <c r="D2656" s="16" t="s">
        <v>5121</v>
      </c>
      <c r="E2656" s="17" t="s">
        <v>5122</v>
      </c>
      <c r="F2656" s="16" t="n">
        <v>36.331523</v>
      </c>
      <c r="G2656" s="16" t="n">
        <v>43.066661</v>
      </c>
      <c r="H2656" s="18" t="n">
        <v>114</v>
      </c>
      <c r="I2656" s="18" t="n">
        <v>684</v>
      </c>
      <c r="J2656" s="19" t="n">
        <v>10</v>
      </c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 t="n">
        <v>104</v>
      </c>
      <c r="W2656" s="19"/>
      <c r="X2656" s="19"/>
      <c r="Y2656" s="19"/>
      <c r="Z2656" s="19"/>
      <c r="AA2656" s="19"/>
      <c r="AB2656" s="19"/>
      <c r="AC2656" s="19" t="n">
        <v>41</v>
      </c>
      <c r="AD2656" s="19"/>
      <c r="AE2656" s="19"/>
      <c r="AF2656" s="19"/>
      <c r="AG2656" s="19"/>
      <c r="AH2656" s="19" t="n">
        <v>27</v>
      </c>
      <c r="AI2656" s="19"/>
      <c r="AJ2656" s="19" t="n">
        <v>33</v>
      </c>
      <c r="AK2656" s="19" t="n">
        <v>13</v>
      </c>
      <c r="AL2656" s="19" t="n">
        <v>10</v>
      </c>
      <c r="AM2656" s="19"/>
      <c r="AN2656" s="19"/>
      <c r="AO2656" s="19" t="n">
        <v>57</v>
      </c>
      <c r="AP2656" s="19" t="n">
        <v>31</v>
      </c>
      <c r="AQ2656" s="19" t="n">
        <v>16</v>
      </c>
      <c r="AR2656" s="19"/>
      <c r="AS2656" s="20" t="str">
        <f aca="false">HYPERLINK("http://www.openstreetmap.org/?mlat=36.3315&amp;mlon=43.0667&amp;zoom=12#map=12/36.3315/43.0667","Maplink1")</f>
        <v>Maplink1</v>
      </c>
      <c r="AT2656" s="20" t="str">
        <f aca="false">HYPERLINK("https://www.google.iq/maps/search/+36.3315,43.0667/@36.3315,43.0667,14z?hl=en","Maplink2")</f>
        <v>Maplink2</v>
      </c>
      <c r="AU2656" s="20" t="str">
        <f aca="false">HYPERLINK("http://www.bing.com/maps/?lvl=14&amp;sty=h&amp;cp=36.3315~43.0667&amp;sp=point.36.3315_43.0667","Maplink3")</f>
        <v>Maplink3</v>
      </c>
    </row>
    <row r="2657" customFormat="false" ht="15" hidden="false" customHeight="true" outlineLevel="0" collapsed="false">
      <c r="A2657" s="15" t="n">
        <v>23933</v>
      </c>
      <c r="B2657" s="16" t="s">
        <v>27</v>
      </c>
      <c r="C2657" s="16" t="s">
        <v>5015</v>
      </c>
      <c r="D2657" s="16" t="s">
        <v>5123</v>
      </c>
      <c r="E2657" s="17" t="s">
        <v>5124</v>
      </c>
      <c r="F2657" s="16" t="n">
        <v>36.363736</v>
      </c>
      <c r="G2657" s="16" t="n">
        <v>43.218419</v>
      </c>
      <c r="H2657" s="18" t="n">
        <v>53</v>
      </c>
      <c r="I2657" s="18" t="n">
        <v>318</v>
      </c>
      <c r="J2657" s="19" t="n">
        <v>15</v>
      </c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 t="n">
        <v>38</v>
      </c>
      <c r="W2657" s="19"/>
      <c r="X2657" s="19"/>
      <c r="Y2657" s="19"/>
      <c r="Z2657" s="19"/>
      <c r="AA2657" s="19"/>
      <c r="AB2657" s="19"/>
      <c r="AC2657" s="19" t="n">
        <v>11</v>
      </c>
      <c r="AD2657" s="19"/>
      <c r="AE2657" s="19"/>
      <c r="AF2657" s="19"/>
      <c r="AG2657" s="19"/>
      <c r="AH2657" s="19" t="n">
        <v>4</v>
      </c>
      <c r="AI2657" s="19"/>
      <c r="AJ2657" s="19" t="n">
        <v>38</v>
      </c>
      <c r="AK2657" s="19"/>
      <c r="AL2657" s="19" t="n">
        <v>15</v>
      </c>
      <c r="AM2657" s="19"/>
      <c r="AN2657" s="19"/>
      <c r="AO2657" s="19" t="n">
        <v>38</v>
      </c>
      <c r="AP2657" s="19"/>
      <c r="AQ2657" s="19"/>
      <c r="AR2657" s="19"/>
      <c r="AS2657" s="20" t="str">
        <f aca="false">HYPERLINK("http://www.openstreetmap.org/?mlat=36.3637&amp;mlon=43.2184&amp;zoom=12#map=12/36.3637/43.2184","Maplink1")</f>
        <v>Maplink1</v>
      </c>
      <c r="AT2657" s="20" t="str">
        <f aca="false">HYPERLINK("https://www.google.iq/maps/search/+36.3637,43.2184/@36.3637,43.2184,14z?hl=en","Maplink2")</f>
        <v>Maplink2</v>
      </c>
      <c r="AU2657" s="20" t="str">
        <f aca="false">HYPERLINK("http://www.bing.com/maps/?lvl=14&amp;sty=h&amp;cp=36.3637~43.2184&amp;sp=point.36.3637_43.2184","Maplink3")</f>
        <v>Maplink3</v>
      </c>
    </row>
    <row r="2658" customFormat="false" ht="15" hidden="false" customHeight="true" outlineLevel="0" collapsed="false">
      <c r="A2658" s="15" t="n">
        <v>18370</v>
      </c>
      <c r="B2658" s="16" t="s">
        <v>27</v>
      </c>
      <c r="C2658" s="16" t="s">
        <v>5015</v>
      </c>
      <c r="D2658" s="16" t="s">
        <v>137</v>
      </c>
      <c r="E2658" s="17" t="s">
        <v>5125</v>
      </c>
      <c r="F2658" s="16" t="n">
        <v>36.353564</v>
      </c>
      <c r="G2658" s="16" t="n">
        <v>43.189558</v>
      </c>
      <c r="H2658" s="18" t="n">
        <v>628</v>
      </c>
      <c r="I2658" s="18" t="n">
        <v>3768</v>
      </c>
      <c r="J2658" s="19" t="n">
        <v>3</v>
      </c>
      <c r="K2658" s="19"/>
      <c r="L2658" s="19"/>
      <c r="M2658" s="19"/>
      <c r="N2658" s="19"/>
      <c r="O2658" s="19"/>
      <c r="P2658" s="19"/>
      <c r="Q2658" s="19"/>
      <c r="R2658" s="19" t="n">
        <v>59</v>
      </c>
      <c r="S2658" s="19"/>
      <c r="T2658" s="19"/>
      <c r="U2658" s="19"/>
      <c r="V2658" s="19" t="n">
        <v>512</v>
      </c>
      <c r="W2658" s="19"/>
      <c r="X2658" s="19" t="n">
        <v>54</v>
      </c>
      <c r="Y2658" s="19"/>
      <c r="Z2658" s="19"/>
      <c r="AA2658" s="19"/>
      <c r="AB2658" s="19"/>
      <c r="AC2658" s="19" t="n">
        <v>187</v>
      </c>
      <c r="AD2658" s="19"/>
      <c r="AE2658" s="19"/>
      <c r="AF2658" s="19"/>
      <c r="AG2658" s="19"/>
      <c r="AH2658" s="19" t="n">
        <v>14</v>
      </c>
      <c r="AI2658" s="19" t="n">
        <v>115</v>
      </c>
      <c r="AJ2658" s="19" t="n">
        <v>289</v>
      </c>
      <c r="AK2658" s="19" t="n">
        <v>23</v>
      </c>
      <c r="AL2658" s="19" t="n">
        <v>3</v>
      </c>
      <c r="AM2658" s="19"/>
      <c r="AN2658" s="19" t="n">
        <v>400</v>
      </c>
      <c r="AO2658" s="19" t="n">
        <v>65</v>
      </c>
      <c r="AP2658" s="19" t="n">
        <v>122</v>
      </c>
      <c r="AQ2658" s="19" t="n">
        <v>38</v>
      </c>
      <c r="AR2658" s="19"/>
      <c r="AS2658" s="20" t="str">
        <f aca="false">HYPERLINK("http://www.openstreetmap.org/?mlat=36.3536&amp;mlon=43.1896&amp;zoom=12#map=12/36.3536/43.1896","Maplink1")</f>
        <v>Maplink1</v>
      </c>
      <c r="AT2658" s="20" t="str">
        <f aca="false">HYPERLINK("https://www.google.iq/maps/search/+36.3536,43.1896/@36.3536,43.1896,14z?hl=en","Maplink2")</f>
        <v>Maplink2</v>
      </c>
      <c r="AU2658" s="20" t="str">
        <f aca="false">HYPERLINK("http://www.bing.com/maps/?lvl=14&amp;sty=h&amp;cp=36.3536~43.1896&amp;sp=point.36.3536_43.1896","Maplink3")</f>
        <v>Maplink3</v>
      </c>
    </row>
    <row r="2659" customFormat="false" ht="15" hidden="false" customHeight="true" outlineLevel="0" collapsed="false">
      <c r="A2659" s="15" t="n">
        <v>21647</v>
      </c>
      <c r="B2659" s="16" t="s">
        <v>27</v>
      </c>
      <c r="C2659" s="16" t="s">
        <v>5015</v>
      </c>
      <c r="D2659" s="16" t="s">
        <v>445</v>
      </c>
      <c r="E2659" s="17" t="s">
        <v>2027</v>
      </c>
      <c r="F2659" s="16" t="n">
        <v>36.3856</v>
      </c>
      <c r="G2659" s="16" t="n">
        <v>43.2112</v>
      </c>
      <c r="H2659" s="18" t="n">
        <v>546</v>
      </c>
      <c r="I2659" s="18" t="n">
        <v>3276</v>
      </c>
      <c r="J2659" s="19" t="n">
        <v>50</v>
      </c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 t="n">
        <v>496</v>
      </c>
      <c r="W2659" s="19"/>
      <c r="X2659" s="19"/>
      <c r="Y2659" s="19"/>
      <c r="Z2659" s="19"/>
      <c r="AA2659" s="19"/>
      <c r="AB2659" s="19"/>
      <c r="AC2659" s="19" t="n">
        <v>55</v>
      </c>
      <c r="AD2659" s="19"/>
      <c r="AE2659" s="19"/>
      <c r="AF2659" s="19"/>
      <c r="AG2659" s="19"/>
      <c r="AH2659" s="19" t="n">
        <v>49</v>
      </c>
      <c r="AI2659" s="19"/>
      <c r="AJ2659" s="19" t="n">
        <v>374</v>
      </c>
      <c r="AK2659" s="19" t="n">
        <v>68</v>
      </c>
      <c r="AL2659" s="19" t="n">
        <v>50</v>
      </c>
      <c r="AM2659" s="19"/>
      <c r="AN2659" s="19" t="n">
        <v>220</v>
      </c>
      <c r="AO2659" s="19" t="n">
        <v>194</v>
      </c>
      <c r="AP2659" s="19" t="n">
        <v>58</v>
      </c>
      <c r="AQ2659" s="19" t="n">
        <v>24</v>
      </c>
      <c r="AR2659" s="19"/>
      <c r="AS2659" s="20" t="str">
        <f aca="false">HYPERLINK("http://www.openstreetmap.org/?mlat=36.3856&amp;mlon=43.2112&amp;zoom=12#map=12/36.3856/43.2112","Maplink1")</f>
        <v>Maplink1</v>
      </c>
      <c r="AT2659" s="20" t="str">
        <f aca="false">HYPERLINK("https://www.google.iq/maps/search/+36.3856,43.2112/@36.3856,43.2112,14z?hl=en","Maplink2")</f>
        <v>Maplink2</v>
      </c>
      <c r="AU2659" s="20" t="str">
        <f aca="false">HYPERLINK("http://www.bing.com/maps/?lvl=14&amp;sty=h&amp;cp=36.3856~43.2112&amp;sp=point.36.3856_43.2112","Maplink3")</f>
        <v>Maplink3</v>
      </c>
    </row>
    <row r="2660" customFormat="false" ht="15" hidden="false" customHeight="true" outlineLevel="0" collapsed="false">
      <c r="A2660" s="15" t="n">
        <v>18362</v>
      </c>
      <c r="B2660" s="16" t="s">
        <v>27</v>
      </c>
      <c r="C2660" s="16" t="s">
        <v>5015</v>
      </c>
      <c r="D2660" s="16" t="s">
        <v>5126</v>
      </c>
      <c r="E2660" s="17" t="s">
        <v>3213</v>
      </c>
      <c r="F2660" s="16" t="n">
        <v>36.366667</v>
      </c>
      <c r="G2660" s="16" t="n">
        <v>43.200278</v>
      </c>
      <c r="H2660" s="18" t="n">
        <v>80</v>
      </c>
      <c r="I2660" s="18" t="n">
        <v>480</v>
      </c>
      <c r="J2660" s="19" t="n">
        <v>16</v>
      </c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 t="n">
        <v>24</v>
      </c>
      <c r="W2660" s="19"/>
      <c r="X2660" s="19" t="n">
        <v>40</v>
      </c>
      <c r="Y2660" s="19"/>
      <c r="Z2660" s="19"/>
      <c r="AA2660" s="19"/>
      <c r="AB2660" s="19"/>
      <c r="AC2660" s="19" t="n">
        <v>19</v>
      </c>
      <c r="AD2660" s="19"/>
      <c r="AE2660" s="19"/>
      <c r="AF2660" s="19"/>
      <c r="AG2660" s="19"/>
      <c r="AH2660" s="19" t="n">
        <v>4</v>
      </c>
      <c r="AI2660" s="19"/>
      <c r="AJ2660" s="19" t="n">
        <v>57</v>
      </c>
      <c r="AK2660" s="19"/>
      <c r="AL2660" s="19" t="n">
        <v>4</v>
      </c>
      <c r="AM2660" s="19"/>
      <c r="AN2660" s="19"/>
      <c r="AO2660" s="19" t="n">
        <v>20</v>
      </c>
      <c r="AP2660" s="19" t="n">
        <v>46</v>
      </c>
      <c r="AQ2660" s="19" t="n">
        <v>10</v>
      </c>
      <c r="AR2660" s="19"/>
      <c r="AS2660" s="20" t="str">
        <f aca="false">HYPERLINK("http://www.openstreetmap.org/?mlat=36.3667&amp;mlon=43.2003&amp;zoom=12#map=12/36.3667/43.2003","Maplink1")</f>
        <v>Maplink1</v>
      </c>
      <c r="AT2660" s="20" t="str">
        <f aca="false">HYPERLINK("https://www.google.iq/maps/search/+36.3667,43.2003/@36.3667,43.2003,14z?hl=en","Maplink2")</f>
        <v>Maplink2</v>
      </c>
      <c r="AU2660" s="20" t="str">
        <f aca="false">HYPERLINK("http://www.bing.com/maps/?lvl=14&amp;sty=h&amp;cp=36.3667~43.2003&amp;sp=point.36.3667_43.2003","Maplink3")</f>
        <v>Maplink3</v>
      </c>
    </row>
    <row r="2661" customFormat="false" ht="15" hidden="false" customHeight="true" outlineLevel="0" collapsed="false">
      <c r="A2661" s="15" t="n">
        <v>20970</v>
      </c>
      <c r="B2661" s="16" t="s">
        <v>27</v>
      </c>
      <c r="C2661" s="16" t="s">
        <v>5015</v>
      </c>
      <c r="D2661" s="16" t="s">
        <v>5127</v>
      </c>
      <c r="E2661" s="17" t="s">
        <v>5128</v>
      </c>
      <c r="F2661" s="16" t="n">
        <v>36.3568</v>
      </c>
      <c r="G2661" s="16" t="n">
        <v>43.1148</v>
      </c>
      <c r="H2661" s="18" t="n">
        <v>4</v>
      </c>
      <c r="I2661" s="18" t="n">
        <v>24</v>
      </c>
      <c r="J2661" s="19" t="n">
        <v>4</v>
      </c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 t="n">
        <v>4</v>
      </c>
      <c r="AD2661" s="19"/>
      <c r="AE2661" s="19"/>
      <c r="AF2661" s="19"/>
      <c r="AG2661" s="19"/>
      <c r="AH2661" s="19"/>
      <c r="AI2661" s="19"/>
      <c r="AJ2661" s="19"/>
      <c r="AK2661" s="19"/>
      <c r="AL2661" s="19" t="n">
        <v>4</v>
      </c>
      <c r="AM2661" s="19"/>
      <c r="AN2661" s="19"/>
      <c r="AO2661" s="19"/>
      <c r="AP2661" s="19"/>
      <c r="AQ2661" s="19"/>
      <c r="AR2661" s="19"/>
      <c r="AS2661" s="20" t="str">
        <f aca="false">HYPERLINK("http://www.openstreetmap.org/?mlat=36.3568&amp;mlon=43.1148&amp;zoom=12#map=12/36.3568/43.1148","Maplink1")</f>
        <v>Maplink1</v>
      </c>
      <c r="AT2661" s="20" t="str">
        <f aca="false">HYPERLINK("https://www.google.iq/maps/search/+36.3568,43.1148/@36.3568,43.1148,14z?hl=en","Maplink2")</f>
        <v>Maplink2</v>
      </c>
      <c r="AU2661" s="20" t="str">
        <f aca="false">HYPERLINK("http://www.bing.com/maps/?lvl=14&amp;sty=h&amp;cp=36.3568~43.1148&amp;sp=point.36.3568_43.1148","Maplink3")</f>
        <v>Maplink3</v>
      </c>
    </row>
    <row r="2662" customFormat="false" ht="15" hidden="false" customHeight="true" outlineLevel="0" collapsed="false">
      <c r="A2662" s="15" t="n">
        <v>20998</v>
      </c>
      <c r="B2662" s="16" t="s">
        <v>27</v>
      </c>
      <c r="C2662" s="16" t="s">
        <v>5015</v>
      </c>
      <c r="D2662" s="16" t="s">
        <v>5129</v>
      </c>
      <c r="E2662" s="17" t="s">
        <v>5130</v>
      </c>
      <c r="F2662" s="16" t="n">
        <v>36.360473</v>
      </c>
      <c r="G2662" s="16" t="n">
        <v>43.193644</v>
      </c>
      <c r="H2662" s="18" t="n">
        <v>47</v>
      </c>
      <c r="I2662" s="18" t="n">
        <v>282</v>
      </c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 t="n">
        <v>47</v>
      </c>
      <c r="W2662" s="19"/>
      <c r="X2662" s="19"/>
      <c r="Y2662" s="19"/>
      <c r="Z2662" s="19"/>
      <c r="AA2662" s="19"/>
      <c r="AB2662" s="19"/>
      <c r="AC2662" s="19" t="n">
        <v>10</v>
      </c>
      <c r="AD2662" s="19"/>
      <c r="AE2662" s="19"/>
      <c r="AF2662" s="19"/>
      <c r="AG2662" s="19"/>
      <c r="AH2662" s="19" t="n">
        <v>27</v>
      </c>
      <c r="AI2662" s="19"/>
      <c r="AJ2662" s="19"/>
      <c r="AK2662" s="19" t="n">
        <v>10</v>
      </c>
      <c r="AL2662" s="19"/>
      <c r="AM2662" s="19"/>
      <c r="AN2662" s="19"/>
      <c r="AO2662" s="19"/>
      <c r="AP2662" s="19" t="n">
        <v>47</v>
      </c>
      <c r="AQ2662" s="19"/>
      <c r="AR2662" s="19"/>
      <c r="AS2662" s="20" t="str">
        <f aca="false">HYPERLINK("http://www.openstreetmap.org/?mlat=36.3605&amp;mlon=43.1936&amp;zoom=12#map=12/36.3605/43.1936","Maplink1")</f>
        <v>Maplink1</v>
      </c>
      <c r="AT2662" s="20" t="str">
        <f aca="false">HYPERLINK("https://www.google.iq/maps/search/+36.3605,43.1936/@36.3605,43.1936,14z?hl=en","Maplink2")</f>
        <v>Maplink2</v>
      </c>
      <c r="AU2662" s="20" t="str">
        <f aca="false">HYPERLINK("http://www.bing.com/maps/?lvl=14&amp;sty=h&amp;cp=36.3605~43.1936&amp;sp=point.36.3605_43.1936","Maplink3")</f>
        <v>Maplink3</v>
      </c>
    </row>
    <row r="2663" customFormat="false" ht="15" hidden="false" customHeight="true" outlineLevel="0" collapsed="false">
      <c r="A2663" s="15" t="n">
        <v>21491</v>
      </c>
      <c r="B2663" s="16" t="s">
        <v>27</v>
      </c>
      <c r="C2663" s="16" t="s">
        <v>5015</v>
      </c>
      <c r="D2663" s="16" t="s">
        <v>5131</v>
      </c>
      <c r="E2663" s="17" t="s">
        <v>5132</v>
      </c>
      <c r="F2663" s="16" t="n">
        <v>36.369689</v>
      </c>
      <c r="G2663" s="16" t="n">
        <v>43.187331</v>
      </c>
      <c r="H2663" s="18" t="n">
        <v>22</v>
      </c>
      <c r="I2663" s="18" t="n">
        <v>132</v>
      </c>
      <c r="J2663" s="19"/>
      <c r="K2663" s="19"/>
      <c r="L2663" s="19"/>
      <c r="M2663" s="19"/>
      <c r="N2663" s="19"/>
      <c r="O2663" s="19"/>
      <c r="P2663" s="19"/>
      <c r="Q2663" s="19"/>
      <c r="R2663" s="19" t="n">
        <v>3</v>
      </c>
      <c r="S2663" s="19"/>
      <c r="T2663" s="19"/>
      <c r="U2663" s="19"/>
      <c r="V2663" s="19" t="n">
        <v>14</v>
      </c>
      <c r="W2663" s="19"/>
      <c r="X2663" s="19" t="n">
        <v>5</v>
      </c>
      <c r="Y2663" s="19"/>
      <c r="Z2663" s="19"/>
      <c r="AA2663" s="19"/>
      <c r="AB2663" s="19"/>
      <c r="AC2663" s="19"/>
      <c r="AD2663" s="19"/>
      <c r="AE2663" s="19"/>
      <c r="AF2663" s="19"/>
      <c r="AG2663" s="19"/>
      <c r="AH2663" s="19"/>
      <c r="AI2663" s="19" t="n">
        <v>7</v>
      </c>
      <c r="AJ2663" s="19" t="n">
        <v>15</v>
      </c>
      <c r="AK2663" s="19"/>
      <c r="AL2663" s="19"/>
      <c r="AM2663" s="19"/>
      <c r="AN2663" s="19"/>
      <c r="AO2663" s="19"/>
      <c r="AP2663" s="19" t="n">
        <v>22</v>
      </c>
      <c r="AQ2663" s="19"/>
      <c r="AR2663" s="19"/>
      <c r="AS2663" s="20" t="str">
        <f aca="false">HYPERLINK("http://www.openstreetmap.org/?mlat=36.3697&amp;mlon=43.1873&amp;zoom=12#map=12/36.3697/43.1873","Maplink1")</f>
        <v>Maplink1</v>
      </c>
      <c r="AT2663" s="20" t="str">
        <f aca="false">HYPERLINK("https://www.google.iq/maps/search/+36.3697,43.1873/@36.3697,43.1873,14z?hl=en","Maplink2")</f>
        <v>Maplink2</v>
      </c>
      <c r="AU2663" s="20" t="str">
        <f aca="false">HYPERLINK("http://www.bing.com/maps/?lvl=14&amp;sty=h&amp;cp=36.3697~43.1873&amp;sp=point.36.3697_43.1873","Maplink3")</f>
        <v>Maplink3</v>
      </c>
    </row>
    <row r="2664" customFormat="false" ht="15" hidden="false" customHeight="true" outlineLevel="0" collapsed="false">
      <c r="A2664" s="15" t="n">
        <v>27303</v>
      </c>
      <c r="B2664" s="16" t="s">
        <v>27</v>
      </c>
      <c r="C2664" s="16" t="s">
        <v>5015</v>
      </c>
      <c r="D2664" s="16" t="s">
        <v>5133</v>
      </c>
      <c r="E2664" s="17" t="s">
        <v>133</v>
      </c>
      <c r="F2664" s="16" t="n">
        <v>36.350393</v>
      </c>
      <c r="G2664" s="16" t="n">
        <v>43.149883</v>
      </c>
      <c r="H2664" s="18" t="n">
        <v>35</v>
      </c>
      <c r="I2664" s="18" t="n">
        <v>210</v>
      </c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 t="n">
        <v>30</v>
      </c>
      <c r="W2664" s="19"/>
      <c r="X2664" s="19" t="n">
        <v>5</v>
      </c>
      <c r="Y2664" s="19"/>
      <c r="Z2664" s="19"/>
      <c r="AA2664" s="19"/>
      <c r="AB2664" s="19"/>
      <c r="AC2664" s="19"/>
      <c r="AD2664" s="19"/>
      <c r="AE2664" s="19"/>
      <c r="AF2664" s="19"/>
      <c r="AG2664" s="19"/>
      <c r="AH2664" s="19"/>
      <c r="AI2664" s="19"/>
      <c r="AJ2664" s="19" t="n">
        <v>15</v>
      </c>
      <c r="AK2664" s="19" t="n">
        <v>20</v>
      </c>
      <c r="AL2664" s="19"/>
      <c r="AM2664" s="19"/>
      <c r="AN2664" s="19"/>
      <c r="AO2664" s="19"/>
      <c r="AP2664" s="19" t="n">
        <v>35</v>
      </c>
      <c r="AQ2664" s="19"/>
      <c r="AR2664" s="19"/>
      <c r="AS2664" s="20" t="str">
        <f aca="false">HYPERLINK("http://www.openstreetmap.org/?mlat=36.3504&amp;mlon=43.1499&amp;zoom=12#map=12/36.3504/43.1499","Maplink1")</f>
        <v>Maplink1</v>
      </c>
      <c r="AT2664" s="20" t="str">
        <f aca="false">HYPERLINK("https://www.google.iq/maps/search/+36.3504,43.1499/@36.3504,43.1499,14z?hl=en","Maplink2")</f>
        <v>Maplink2</v>
      </c>
      <c r="AU2664" s="20" t="str">
        <f aca="false">HYPERLINK("http://www.bing.com/maps/?lvl=14&amp;sty=h&amp;cp=36.3504~43.1499&amp;sp=point.36.3504_43.1499","Maplink3")</f>
        <v>Maplink3</v>
      </c>
    </row>
    <row r="2665" customFormat="false" ht="15" hidden="false" customHeight="true" outlineLevel="0" collapsed="false">
      <c r="A2665" s="15" t="n">
        <v>27269</v>
      </c>
      <c r="B2665" s="16" t="s">
        <v>27</v>
      </c>
      <c r="C2665" s="16" t="s">
        <v>5015</v>
      </c>
      <c r="D2665" s="16" t="s">
        <v>5134</v>
      </c>
      <c r="E2665" s="17" t="s">
        <v>5135</v>
      </c>
      <c r="F2665" s="16" t="n">
        <v>36.374959</v>
      </c>
      <c r="G2665" s="16" t="n">
        <v>43.189461</v>
      </c>
      <c r="H2665" s="18" t="n">
        <v>22</v>
      </c>
      <c r="I2665" s="18" t="n">
        <v>132</v>
      </c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 t="n">
        <v>19</v>
      </c>
      <c r="W2665" s="19"/>
      <c r="X2665" s="19" t="n">
        <v>3</v>
      </c>
      <c r="Y2665" s="19"/>
      <c r="Z2665" s="19"/>
      <c r="AA2665" s="19"/>
      <c r="AB2665" s="19"/>
      <c r="AC2665" s="19"/>
      <c r="AD2665" s="19"/>
      <c r="AE2665" s="19"/>
      <c r="AF2665" s="19"/>
      <c r="AG2665" s="19"/>
      <c r="AH2665" s="19"/>
      <c r="AI2665" s="19"/>
      <c r="AJ2665" s="19" t="n">
        <v>16</v>
      </c>
      <c r="AK2665" s="19" t="n">
        <v>6</v>
      </c>
      <c r="AL2665" s="19"/>
      <c r="AM2665" s="19"/>
      <c r="AN2665" s="19"/>
      <c r="AO2665" s="19"/>
      <c r="AP2665" s="19" t="n">
        <v>14</v>
      </c>
      <c r="AQ2665" s="19" t="n">
        <v>8</v>
      </c>
      <c r="AR2665" s="19"/>
      <c r="AS2665" s="20" t="str">
        <f aca="false">HYPERLINK("http://www.openstreetmap.org/?mlat=36.375&amp;mlon=43.1895&amp;zoom=12#map=12/36.375/43.1895","Maplink1")</f>
        <v>Maplink1</v>
      </c>
      <c r="AT2665" s="20" t="str">
        <f aca="false">HYPERLINK("https://www.google.iq/maps/search/+36.375,43.1895/@36.375,43.1895,14z?hl=en","Maplink2")</f>
        <v>Maplink2</v>
      </c>
      <c r="AU2665" s="20" t="str">
        <f aca="false">HYPERLINK("http://www.bing.com/maps/?lvl=14&amp;sty=h&amp;cp=36.375~43.1895&amp;sp=point.36.375_43.1895","Maplink3")</f>
        <v>Maplink3</v>
      </c>
    </row>
    <row r="2666" customFormat="false" ht="15" hidden="false" customHeight="true" outlineLevel="0" collapsed="false">
      <c r="A2666" s="15" t="n">
        <v>18342</v>
      </c>
      <c r="B2666" s="16" t="s">
        <v>27</v>
      </c>
      <c r="C2666" s="16" t="s">
        <v>5015</v>
      </c>
      <c r="D2666" s="16" t="s">
        <v>5136</v>
      </c>
      <c r="E2666" s="17" t="s">
        <v>135</v>
      </c>
      <c r="F2666" s="16" t="n">
        <v>36.376466</v>
      </c>
      <c r="G2666" s="16" t="n">
        <v>43.182335</v>
      </c>
      <c r="H2666" s="18" t="n">
        <v>23</v>
      </c>
      <c r="I2666" s="18" t="n">
        <v>138</v>
      </c>
      <c r="J2666" s="19" t="n">
        <v>15</v>
      </c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 t="n">
        <v>8</v>
      </c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9"/>
      <c r="AH2666" s="19"/>
      <c r="AI2666" s="19"/>
      <c r="AJ2666" s="19" t="n">
        <v>23</v>
      </c>
      <c r="AK2666" s="19"/>
      <c r="AL2666" s="19"/>
      <c r="AM2666" s="19"/>
      <c r="AN2666" s="19"/>
      <c r="AO2666" s="19"/>
      <c r="AP2666" s="19" t="n">
        <v>23</v>
      </c>
      <c r="AQ2666" s="19"/>
      <c r="AR2666" s="19"/>
      <c r="AS2666" s="20" t="str">
        <f aca="false">HYPERLINK("http://www.openstreetmap.org/?mlat=36.3765&amp;mlon=43.1823&amp;zoom=12#map=12/36.3765/43.1823","Maplink1")</f>
        <v>Maplink1</v>
      </c>
      <c r="AT2666" s="20" t="str">
        <f aca="false">HYPERLINK("https://www.google.iq/maps/search/+36.3765,43.1823/@36.3765,43.1823,14z?hl=en","Maplink2")</f>
        <v>Maplink2</v>
      </c>
      <c r="AU2666" s="20" t="str">
        <f aca="false">HYPERLINK("http://www.bing.com/maps/?lvl=14&amp;sty=h&amp;cp=36.3765~43.1823&amp;sp=point.36.3765_43.1823","Maplink3")</f>
        <v>Maplink3</v>
      </c>
    </row>
    <row r="2667" customFormat="false" ht="15" hidden="false" customHeight="true" outlineLevel="0" collapsed="false">
      <c r="A2667" s="15" t="n">
        <v>18363</v>
      </c>
      <c r="B2667" s="16" t="s">
        <v>27</v>
      </c>
      <c r="C2667" s="16" t="s">
        <v>5015</v>
      </c>
      <c r="D2667" s="16" t="s">
        <v>5137</v>
      </c>
      <c r="E2667" s="17" t="s">
        <v>312</v>
      </c>
      <c r="F2667" s="16" t="n">
        <v>36.394953</v>
      </c>
      <c r="G2667" s="16" t="n">
        <v>43.162391</v>
      </c>
      <c r="H2667" s="18" t="n">
        <v>63</v>
      </c>
      <c r="I2667" s="18" t="n">
        <v>378</v>
      </c>
      <c r="J2667" s="19" t="n">
        <v>7</v>
      </c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 t="n">
        <v>41</v>
      </c>
      <c r="W2667" s="19"/>
      <c r="X2667" s="19" t="n">
        <v>15</v>
      </c>
      <c r="Y2667" s="19"/>
      <c r="Z2667" s="19"/>
      <c r="AA2667" s="19"/>
      <c r="AB2667" s="19"/>
      <c r="AC2667" s="19" t="n">
        <v>58</v>
      </c>
      <c r="AD2667" s="19"/>
      <c r="AE2667" s="19"/>
      <c r="AF2667" s="19"/>
      <c r="AG2667" s="19"/>
      <c r="AH2667" s="19" t="n">
        <v>5</v>
      </c>
      <c r="AI2667" s="19"/>
      <c r="AJ2667" s="19"/>
      <c r="AK2667" s="19"/>
      <c r="AL2667" s="19"/>
      <c r="AM2667" s="19"/>
      <c r="AN2667" s="19"/>
      <c r="AO2667" s="19"/>
      <c r="AP2667" s="19"/>
      <c r="AQ2667" s="19" t="n">
        <v>63</v>
      </c>
      <c r="AR2667" s="19"/>
      <c r="AS2667" s="20" t="str">
        <f aca="false">HYPERLINK("http://www.openstreetmap.org/?mlat=36.395&amp;mlon=43.1624&amp;zoom=12#map=12/36.395/43.1624","Maplink1")</f>
        <v>Maplink1</v>
      </c>
      <c r="AT2667" s="20" t="str">
        <f aca="false">HYPERLINK("https://www.google.iq/maps/search/+36.395,43.1624/@36.395,43.1624,14z?hl=en","Maplink2")</f>
        <v>Maplink2</v>
      </c>
      <c r="AU2667" s="20" t="str">
        <f aca="false">HYPERLINK("http://www.bing.com/maps/?lvl=14&amp;sty=h&amp;cp=36.395~43.1624&amp;sp=point.36.395_43.1624","Maplink3")</f>
        <v>Maplink3</v>
      </c>
    </row>
    <row r="2668" customFormat="false" ht="15" hidden="false" customHeight="true" outlineLevel="0" collapsed="false">
      <c r="A2668" s="15" t="n">
        <v>24635</v>
      </c>
      <c r="B2668" s="16" t="s">
        <v>27</v>
      </c>
      <c r="C2668" s="16" t="s">
        <v>5015</v>
      </c>
      <c r="D2668" s="16" t="s">
        <v>5138</v>
      </c>
      <c r="E2668" s="17" t="s">
        <v>5139</v>
      </c>
      <c r="F2668" s="16" t="n">
        <v>36.3283</v>
      </c>
      <c r="G2668" s="16" t="n">
        <v>43.082</v>
      </c>
      <c r="H2668" s="18" t="n">
        <v>32</v>
      </c>
      <c r="I2668" s="18" t="n">
        <v>192</v>
      </c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 t="n">
        <v>22</v>
      </c>
      <c r="W2668" s="19"/>
      <c r="X2668" s="19" t="n">
        <v>10</v>
      </c>
      <c r="Y2668" s="19"/>
      <c r="Z2668" s="19"/>
      <c r="AA2668" s="19"/>
      <c r="AB2668" s="19"/>
      <c r="AC2668" s="19" t="n">
        <v>17</v>
      </c>
      <c r="AD2668" s="19"/>
      <c r="AE2668" s="19"/>
      <c r="AF2668" s="19"/>
      <c r="AG2668" s="19"/>
      <c r="AH2668" s="19"/>
      <c r="AI2668" s="19"/>
      <c r="AJ2668" s="19" t="n">
        <v>15</v>
      </c>
      <c r="AK2668" s="19"/>
      <c r="AL2668" s="19"/>
      <c r="AM2668" s="19"/>
      <c r="AN2668" s="19"/>
      <c r="AO2668" s="19" t="n">
        <v>15</v>
      </c>
      <c r="AP2668" s="19" t="n">
        <v>10</v>
      </c>
      <c r="AQ2668" s="19" t="n">
        <v>7</v>
      </c>
      <c r="AR2668" s="19"/>
      <c r="AS2668" s="20" t="str">
        <f aca="false">HYPERLINK("http://www.openstreetmap.org/?mlat=36.3283&amp;mlon=43.082&amp;zoom=12#map=12/36.3283/43.082","Maplink1")</f>
        <v>Maplink1</v>
      </c>
      <c r="AT2668" s="20" t="str">
        <f aca="false">HYPERLINK("https://www.google.iq/maps/search/+36.3283,43.082/@36.3283,43.082,14z?hl=en","Maplink2")</f>
        <v>Maplink2</v>
      </c>
      <c r="AU2668" s="20" t="str">
        <f aca="false">HYPERLINK("http://www.bing.com/maps/?lvl=14&amp;sty=h&amp;cp=36.3283~43.082&amp;sp=point.36.3283_43.082","Maplink3")</f>
        <v>Maplink3</v>
      </c>
    </row>
    <row r="2669" customFormat="false" ht="15" hidden="false" customHeight="true" outlineLevel="0" collapsed="false">
      <c r="A2669" s="15" t="n">
        <v>21332</v>
      </c>
      <c r="B2669" s="16" t="s">
        <v>27</v>
      </c>
      <c r="C2669" s="16" t="s">
        <v>5015</v>
      </c>
      <c r="D2669" s="16" t="s">
        <v>5140</v>
      </c>
      <c r="E2669" s="17" t="s">
        <v>5141</v>
      </c>
      <c r="F2669" s="16" t="n">
        <v>36.310882</v>
      </c>
      <c r="G2669" s="16" t="n">
        <v>43.19367</v>
      </c>
      <c r="H2669" s="18" t="n">
        <v>101</v>
      </c>
      <c r="I2669" s="18" t="n">
        <v>606</v>
      </c>
      <c r="J2669" s="19" t="n">
        <v>33</v>
      </c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 t="n">
        <v>68</v>
      </c>
      <c r="W2669" s="19"/>
      <c r="X2669" s="19"/>
      <c r="Y2669" s="19"/>
      <c r="Z2669" s="19"/>
      <c r="AA2669" s="19"/>
      <c r="AB2669" s="19"/>
      <c r="AC2669" s="19" t="n">
        <v>15</v>
      </c>
      <c r="AD2669" s="19"/>
      <c r="AE2669" s="19"/>
      <c r="AF2669" s="19"/>
      <c r="AG2669" s="19"/>
      <c r="AH2669" s="19" t="n">
        <v>86</v>
      </c>
      <c r="AI2669" s="19"/>
      <c r="AJ2669" s="19"/>
      <c r="AK2669" s="19"/>
      <c r="AL2669" s="19" t="n">
        <v>33</v>
      </c>
      <c r="AM2669" s="19"/>
      <c r="AN2669" s="19"/>
      <c r="AO2669" s="19" t="n">
        <v>29</v>
      </c>
      <c r="AP2669" s="19" t="n">
        <v>39</v>
      </c>
      <c r="AQ2669" s="19"/>
      <c r="AR2669" s="19"/>
      <c r="AS2669" s="20" t="str">
        <f aca="false">HYPERLINK("http://www.openstreetmap.org/?mlat=36.3109&amp;mlon=43.1937&amp;zoom=12#map=12/36.3109/43.1937","Maplink1")</f>
        <v>Maplink1</v>
      </c>
      <c r="AT2669" s="20" t="str">
        <f aca="false">HYPERLINK("https://www.google.iq/maps/search/+36.3109,43.1937/@36.3109,43.1937,14z?hl=en","Maplink2")</f>
        <v>Maplink2</v>
      </c>
      <c r="AU2669" s="20" t="str">
        <f aca="false">HYPERLINK("http://www.bing.com/maps/?lvl=14&amp;sty=h&amp;cp=36.3109~43.1937&amp;sp=point.36.3109_43.1937","Maplink3")</f>
        <v>Maplink3</v>
      </c>
    </row>
    <row r="2670" customFormat="false" ht="15" hidden="false" customHeight="true" outlineLevel="0" collapsed="false">
      <c r="A2670" s="15" t="n">
        <v>21336</v>
      </c>
      <c r="B2670" s="16" t="s">
        <v>27</v>
      </c>
      <c r="C2670" s="16" t="s">
        <v>5015</v>
      </c>
      <c r="D2670" s="16" t="s">
        <v>5142</v>
      </c>
      <c r="E2670" s="17" t="s">
        <v>5143</v>
      </c>
      <c r="F2670" s="16" t="n">
        <v>36.3215</v>
      </c>
      <c r="G2670" s="16" t="n">
        <v>43.126</v>
      </c>
      <c r="H2670" s="18" t="n">
        <v>409</v>
      </c>
      <c r="I2670" s="18" t="n">
        <v>2454</v>
      </c>
      <c r="J2670" s="19" t="n">
        <v>62</v>
      </c>
      <c r="K2670" s="19"/>
      <c r="L2670" s="19"/>
      <c r="M2670" s="19"/>
      <c r="N2670" s="19"/>
      <c r="O2670" s="19"/>
      <c r="P2670" s="19"/>
      <c r="Q2670" s="19"/>
      <c r="R2670" s="19" t="n">
        <v>18</v>
      </c>
      <c r="S2670" s="19"/>
      <c r="T2670" s="19"/>
      <c r="U2670" s="19"/>
      <c r="V2670" s="19" t="n">
        <v>320</v>
      </c>
      <c r="W2670" s="19"/>
      <c r="X2670" s="19" t="n">
        <v>9</v>
      </c>
      <c r="Y2670" s="19"/>
      <c r="Z2670" s="19"/>
      <c r="AA2670" s="19"/>
      <c r="AB2670" s="19"/>
      <c r="AC2670" s="19" t="n">
        <v>48</v>
      </c>
      <c r="AD2670" s="19"/>
      <c r="AE2670" s="19"/>
      <c r="AF2670" s="19"/>
      <c r="AG2670" s="19"/>
      <c r="AH2670" s="19" t="n">
        <v>342</v>
      </c>
      <c r="AI2670" s="19"/>
      <c r="AJ2670" s="19" t="n">
        <v>19</v>
      </c>
      <c r="AK2670" s="19"/>
      <c r="AL2670" s="19" t="n">
        <v>62</v>
      </c>
      <c r="AM2670" s="19"/>
      <c r="AN2670" s="19"/>
      <c r="AO2670" s="19" t="n">
        <v>85</v>
      </c>
      <c r="AP2670" s="19" t="n">
        <v>147</v>
      </c>
      <c r="AQ2670" s="19" t="n">
        <v>115</v>
      </c>
      <c r="AR2670" s="19"/>
      <c r="AS2670" s="20" t="str">
        <f aca="false">HYPERLINK("http://www.openstreetmap.org/?mlat=36.3215&amp;mlon=43.126&amp;zoom=12#map=12/36.3215/43.126","Maplink1")</f>
        <v>Maplink1</v>
      </c>
      <c r="AT2670" s="20" t="str">
        <f aca="false">HYPERLINK("https://www.google.iq/maps/search/+36.3215,43.126/@36.3215,43.126,14z?hl=en","Maplink2")</f>
        <v>Maplink2</v>
      </c>
      <c r="AU2670" s="20" t="str">
        <f aca="false">HYPERLINK("http://www.bing.com/maps/?lvl=14&amp;sty=h&amp;cp=36.3215~43.126&amp;sp=point.36.3215_43.126","Maplink3")</f>
        <v>Maplink3</v>
      </c>
    </row>
    <row r="2671" customFormat="false" ht="15" hidden="false" customHeight="true" outlineLevel="0" collapsed="false">
      <c r="A2671" s="15" t="n">
        <v>24205</v>
      </c>
      <c r="B2671" s="16" t="s">
        <v>27</v>
      </c>
      <c r="C2671" s="16" t="s">
        <v>5015</v>
      </c>
      <c r="D2671" s="16" t="s">
        <v>5144</v>
      </c>
      <c r="E2671" s="17" t="s">
        <v>5145</v>
      </c>
      <c r="F2671" s="16" t="n">
        <v>36.487084</v>
      </c>
      <c r="G2671" s="16" t="n">
        <v>43.234304</v>
      </c>
      <c r="H2671" s="18" t="n">
        <v>9</v>
      </c>
      <c r="I2671" s="18" t="n">
        <v>54</v>
      </c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 t="n">
        <v>9</v>
      </c>
      <c r="W2671" s="19"/>
      <c r="X2671" s="19"/>
      <c r="Y2671" s="19"/>
      <c r="Z2671" s="19"/>
      <c r="AA2671" s="19"/>
      <c r="AB2671" s="19"/>
      <c r="AC2671" s="19" t="n">
        <v>9</v>
      </c>
      <c r="AD2671" s="19"/>
      <c r="AE2671" s="19"/>
      <c r="AF2671" s="19"/>
      <c r="AG2671" s="19"/>
      <c r="AH2671" s="19"/>
      <c r="AI2671" s="19"/>
      <c r="AJ2671" s="19"/>
      <c r="AK2671" s="19"/>
      <c r="AL2671" s="19"/>
      <c r="AM2671" s="19"/>
      <c r="AN2671" s="19"/>
      <c r="AO2671" s="19"/>
      <c r="AP2671" s="19"/>
      <c r="AQ2671" s="19"/>
      <c r="AR2671" s="19" t="n">
        <v>9</v>
      </c>
      <c r="AS2671" s="20" t="str">
        <f aca="false">HYPERLINK("http://www.openstreetmap.org/?mlat=36.4871&amp;mlon=43.2343&amp;zoom=12#map=12/36.4871/43.2343","Maplink1")</f>
        <v>Maplink1</v>
      </c>
      <c r="AT2671" s="20" t="str">
        <f aca="false">HYPERLINK("https://www.google.iq/maps/search/+36.4871,43.2343/@36.4871,43.2343,14z?hl=en","Maplink2")</f>
        <v>Maplink2</v>
      </c>
      <c r="AU2671" s="20" t="str">
        <f aca="false">HYPERLINK("http://www.bing.com/maps/?lvl=14&amp;sty=h&amp;cp=36.4871~43.2343&amp;sp=point.36.4871_43.2343","Maplink3")</f>
        <v>Maplink3</v>
      </c>
    </row>
    <row r="2672" customFormat="false" ht="15" hidden="false" customHeight="true" outlineLevel="0" collapsed="false">
      <c r="A2672" s="15" t="n">
        <v>28436</v>
      </c>
      <c r="B2672" s="16" t="s">
        <v>27</v>
      </c>
      <c r="C2672" s="16" t="s">
        <v>5015</v>
      </c>
      <c r="D2672" s="16" t="s">
        <v>5146</v>
      </c>
      <c r="E2672" s="17" t="s">
        <v>5147</v>
      </c>
      <c r="F2672" s="16" t="n">
        <v>36.419781</v>
      </c>
      <c r="G2672" s="16" t="n">
        <v>43.466994</v>
      </c>
      <c r="H2672" s="18" t="n">
        <v>20</v>
      </c>
      <c r="I2672" s="18" t="n">
        <v>120</v>
      </c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 t="n">
        <v>20</v>
      </c>
      <c r="W2672" s="19"/>
      <c r="X2672" s="19"/>
      <c r="Y2672" s="19"/>
      <c r="Z2672" s="19"/>
      <c r="AA2672" s="19"/>
      <c r="AB2672" s="19"/>
      <c r="AC2672" s="19" t="n">
        <v>20</v>
      </c>
      <c r="AD2672" s="19"/>
      <c r="AE2672" s="19"/>
      <c r="AF2672" s="19"/>
      <c r="AG2672" s="19"/>
      <c r="AH2672" s="19"/>
      <c r="AI2672" s="19"/>
      <c r="AJ2672" s="19"/>
      <c r="AK2672" s="19"/>
      <c r="AL2672" s="19"/>
      <c r="AM2672" s="19" t="n">
        <v>20</v>
      </c>
      <c r="AN2672" s="19"/>
      <c r="AO2672" s="19"/>
      <c r="AP2672" s="19"/>
      <c r="AQ2672" s="19"/>
      <c r="AR2672" s="19"/>
      <c r="AS2672" s="20" t="str">
        <f aca="false">HYPERLINK("http://www.openstreetmap.org/?mlat=36.4198&amp;mlon=43.467&amp;zoom=12#map=12/36.4198/43.467","Maplink1")</f>
        <v>Maplink1</v>
      </c>
      <c r="AT2672" s="20" t="str">
        <f aca="false">HYPERLINK("https://www.google.iq/maps/search/+36.4198,43.467/@36.4198,43.467,14z?hl=en","Maplink2")</f>
        <v>Maplink2</v>
      </c>
      <c r="AU2672" s="20" t="str">
        <f aca="false">HYPERLINK("http://www.bing.com/maps/?lvl=14&amp;sty=h&amp;cp=36.4198~43.467&amp;sp=point.36.4198_43.467","Maplink3")</f>
        <v>Maplink3</v>
      </c>
    </row>
    <row r="2673" customFormat="false" ht="15" hidden="false" customHeight="true" outlineLevel="0" collapsed="false">
      <c r="A2673" s="15" t="n">
        <v>17990</v>
      </c>
      <c r="B2673" s="16" t="s">
        <v>27</v>
      </c>
      <c r="C2673" s="16" t="s">
        <v>5015</v>
      </c>
      <c r="D2673" s="16" t="s">
        <v>5015</v>
      </c>
      <c r="E2673" s="17" t="s">
        <v>5148</v>
      </c>
      <c r="F2673" s="16" t="n">
        <v>36.340054</v>
      </c>
      <c r="G2673" s="16" t="n">
        <v>43.130055</v>
      </c>
      <c r="H2673" s="18" t="n">
        <v>778</v>
      </c>
      <c r="I2673" s="18" t="n">
        <v>4668</v>
      </c>
      <c r="J2673" s="19" t="n">
        <v>133</v>
      </c>
      <c r="K2673" s="19"/>
      <c r="L2673" s="19"/>
      <c r="M2673" s="19"/>
      <c r="N2673" s="19"/>
      <c r="O2673" s="19"/>
      <c r="P2673" s="19"/>
      <c r="Q2673" s="19"/>
      <c r="R2673" s="19" t="n">
        <v>70</v>
      </c>
      <c r="S2673" s="19"/>
      <c r="T2673" s="19"/>
      <c r="U2673" s="19"/>
      <c r="V2673" s="19" t="n">
        <v>565</v>
      </c>
      <c r="W2673" s="19"/>
      <c r="X2673" s="19" t="n">
        <v>10</v>
      </c>
      <c r="Y2673" s="19"/>
      <c r="Z2673" s="19"/>
      <c r="AA2673" s="19"/>
      <c r="AB2673" s="19"/>
      <c r="AC2673" s="19"/>
      <c r="AD2673" s="19"/>
      <c r="AE2673" s="19"/>
      <c r="AF2673" s="19"/>
      <c r="AG2673" s="19"/>
      <c r="AH2673" s="19"/>
      <c r="AI2673" s="19"/>
      <c r="AJ2673" s="19"/>
      <c r="AK2673" s="19" t="n">
        <v>778</v>
      </c>
      <c r="AL2673" s="19"/>
      <c r="AM2673" s="19"/>
      <c r="AN2673" s="19"/>
      <c r="AO2673" s="19"/>
      <c r="AP2673" s="19" t="n">
        <v>778</v>
      </c>
      <c r="AQ2673" s="19"/>
      <c r="AR2673" s="19"/>
      <c r="AS2673" s="20" t="str">
        <f aca="false">HYPERLINK("http://www.openstreetmap.org/?mlat=36.3401&amp;mlon=43.1301&amp;zoom=12#map=12/36.3401/43.1301","Maplink1")</f>
        <v>Maplink1</v>
      </c>
      <c r="AT2673" s="20" t="str">
        <f aca="false">HYPERLINK("https://www.google.iq/maps/search/+36.3401,43.1301/@36.3401,43.1301,14z?hl=en","Maplink2")</f>
        <v>Maplink2</v>
      </c>
      <c r="AU2673" s="20" t="str">
        <f aca="false">HYPERLINK("http://www.bing.com/maps/?lvl=14&amp;sty=h&amp;cp=36.3401~43.1301&amp;sp=point.36.3401_43.1301","Maplink3")</f>
        <v>Maplink3</v>
      </c>
    </row>
    <row r="2674" customFormat="false" ht="15" hidden="false" customHeight="true" outlineLevel="0" collapsed="false">
      <c r="A2674" s="15" t="n">
        <v>17471</v>
      </c>
      <c r="B2674" s="16" t="s">
        <v>27</v>
      </c>
      <c r="C2674" s="16" t="s">
        <v>5015</v>
      </c>
      <c r="D2674" s="16" t="s">
        <v>5149</v>
      </c>
      <c r="E2674" s="17" t="s">
        <v>5150</v>
      </c>
      <c r="F2674" s="16" t="n">
        <v>36.332752</v>
      </c>
      <c r="G2674" s="16" t="n">
        <v>43.107658</v>
      </c>
      <c r="H2674" s="18" t="n">
        <v>100</v>
      </c>
      <c r="I2674" s="18" t="n">
        <v>600</v>
      </c>
      <c r="J2674" s="19" t="n">
        <v>18</v>
      </c>
      <c r="K2674" s="19"/>
      <c r="L2674" s="19"/>
      <c r="M2674" s="19"/>
      <c r="N2674" s="19"/>
      <c r="O2674" s="19"/>
      <c r="P2674" s="19"/>
      <c r="Q2674" s="19"/>
      <c r="R2674" s="19" t="n">
        <v>9</v>
      </c>
      <c r="S2674" s="19"/>
      <c r="T2674" s="19"/>
      <c r="U2674" s="19"/>
      <c r="V2674" s="19" t="n">
        <v>73</v>
      </c>
      <c r="W2674" s="19"/>
      <c r="X2674" s="19"/>
      <c r="Y2674" s="19"/>
      <c r="Z2674" s="19"/>
      <c r="AA2674" s="19"/>
      <c r="AB2674" s="19"/>
      <c r="AC2674" s="19" t="n">
        <v>30</v>
      </c>
      <c r="AD2674" s="19"/>
      <c r="AE2674" s="19"/>
      <c r="AF2674" s="19"/>
      <c r="AG2674" s="19"/>
      <c r="AH2674" s="19" t="n">
        <v>61</v>
      </c>
      <c r="AI2674" s="19" t="n">
        <v>5</v>
      </c>
      <c r="AJ2674" s="19" t="n">
        <v>4</v>
      </c>
      <c r="AK2674" s="19"/>
      <c r="AL2674" s="19" t="n">
        <v>5</v>
      </c>
      <c r="AM2674" s="19"/>
      <c r="AN2674" s="19"/>
      <c r="AO2674" s="19" t="n">
        <v>23</v>
      </c>
      <c r="AP2674" s="19" t="n">
        <v>57</v>
      </c>
      <c r="AQ2674" s="19" t="n">
        <v>15</v>
      </c>
      <c r="AR2674" s="19"/>
      <c r="AS2674" s="20" t="str">
        <f aca="false">HYPERLINK("http://www.openstreetmap.org/?mlat=36.3328&amp;mlon=43.1077&amp;zoom=12#map=12/36.3328/43.1077","Maplink1")</f>
        <v>Maplink1</v>
      </c>
      <c r="AT2674" s="20" t="str">
        <f aca="false">HYPERLINK("https://www.google.iq/maps/search/+36.3328,43.1077/@36.3328,43.1077,14z?hl=en","Maplink2")</f>
        <v>Maplink2</v>
      </c>
      <c r="AU2674" s="20" t="str">
        <f aca="false">HYPERLINK("http://www.bing.com/maps/?lvl=14&amp;sty=h&amp;cp=36.3328~43.1077&amp;sp=point.36.3328_43.1077","Maplink3")</f>
        <v>Maplink3</v>
      </c>
    </row>
    <row r="2675" customFormat="false" ht="15" hidden="false" customHeight="true" outlineLevel="0" collapsed="false">
      <c r="A2675" s="15" t="n">
        <v>22450</v>
      </c>
      <c r="B2675" s="16" t="s">
        <v>27</v>
      </c>
      <c r="C2675" s="16" t="s">
        <v>5015</v>
      </c>
      <c r="D2675" s="16" t="s">
        <v>5151</v>
      </c>
      <c r="E2675" s="17" t="s">
        <v>5152</v>
      </c>
      <c r="F2675" s="16" t="n">
        <v>36.2643</v>
      </c>
      <c r="G2675" s="16" t="n">
        <v>42.7064</v>
      </c>
      <c r="H2675" s="18" t="n">
        <v>210</v>
      </c>
      <c r="I2675" s="18" t="n">
        <v>1260</v>
      </c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 t="n">
        <v>210</v>
      </c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9"/>
      <c r="AH2675" s="19"/>
      <c r="AI2675" s="19"/>
      <c r="AJ2675" s="19"/>
      <c r="AK2675" s="19" t="n">
        <v>210</v>
      </c>
      <c r="AL2675" s="19"/>
      <c r="AM2675" s="19"/>
      <c r="AN2675" s="19"/>
      <c r="AO2675" s="19"/>
      <c r="AP2675" s="19" t="n">
        <v>210</v>
      </c>
      <c r="AQ2675" s="19"/>
      <c r="AR2675" s="19"/>
      <c r="AS2675" s="20" t="str">
        <f aca="false">HYPERLINK("http://www.openstreetmap.org/?mlat=36.2643&amp;mlon=42.7064&amp;zoom=12#map=12/36.2643/42.7064","Maplink1")</f>
        <v>Maplink1</v>
      </c>
      <c r="AT2675" s="20" t="str">
        <f aca="false">HYPERLINK("https://www.google.iq/maps/search/+36.2643,42.7064/@36.2643,42.7064,14z?hl=en","Maplink2")</f>
        <v>Maplink2</v>
      </c>
      <c r="AU2675" s="20" t="str">
        <f aca="false">HYPERLINK("http://www.bing.com/maps/?lvl=14&amp;sty=h&amp;cp=36.2643~42.7064&amp;sp=point.36.2643_42.7064","Maplink3")</f>
        <v>Maplink3</v>
      </c>
    </row>
    <row r="2676" customFormat="false" ht="15" hidden="false" customHeight="true" outlineLevel="0" collapsed="false">
      <c r="A2676" s="15" t="n">
        <v>17414</v>
      </c>
      <c r="B2676" s="16" t="s">
        <v>27</v>
      </c>
      <c r="C2676" s="16" t="s">
        <v>5015</v>
      </c>
      <c r="D2676" s="16" t="s">
        <v>5153</v>
      </c>
      <c r="E2676" s="17" t="s">
        <v>5154</v>
      </c>
      <c r="F2676" s="16" t="n">
        <v>36.32</v>
      </c>
      <c r="G2676" s="16" t="n">
        <v>42.83</v>
      </c>
      <c r="H2676" s="18" t="n">
        <v>11</v>
      </c>
      <c r="I2676" s="18" t="n">
        <v>66</v>
      </c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 t="n">
        <v>11</v>
      </c>
      <c r="W2676" s="19"/>
      <c r="X2676" s="19"/>
      <c r="Y2676" s="19"/>
      <c r="Z2676" s="19"/>
      <c r="AA2676" s="19"/>
      <c r="AB2676" s="19"/>
      <c r="AC2676" s="19" t="n">
        <v>11</v>
      </c>
      <c r="AD2676" s="19"/>
      <c r="AE2676" s="19"/>
      <c r="AF2676" s="19"/>
      <c r="AG2676" s="19"/>
      <c r="AH2676" s="19"/>
      <c r="AI2676" s="19"/>
      <c r="AJ2676" s="19"/>
      <c r="AK2676" s="19"/>
      <c r="AL2676" s="19"/>
      <c r="AM2676" s="19"/>
      <c r="AN2676" s="19"/>
      <c r="AO2676" s="19" t="n">
        <v>11</v>
      </c>
      <c r="AP2676" s="19"/>
      <c r="AQ2676" s="19"/>
      <c r="AR2676" s="19"/>
      <c r="AS2676" s="20" t="str">
        <f aca="false">HYPERLINK("http://www.openstreetmap.org/?mlat=36.32&amp;mlon=42.83&amp;zoom=12#map=12/36.32/42.83","Maplink1")</f>
        <v>Maplink1</v>
      </c>
      <c r="AT2676" s="20" t="str">
        <f aca="false">HYPERLINK("https://www.google.iq/maps/search/+36.32,42.83/@36.32,42.83,14z?hl=en","Maplink2")</f>
        <v>Maplink2</v>
      </c>
      <c r="AU2676" s="20" t="str">
        <f aca="false">HYPERLINK("http://www.bing.com/maps/?lvl=14&amp;sty=h&amp;cp=36.32~42.83&amp;sp=point.36.32_42.83","Maplink3")</f>
        <v>Maplink3</v>
      </c>
    </row>
    <row r="2677" customFormat="false" ht="15" hidden="false" customHeight="true" outlineLevel="0" collapsed="false">
      <c r="A2677" s="15" t="n">
        <v>18332</v>
      </c>
      <c r="B2677" s="16" t="s">
        <v>27</v>
      </c>
      <c r="C2677" s="16" t="s">
        <v>5015</v>
      </c>
      <c r="D2677" s="16" t="s">
        <v>5155</v>
      </c>
      <c r="E2677" s="17" t="s">
        <v>5156</v>
      </c>
      <c r="F2677" s="16" t="n">
        <v>36.346417</v>
      </c>
      <c r="G2677" s="16" t="n">
        <v>43.164434</v>
      </c>
      <c r="H2677" s="18" t="n">
        <v>45</v>
      </c>
      <c r="I2677" s="18" t="n">
        <v>270</v>
      </c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 t="n">
        <v>45</v>
      </c>
      <c r="W2677" s="19"/>
      <c r="X2677" s="19"/>
      <c r="Y2677" s="19"/>
      <c r="Z2677" s="19"/>
      <c r="AA2677" s="19"/>
      <c r="AB2677" s="19"/>
      <c r="AC2677" s="19" t="n">
        <v>15</v>
      </c>
      <c r="AD2677" s="19"/>
      <c r="AE2677" s="19"/>
      <c r="AF2677" s="19"/>
      <c r="AG2677" s="19"/>
      <c r="AH2677" s="19" t="n">
        <v>30</v>
      </c>
      <c r="AI2677" s="19"/>
      <c r="AJ2677" s="19"/>
      <c r="AK2677" s="19"/>
      <c r="AL2677" s="19"/>
      <c r="AM2677" s="19"/>
      <c r="AN2677" s="19"/>
      <c r="AO2677" s="19"/>
      <c r="AP2677" s="19" t="n">
        <v>45</v>
      </c>
      <c r="AQ2677" s="19"/>
      <c r="AR2677" s="19"/>
      <c r="AS2677" s="20" t="str">
        <f aca="false">HYPERLINK("http://www.openstreetmap.org/?mlat=36.3464&amp;mlon=43.1644&amp;zoom=12#map=12/36.3464/43.1644","Maplink1")</f>
        <v>Maplink1</v>
      </c>
      <c r="AT2677" s="20" t="str">
        <f aca="false">HYPERLINK("https://www.google.iq/maps/search/+36.3464,43.1644/@36.3464,43.1644,14z?hl=en","Maplink2")</f>
        <v>Maplink2</v>
      </c>
      <c r="AU2677" s="20" t="str">
        <f aca="false">HYPERLINK("http://www.bing.com/maps/?lvl=14&amp;sty=h&amp;cp=36.3464~43.1644&amp;sp=point.36.3464_43.1644","Maplink3")</f>
        <v>Maplink3</v>
      </c>
    </row>
    <row r="2678" customFormat="false" ht="15" hidden="false" customHeight="true" outlineLevel="0" collapsed="false">
      <c r="A2678" s="15" t="n">
        <v>21606</v>
      </c>
      <c r="B2678" s="16" t="s">
        <v>27</v>
      </c>
      <c r="C2678" s="16" t="s">
        <v>5015</v>
      </c>
      <c r="D2678" s="16" t="s">
        <v>5157</v>
      </c>
      <c r="E2678" s="17" t="s">
        <v>5158</v>
      </c>
      <c r="F2678" s="16" t="n">
        <v>36.4788</v>
      </c>
      <c r="G2678" s="16" t="n">
        <v>43.2742</v>
      </c>
      <c r="H2678" s="18" t="n">
        <v>10</v>
      </c>
      <c r="I2678" s="18" t="n">
        <v>60</v>
      </c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 t="n">
        <v>10</v>
      </c>
      <c r="W2678" s="19"/>
      <c r="X2678" s="19"/>
      <c r="Y2678" s="19"/>
      <c r="Z2678" s="19"/>
      <c r="AA2678" s="19"/>
      <c r="AB2678" s="19"/>
      <c r="AC2678" s="19" t="n">
        <v>10</v>
      </c>
      <c r="AD2678" s="19"/>
      <c r="AE2678" s="19"/>
      <c r="AF2678" s="19"/>
      <c r="AG2678" s="19"/>
      <c r="AH2678" s="19"/>
      <c r="AI2678" s="19"/>
      <c r="AJ2678" s="19"/>
      <c r="AK2678" s="19"/>
      <c r="AL2678" s="19"/>
      <c r="AM2678" s="19"/>
      <c r="AN2678" s="19"/>
      <c r="AO2678" s="19"/>
      <c r="AP2678" s="19"/>
      <c r="AQ2678" s="19"/>
      <c r="AR2678" s="19" t="n">
        <v>10</v>
      </c>
      <c r="AS2678" s="20" t="str">
        <f aca="false">HYPERLINK("http://www.openstreetmap.org/?mlat=36.4788&amp;mlon=43.2742&amp;zoom=12#map=12/36.4788/43.2742","Maplink1")</f>
        <v>Maplink1</v>
      </c>
      <c r="AT2678" s="20" t="str">
        <f aca="false">HYPERLINK("https://www.google.iq/maps/search/+36.4788,43.2742/@36.4788,43.2742,14z?hl=en","Maplink2")</f>
        <v>Maplink2</v>
      </c>
      <c r="AU2678" s="20" t="str">
        <f aca="false">HYPERLINK("http://www.bing.com/maps/?lvl=14&amp;sty=h&amp;cp=36.4788~43.2742&amp;sp=point.36.4788_43.2742","Maplink3")</f>
        <v>Maplink3</v>
      </c>
    </row>
    <row r="2679" customFormat="false" ht="15" hidden="false" customHeight="true" outlineLevel="0" collapsed="false">
      <c r="A2679" s="15" t="n">
        <v>29670</v>
      </c>
      <c r="B2679" s="16" t="s">
        <v>27</v>
      </c>
      <c r="C2679" s="16" t="s">
        <v>5015</v>
      </c>
      <c r="D2679" s="16" t="s">
        <v>5159</v>
      </c>
      <c r="E2679" s="17" t="s">
        <v>5160</v>
      </c>
      <c r="F2679" s="16" t="n">
        <v>35.7657568</v>
      </c>
      <c r="G2679" s="16" t="n">
        <v>43.2669712</v>
      </c>
      <c r="H2679" s="18" t="n">
        <v>3590</v>
      </c>
      <c r="I2679" s="18" t="n">
        <v>21540</v>
      </c>
      <c r="J2679" s="19"/>
      <c r="K2679" s="19"/>
      <c r="L2679" s="19"/>
      <c r="M2679" s="19"/>
      <c r="N2679" s="19"/>
      <c r="O2679" s="19"/>
      <c r="P2679" s="19"/>
      <c r="Q2679" s="19"/>
      <c r="R2679" s="19" t="n">
        <v>249</v>
      </c>
      <c r="S2679" s="19"/>
      <c r="T2679" s="19"/>
      <c r="U2679" s="19"/>
      <c r="V2679" s="19" t="n">
        <v>3141</v>
      </c>
      <c r="W2679" s="19"/>
      <c r="X2679" s="19" t="n">
        <v>200</v>
      </c>
      <c r="Y2679" s="19"/>
      <c r="Z2679" s="19"/>
      <c r="AA2679" s="19"/>
      <c r="AB2679" s="19" t="n">
        <v>3590</v>
      </c>
      <c r="AC2679" s="19"/>
      <c r="AD2679" s="19"/>
      <c r="AE2679" s="19"/>
      <c r="AF2679" s="19"/>
      <c r="AG2679" s="19"/>
      <c r="AH2679" s="19"/>
      <c r="AI2679" s="19"/>
      <c r="AJ2679" s="19"/>
      <c r="AK2679" s="19"/>
      <c r="AL2679" s="19"/>
      <c r="AM2679" s="19"/>
      <c r="AN2679" s="19"/>
      <c r="AO2679" s="19"/>
      <c r="AP2679" s="19"/>
      <c r="AQ2679" s="19"/>
      <c r="AR2679" s="19" t="n">
        <v>3590</v>
      </c>
      <c r="AS2679" s="20" t="str">
        <f aca="false">HYPERLINK("http://www.openstreetmap.org/?mlat=35.7658&amp;mlon=43.267&amp;zoom=12#map=12/35.7658/43.267","Maplink1")</f>
        <v>Maplink1</v>
      </c>
      <c r="AT2679" s="20" t="str">
        <f aca="false">HYPERLINK("https://www.google.iq/maps/search/+35.7658,43.267/@35.7658,43.267,14z?hl=en","Maplink2")</f>
        <v>Maplink2</v>
      </c>
      <c r="AU2679" s="20" t="str">
        <f aca="false">HYPERLINK("http://www.bing.com/maps/?lvl=14&amp;sty=h&amp;cp=35.7658~43.267&amp;sp=point.35.7658_43.267","Maplink3")</f>
        <v>Maplink3</v>
      </c>
    </row>
    <row r="2680" customFormat="false" ht="15" hidden="false" customHeight="true" outlineLevel="0" collapsed="false">
      <c r="A2680" s="15" t="n">
        <v>29669</v>
      </c>
      <c r="B2680" s="16" t="s">
        <v>27</v>
      </c>
      <c r="C2680" s="16" t="s">
        <v>5015</v>
      </c>
      <c r="D2680" s="16" t="s">
        <v>5161</v>
      </c>
      <c r="E2680" s="17" t="s">
        <v>5162</v>
      </c>
      <c r="F2680" s="16" t="n">
        <v>35.744599</v>
      </c>
      <c r="G2680" s="16" t="n">
        <v>43.272448</v>
      </c>
      <c r="H2680" s="18" t="n">
        <v>1428</v>
      </c>
      <c r="I2680" s="18" t="n">
        <v>8568</v>
      </c>
      <c r="J2680" s="19"/>
      <c r="K2680" s="19"/>
      <c r="L2680" s="19"/>
      <c r="M2680" s="19"/>
      <c r="N2680" s="19"/>
      <c r="O2680" s="19"/>
      <c r="P2680" s="19"/>
      <c r="Q2680" s="19"/>
      <c r="R2680" s="19" t="n">
        <v>71</v>
      </c>
      <c r="S2680" s="19"/>
      <c r="T2680" s="19"/>
      <c r="U2680" s="19"/>
      <c r="V2680" s="19" t="n">
        <v>1235</v>
      </c>
      <c r="W2680" s="19"/>
      <c r="X2680" s="19" t="n">
        <v>122</v>
      </c>
      <c r="Y2680" s="19"/>
      <c r="Z2680" s="19"/>
      <c r="AA2680" s="19"/>
      <c r="AB2680" s="19" t="n">
        <v>1428</v>
      </c>
      <c r="AC2680" s="19"/>
      <c r="AD2680" s="19"/>
      <c r="AE2680" s="19"/>
      <c r="AF2680" s="19"/>
      <c r="AG2680" s="19"/>
      <c r="AH2680" s="19"/>
      <c r="AI2680" s="19"/>
      <c r="AJ2680" s="19"/>
      <c r="AK2680" s="19"/>
      <c r="AL2680" s="19"/>
      <c r="AM2680" s="19"/>
      <c r="AN2680" s="19"/>
      <c r="AO2680" s="19"/>
      <c r="AP2680" s="19"/>
      <c r="AQ2680" s="19"/>
      <c r="AR2680" s="19" t="n">
        <v>1428</v>
      </c>
      <c r="AS2680" s="20" t="str">
        <f aca="false">HYPERLINK("http://www.openstreetmap.org/?mlat=35.7446&amp;mlon=43.2724&amp;zoom=12#map=12/35.7446/43.2724","Maplink1")</f>
        <v>Maplink1</v>
      </c>
      <c r="AT2680" s="20" t="str">
        <f aca="false">HYPERLINK("https://www.google.iq/maps/search/+35.7446,43.2724/@35.7446,43.2724,14z?hl=en","Maplink2")</f>
        <v>Maplink2</v>
      </c>
      <c r="AU2680" s="20" t="str">
        <f aca="false">HYPERLINK("http://www.bing.com/maps/?lvl=14&amp;sty=h&amp;cp=35.7446~43.2724&amp;sp=point.35.7446_43.2724","Maplink3")</f>
        <v>Maplink3</v>
      </c>
    </row>
    <row r="2681" customFormat="false" ht="15" hidden="false" customHeight="true" outlineLevel="0" collapsed="false">
      <c r="A2681" s="15" t="n">
        <v>29682</v>
      </c>
      <c r="B2681" s="16" t="s">
        <v>27</v>
      </c>
      <c r="C2681" s="16" t="s">
        <v>5015</v>
      </c>
      <c r="D2681" s="16" t="s">
        <v>5163</v>
      </c>
      <c r="E2681" s="17" t="s">
        <v>5164</v>
      </c>
      <c r="F2681" s="16" t="n">
        <v>35.742803</v>
      </c>
      <c r="G2681" s="16" t="n">
        <v>43.268618</v>
      </c>
      <c r="H2681" s="18" t="n">
        <v>1987</v>
      </c>
      <c r="I2681" s="18" t="n">
        <v>11922</v>
      </c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 t="n">
        <v>1835</v>
      </c>
      <c r="W2681" s="19"/>
      <c r="X2681" s="19" t="n">
        <v>152</v>
      </c>
      <c r="Y2681" s="19"/>
      <c r="Z2681" s="19"/>
      <c r="AA2681" s="19"/>
      <c r="AB2681" s="19" t="n">
        <v>1987</v>
      </c>
      <c r="AC2681" s="19"/>
      <c r="AD2681" s="19"/>
      <c r="AE2681" s="19"/>
      <c r="AF2681" s="19"/>
      <c r="AG2681" s="19"/>
      <c r="AH2681" s="19"/>
      <c r="AI2681" s="19"/>
      <c r="AJ2681" s="19"/>
      <c r="AK2681" s="19"/>
      <c r="AL2681" s="19"/>
      <c r="AM2681" s="19"/>
      <c r="AN2681" s="19"/>
      <c r="AO2681" s="19"/>
      <c r="AP2681" s="19"/>
      <c r="AQ2681" s="19"/>
      <c r="AR2681" s="19" t="n">
        <v>1987</v>
      </c>
      <c r="AS2681" s="20" t="str">
        <f aca="false">HYPERLINK("http://www.openstreetmap.org/?mlat=35.7428&amp;mlon=43.2686&amp;zoom=12#map=12/35.7428/43.2686","Maplink1")</f>
        <v>Maplink1</v>
      </c>
      <c r="AT2681" s="20" t="str">
        <f aca="false">HYPERLINK("https://www.google.iq/maps/search/+35.7428,43.2686/@35.7428,43.2686,14z?hl=en","Maplink2")</f>
        <v>Maplink2</v>
      </c>
      <c r="AU2681" s="20" t="str">
        <f aca="false">HYPERLINK("http://www.bing.com/maps/?lvl=14&amp;sty=h&amp;cp=35.7428~43.2686&amp;sp=point.35.7428_43.2686","Maplink3")</f>
        <v>Maplink3</v>
      </c>
    </row>
    <row r="2682" customFormat="false" ht="15" hidden="false" customHeight="true" outlineLevel="0" collapsed="false">
      <c r="A2682" s="15" t="n">
        <v>29642</v>
      </c>
      <c r="B2682" s="16" t="s">
        <v>27</v>
      </c>
      <c r="C2682" s="16" t="s">
        <v>5015</v>
      </c>
      <c r="D2682" s="16" t="s">
        <v>5165</v>
      </c>
      <c r="E2682" s="17" t="s">
        <v>5166</v>
      </c>
      <c r="F2682" s="16" t="n">
        <v>35.747383</v>
      </c>
      <c r="G2682" s="16" t="n">
        <v>43.276431</v>
      </c>
      <c r="H2682" s="18" t="n">
        <v>1108</v>
      </c>
      <c r="I2682" s="18" t="n">
        <v>6648</v>
      </c>
      <c r="J2682" s="19"/>
      <c r="K2682" s="19"/>
      <c r="L2682" s="19"/>
      <c r="M2682" s="19"/>
      <c r="N2682" s="19"/>
      <c r="O2682" s="19"/>
      <c r="P2682" s="19"/>
      <c r="Q2682" s="19"/>
      <c r="R2682" s="19" t="n">
        <v>201</v>
      </c>
      <c r="S2682" s="19"/>
      <c r="T2682" s="19"/>
      <c r="U2682" s="19"/>
      <c r="V2682" s="19" t="n">
        <v>857</v>
      </c>
      <c r="W2682" s="19"/>
      <c r="X2682" s="19" t="n">
        <v>50</v>
      </c>
      <c r="Y2682" s="19"/>
      <c r="Z2682" s="19"/>
      <c r="AA2682" s="19"/>
      <c r="AB2682" s="19" t="n">
        <v>1108</v>
      </c>
      <c r="AC2682" s="19"/>
      <c r="AD2682" s="19"/>
      <c r="AE2682" s="19"/>
      <c r="AF2682" s="19"/>
      <c r="AG2682" s="19"/>
      <c r="AH2682" s="19"/>
      <c r="AI2682" s="19"/>
      <c r="AJ2682" s="19"/>
      <c r="AK2682" s="19"/>
      <c r="AL2682" s="19"/>
      <c r="AM2682" s="19"/>
      <c r="AN2682" s="19"/>
      <c r="AO2682" s="19"/>
      <c r="AP2682" s="19"/>
      <c r="AQ2682" s="19"/>
      <c r="AR2682" s="19" t="n">
        <v>1108</v>
      </c>
      <c r="AS2682" s="20" t="str">
        <f aca="false">HYPERLINK("http://www.openstreetmap.org/?mlat=35.7474&amp;mlon=43.2764&amp;zoom=12#map=12/35.7474/43.2764","Maplink1")</f>
        <v>Maplink1</v>
      </c>
      <c r="AT2682" s="20" t="str">
        <f aca="false">HYPERLINK("https://www.google.iq/maps/search/+35.7474,43.2764/@35.7474,43.2764,14z?hl=en","Maplink2")</f>
        <v>Maplink2</v>
      </c>
      <c r="AU2682" s="20" t="str">
        <f aca="false">HYPERLINK("http://www.bing.com/maps/?lvl=14&amp;sty=h&amp;cp=35.7474~43.2764&amp;sp=point.35.7474_43.2764","Maplink3")</f>
        <v>Maplink3</v>
      </c>
    </row>
    <row r="2683" customFormat="false" ht="15" hidden="false" customHeight="true" outlineLevel="0" collapsed="false">
      <c r="A2683" s="15" t="n">
        <v>17416</v>
      </c>
      <c r="B2683" s="16" t="s">
        <v>27</v>
      </c>
      <c r="C2683" s="16" t="s">
        <v>5015</v>
      </c>
      <c r="D2683" s="16" t="s">
        <v>5167</v>
      </c>
      <c r="E2683" s="17" t="s">
        <v>5168</v>
      </c>
      <c r="F2683" s="16" t="n">
        <v>36.326645</v>
      </c>
      <c r="G2683" s="16" t="n">
        <v>43.073414</v>
      </c>
      <c r="H2683" s="18" t="n">
        <v>250</v>
      </c>
      <c r="I2683" s="18" t="n">
        <v>1500</v>
      </c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 t="n">
        <v>250</v>
      </c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9"/>
      <c r="AH2683" s="19"/>
      <c r="AI2683" s="19"/>
      <c r="AJ2683" s="19"/>
      <c r="AK2683" s="19" t="n">
        <v>250</v>
      </c>
      <c r="AL2683" s="19"/>
      <c r="AM2683" s="19"/>
      <c r="AN2683" s="19"/>
      <c r="AO2683" s="19"/>
      <c r="AP2683" s="19" t="n">
        <v>250</v>
      </c>
      <c r="AQ2683" s="19"/>
      <c r="AR2683" s="19"/>
      <c r="AS2683" s="20" t="str">
        <f aca="false">HYPERLINK("http://www.openstreetmap.org/?mlat=36.3266&amp;mlon=43.0734&amp;zoom=12#map=12/36.3266/43.0734","Maplink1")</f>
        <v>Maplink1</v>
      </c>
      <c r="AT2683" s="20" t="str">
        <f aca="false">HYPERLINK("https://www.google.iq/maps/search/+36.3266,43.0734/@36.3266,43.0734,14z?hl=en","Maplink2")</f>
        <v>Maplink2</v>
      </c>
      <c r="AU2683" s="20" t="str">
        <f aca="false">HYPERLINK("http://www.bing.com/maps/?lvl=14&amp;sty=h&amp;cp=36.3266~43.0734&amp;sp=point.36.3266_43.0734","Maplink3")</f>
        <v>Maplink3</v>
      </c>
    </row>
    <row r="2684" customFormat="false" ht="15" hidden="false" customHeight="true" outlineLevel="0" collapsed="false">
      <c r="A2684" s="15" t="n">
        <v>17411</v>
      </c>
      <c r="B2684" s="16" t="s">
        <v>27</v>
      </c>
      <c r="C2684" s="16" t="s">
        <v>5015</v>
      </c>
      <c r="D2684" s="16" t="s">
        <v>5169</v>
      </c>
      <c r="E2684" s="17" t="s">
        <v>5170</v>
      </c>
      <c r="F2684" s="16" t="n">
        <v>36.3857</v>
      </c>
      <c r="G2684" s="16" t="n">
        <v>42.8896</v>
      </c>
      <c r="H2684" s="18" t="n">
        <v>15</v>
      </c>
      <c r="I2684" s="18" t="n">
        <v>90</v>
      </c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 t="n">
        <v>15</v>
      </c>
      <c r="W2684" s="19"/>
      <c r="X2684" s="19"/>
      <c r="Y2684" s="19"/>
      <c r="Z2684" s="19"/>
      <c r="AA2684" s="19"/>
      <c r="AB2684" s="19"/>
      <c r="AC2684" s="19" t="n">
        <v>5</v>
      </c>
      <c r="AD2684" s="19"/>
      <c r="AE2684" s="19"/>
      <c r="AF2684" s="19"/>
      <c r="AG2684" s="19"/>
      <c r="AH2684" s="19"/>
      <c r="AI2684" s="19"/>
      <c r="AJ2684" s="19" t="n">
        <v>10</v>
      </c>
      <c r="AK2684" s="19"/>
      <c r="AL2684" s="19"/>
      <c r="AM2684" s="19"/>
      <c r="AN2684" s="19"/>
      <c r="AO2684" s="19" t="n">
        <v>15</v>
      </c>
      <c r="AP2684" s="19"/>
      <c r="AQ2684" s="19"/>
      <c r="AR2684" s="19"/>
      <c r="AS2684" s="20" t="str">
        <f aca="false">HYPERLINK("http://www.openstreetmap.org/?mlat=36.3857&amp;mlon=42.8896&amp;zoom=12#map=12/36.3857/42.8896","Maplink1")</f>
        <v>Maplink1</v>
      </c>
      <c r="AT2684" s="20" t="str">
        <f aca="false">HYPERLINK("https://www.google.iq/maps/search/+36.3857,42.8896/@36.3857,42.8896,14z?hl=en","Maplink2")</f>
        <v>Maplink2</v>
      </c>
      <c r="AU2684" s="20" t="str">
        <f aca="false">HYPERLINK("http://www.bing.com/maps/?lvl=14&amp;sty=h&amp;cp=36.3857~42.8896&amp;sp=point.36.3857_42.8896","Maplink3")</f>
        <v>Maplink3</v>
      </c>
    </row>
    <row r="2685" customFormat="false" ht="15" hidden="false" customHeight="true" outlineLevel="0" collapsed="false">
      <c r="A2685" s="15" t="n">
        <v>17410</v>
      </c>
      <c r="B2685" s="16" t="s">
        <v>27</v>
      </c>
      <c r="C2685" s="16" t="s">
        <v>5015</v>
      </c>
      <c r="D2685" s="16" t="s">
        <v>5171</v>
      </c>
      <c r="E2685" s="17" t="s">
        <v>5172</v>
      </c>
      <c r="F2685" s="16" t="n">
        <v>36.2795</v>
      </c>
      <c r="G2685" s="16" t="n">
        <v>42.9427</v>
      </c>
      <c r="H2685" s="18" t="n">
        <v>50</v>
      </c>
      <c r="I2685" s="18" t="n">
        <v>300</v>
      </c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 t="n">
        <v>50</v>
      </c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9"/>
      <c r="AH2685" s="19"/>
      <c r="AI2685" s="19"/>
      <c r="AJ2685" s="19" t="n">
        <v>15</v>
      </c>
      <c r="AK2685" s="19" t="n">
        <v>35</v>
      </c>
      <c r="AL2685" s="19"/>
      <c r="AM2685" s="19"/>
      <c r="AN2685" s="19"/>
      <c r="AO2685" s="19" t="n">
        <v>15</v>
      </c>
      <c r="AP2685" s="19" t="n">
        <v>15</v>
      </c>
      <c r="AQ2685" s="19" t="n">
        <v>20</v>
      </c>
      <c r="AR2685" s="19"/>
      <c r="AS2685" s="20" t="str">
        <f aca="false">HYPERLINK("http://www.openstreetmap.org/?mlat=36.2795&amp;mlon=42.9427&amp;zoom=12#map=12/36.2795/42.9427","Maplink1")</f>
        <v>Maplink1</v>
      </c>
      <c r="AT2685" s="20" t="str">
        <f aca="false">HYPERLINK("https://www.google.iq/maps/search/+36.2795,42.9427/@36.2795,42.9427,14z?hl=en","Maplink2")</f>
        <v>Maplink2</v>
      </c>
      <c r="AU2685" s="20" t="str">
        <f aca="false">HYPERLINK("http://www.bing.com/maps/?lvl=14&amp;sty=h&amp;cp=36.2795~42.9427&amp;sp=point.36.2795_42.9427","Maplink3")</f>
        <v>Maplink3</v>
      </c>
    </row>
    <row r="2686" customFormat="false" ht="15" hidden="false" customHeight="true" outlineLevel="0" collapsed="false">
      <c r="A2686" s="15" t="n">
        <v>27302</v>
      </c>
      <c r="B2686" s="16" t="s">
        <v>27</v>
      </c>
      <c r="C2686" s="16" t="s">
        <v>5015</v>
      </c>
      <c r="D2686" s="16" t="s">
        <v>5173</v>
      </c>
      <c r="E2686" s="17" t="s">
        <v>5174</v>
      </c>
      <c r="F2686" s="16" t="n">
        <v>36.154</v>
      </c>
      <c r="G2686" s="16" t="n">
        <v>43.0939</v>
      </c>
      <c r="H2686" s="18" t="n">
        <v>40</v>
      </c>
      <c r="I2686" s="18" t="n">
        <v>240</v>
      </c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 t="n">
        <v>22</v>
      </c>
      <c r="W2686" s="19"/>
      <c r="X2686" s="19" t="n">
        <v>18</v>
      </c>
      <c r="Y2686" s="19"/>
      <c r="Z2686" s="19"/>
      <c r="AA2686" s="19"/>
      <c r="AB2686" s="19"/>
      <c r="AC2686" s="19" t="n">
        <v>7</v>
      </c>
      <c r="AD2686" s="19"/>
      <c r="AE2686" s="19"/>
      <c r="AF2686" s="19"/>
      <c r="AG2686" s="19"/>
      <c r="AH2686" s="19"/>
      <c r="AI2686" s="19"/>
      <c r="AJ2686" s="19"/>
      <c r="AK2686" s="19" t="n">
        <v>33</v>
      </c>
      <c r="AL2686" s="19"/>
      <c r="AM2686" s="19"/>
      <c r="AN2686" s="19"/>
      <c r="AO2686" s="19"/>
      <c r="AP2686" s="19" t="n">
        <v>18</v>
      </c>
      <c r="AQ2686" s="19" t="n">
        <v>22</v>
      </c>
      <c r="AR2686" s="19"/>
      <c r="AS2686" s="20" t="str">
        <f aca="false">HYPERLINK("http://www.openstreetmap.org/?mlat=36.154&amp;mlon=43.0939&amp;zoom=12#map=12/36.154/43.0939","Maplink1")</f>
        <v>Maplink1</v>
      </c>
      <c r="AT2686" s="20" t="str">
        <f aca="false">HYPERLINK("https://www.google.iq/maps/search/+36.154,43.0939/@36.154,43.0939,14z?hl=en","Maplink2")</f>
        <v>Maplink2</v>
      </c>
      <c r="AU2686" s="20" t="str">
        <f aca="false">HYPERLINK("http://www.bing.com/maps/?lvl=14&amp;sty=h&amp;cp=36.154~43.0939&amp;sp=point.36.154_43.0939","Maplink3")</f>
        <v>Maplink3</v>
      </c>
    </row>
    <row r="2687" customFormat="false" ht="15" hidden="false" customHeight="true" outlineLevel="0" collapsed="false">
      <c r="A2687" s="15" t="n">
        <v>27381</v>
      </c>
      <c r="B2687" s="16" t="s">
        <v>27</v>
      </c>
      <c r="C2687" s="16" t="s">
        <v>5015</v>
      </c>
      <c r="D2687" s="16" t="s">
        <v>5175</v>
      </c>
      <c r="E2687" s="17" t="s">
        <v>5176</v>
      </c>
      <c r="F2687" s="16" t="n">
        <v>36.4039</v>
      </c>
      <c r="G2687" s="16" t="n">
        <v>43.073461</v>
      </c>
      <c r="H2687" s="18" t="n">
        <v>84</v>
      </c>
      <c r="I2687" s="18" t="n">
        <v>504</v>
      </c>
      <c r="J2687" s="19"/>
      <c r="K2687" s="19" t="n">
        <v>5</v>
      </c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 t="n">
        <v>79</v>
      </c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9"/>
      <c r="AH2687" s="19" t="n">
        <v>42</v>
      </c>
      <c r="AI2687" s="19"/>
      <c r="AJ2687" s="19" t="n">
        <v>42</v>
      </c>
      <c r="AK2687" s="19"/>
      <c r="AL2687" s="19"/>
      <c r="AM2687" s="19"/>
      <c r="AN2687" s="19"/>
      <c r="AO2687" s="19"/>
      <c r="AP2687" s="19" t="n">
        <v>79</v>
      </c>
      <c r="AQ2687" s="19" t="n">
        <v>5</v>
      </c>
      <c r="AR2687" s="19"/>
      <c r="AS2687" s="20" t="str">
        <f aca="false">HYPERLINK("http://www.openstreetmap.org/?mlat=36.4039&amp;mlon=43.0735&amp;zoom=12#map=12/36.4039/43.0735","Maplink1")</f>
        <v>Maplink1</v>
      </c>
      <c r="AT2687" s="20" t="str">
        <f aca="false">HYPERLINK("https://www.google.iq/maps/search/+36.4039,43.0735/@36.4039,43.0735,14z?hl=en","Maplink2")</f>
        <v>Maplink2</v>
      </c>
      <c r="AU2687" s="20" t="str">
        <f aca="false">HYPERLINK("http://www.bing.com/maps/?lvl=14&amp;sty=h&amp;cp=36.4039~43.0735&amp;sp=point.36.4039_43.0735","Maplink3")</f>
        <v>Maplink3</v>
      </c>
    </row>
    <row r="2688" customFormat="false" ht="15" hidden="false" customHeight="true" outlineLevel="0" collapsed="false">
      <c r="A2688" s="15" t="n">
        <v>17922</v>
      </c>
      <c r="B2688" s="16" t="s">
        <v>27</v>
      </c>
      <c r="C2688" s="16" t="s">
        <v>5015</v>
      </c>
      <c r="D2688" s="16" t="s">
        <v>5177</v>
      </c>
      <c r="E2688" s="17" t="s">
        <v>5178</v>
      </c>
      <c r="F2688" s="16" t="n">
        <v>35.992576</v>
      </c>
      <c r="G2688" s="16" t="n">
        <v>43.220659</v>
      </c>
      <c r="H2688" s="18" t="n">
        <v>70</v>
      </c>
      <c r="I2688" s="18" t="n">
        <v>420</v>
      </c>
      <c r="J2688" s="19"/>
      <c r="K2688" s="19"/>
      <c r="L2688" s="19"/>
      <c r="M2688" s="19"/>
      <c r="N2688" s="19"/>
      <c r="O2688" s="19"/>
      <c r="P2688" s="19"/>
      <c r="Q2688" s="19"/>
      <c r="R2688" s="19" t="n">
        <v>70</v>
      </c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9"/>
      <c r="AH2688" s="19"/>
      <c r="AI2688" s="19"/>
      <c r="AJ2688" s="19"/>
      <c r="AK2688" s="19" t="n">
        <v>70</v>
      </c>
      <c r="AL2688" s="19"/>
      <c r="AM2688" s="19"/>
      <c r="AN2688" s="19"/>
      <c r="AO2688" s="19"/>
      <c r="AP2688" s="19" t="n">
        <v>70</v>
      </c>
      <c r="AQ2688" s="19"/>
      <c r="AR2688" s="19"/>
      <c r="AS2688" s="20" t="str">
        <f aca="false">HYPERLINK("http://www.openstreetmap.org/?mlat=35.9926&amp;mlon=43.2207&amp;zoom=12#map=12/35.9926/43.2207","Maplink1")</f>
        <v>Maplink1</v>
      </c>
      <c r="AT2688" s="20" t="str">
        <f aca="false">HYPERLINK("https://www.google.iq/maps/search/+35.9926,43.2207/@35.9926,43.2207,14z?hl=en","Maplink2")</f>
        <v>Maplink2</v>
      </c>
      <c r="AU2688" s="20" t="str">
        <f aca="false">HYPERLINK("http://www.bing.com/maps/?lvl=14&amp;sty=h&amp;cp=35.9926~43.2207&amp;sp=point.35.9926_43.2207","Maplink3")</f>
        <v>Maplink3</v>
      </c>
    </row>
    <row r="2689" customFormat="false" ht="15" hidden="false" customHeight="true" outlineLevel="0" collapsed="false">
      <c r="A2689" s="15" t="n">
        <v>21258</v>
      </c>
      <c r="B2689" s="16" t="s">
        <v>27</v>
      </c>
      <c r="C2689" s="16" t="s">
        <v>5015</v>
      </c>
      <c r="D2689" s="16" t="s">
        <v>5179</v>
      </c>
      <c r="E2689" s="17" t="s">
        <v>5180</v>
      </c>
      <c r="F2689" s="16" t="n">
        <v>36.3131</v>
      </c>
      <c r="G2689" s="16" t="n">
        <v>43.0932</v>
      </c>
      <c r="H2689" s="18" t="n">
        <v>99</v>
      </c>
      <c r="I2689" s="18" t="n">
        <v>594</v>
      </c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 t="n">
        <v>86</v>
      </c>
      <c r="W2689" s="19"/>
      <c r="X2689" s="19" t="n">
        <v>13</v>
      </c>
      <c r="Y2689" s="19"/>
      <c r="Z2689" s="19"/>
      <c r="AA2689" s="19"/>
      <c r="AB2689" s="19"/>
      <c r="AC2689" s="19" t="n">
        <v>23</v>
      </c>
      <c r="AD2689" s="19"/>
      <c r="AE2689" s="19"/>
      <c r="AF2689" s="19"/>
      <c r="AG2689" s="19" t="n">
        <v>7</v>
      </c>
      <c r="AH2689" s="19" t="n">
        <v>33</v>
      </c>
      <c r="AI2689" s="19" t="n">
        <v>11</v>
      </c>
      <c r="AJ2689" s="19" t="n">
        <v>25</v>
      </c>
      <c r="AK2689" s="19"/>
      <c r="AL2689" s="19"/>
      <c r="AM2689" s="19"/>
      <c r="AN2689" s="19"/>
      <c r="AO2689" s="19" t="n">
        <v>38</v>
      </c>
      <c r="AP2689" s="19" t="n">
        <v>20</v>
      </c>
      <c r="AQ2689" s="19" t="n">
        <v>41</v>
      </c>
      <c r="AR2689" s="19"/>
      <c r="AS2689" s="20" t="str">
        <f aca="false">HYPERLINK("http://www.openstreetmap.org/?mlat=36.3131&amp;mlon=43.0932&amp;zoom=12#map=12/36.3131/43.0932","Maplink1")</f>
        <v>Maplink1</v>
      </c>
      <c r="AT2689" s="20" t="str">
        <f aca="false">HYPERLINK("https://www.google.iq/maps/search/+36.3131,43.0932/@36.3131,43.0932,14z?hl=en","Maplink2")</f>
        <v>Maplink2</v>
      </c>
      <c r="AU2689" s="20" t="str">
        <f aca="false">HYPERLINK("http://www.bing.com/maps/?lvl=14&amp;sty=h&amp;cp=36.3131~43.0932&amp;sp=point.36.3131_43.0932","Maplink3")</f>
        <v>Maplink3</v>
      </c>
    </row>
    <row r="2690" customFormat="false" ht="15" hidden="false" customHeight="true" outlineLevel="0" collapsed="false">
      <c r="A2690" s="15" t="n">
        <v>22431</v>
      </c>
      <c r="B2690" s="16" t="s">
        <v>27</v>
      </c>
      <c r="C2690" s="16" t="s">
        <v>5015</v>
      </c>
      <c r="D2690" s="16" t="s">
        <v>5181</v>
      </c>
      <c r="E2690" s="17" t="s">
        <v>5182</v>
      </c>
      <c r="F2690" s="16" t="n">
        <v>36.4462</v>
      </c>
      <c r="G2690" s="16" t="n">
        <v>43.2541</v>
      </c>
      <c r="H2690" s="18" t="n">
        <v>130</v>
      </c>
      <c r="I2690" s="18" t="n">
        <v>780</v>
      </c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 t="n">
        <v>130</v>
      </c>
      <c r="W2690" s="19"/>
      <c r="X2690" s="19"/>
      <c r="Y2690" s="19"/>
      <c r="Z2690" s="19"/>
      <c r="AA2690" s="19"/>
      <c r="AB2690" s="19"/>
      <c r="AC2690" s="19" t="n">
        <v>130</v>
      </c>
      <c r="AD2690" s="19"/>
      <c r="AE2690" s="19"/>
      <c r="AF2690" s="19"/>
      <c r="AG2690" s="19"/>
      <c r="AH2690" s="19"/>
      <c r="AI2690" s="19"/>
      <c r="AJ2690" s="19"/>
      <c r="AK2690" s="19"/>
      <c r="AL2690" s="19"/>
      <c r="AM2690" s="19"/>
      <c r="AN2690" s="19" t="n">
        <v>40</v>
      </c>
      <c r="AO2690" s="19"/>
      <c r="AP2690" s="19"/>
      <c r="AQ2690" s="19"/>
      <c r="AR2690" s="19" t="n">
        <v>90</v>
      </c>
      <c r="AS2690" s="20" t="str">
        <f aca="false">HYPERLINK("http://www.openstreetmap.org/?mlat=36.4462&amp;mlon=43.2541&amp;zoom=12#map=12/36.4462/43.2541","Maplink1")</f>
        <v>Maplink1</v>
      </c>
      <c r="AT2690" s="20" t="str">
        <f aca="false">HYPERLINK("https://www.google.iq/maps/search/+36.4462,43.2541/@36.4462,43.2541,14z?hl=en","Maplink2")</f>
        <v>Maplink2</v>
      </c>
      <c r="AU2690" s="20" t="str">
        <f aca="false">HYPERLINK("http://www.bing.com/maps/?lvl=14&amp;sty=h&amp;cp=36.4462~43.2541&amp;sp=point.36.4462_43.2541","Maplink3")</f>
        <v>Maplink3</v>
      </c>
    </row>
    <row r="2691" customFormat="false" ht="15" hidden="false" customHeight="true" outlineLevel="0" collapsed="false">
      <c r="A2691" s="15" t="n">
        <v>18368</v>
      </c>
      <c r="B2691" s="16" t="s">
        <v>27</v>
      </c>
      <c r="C2691" s="16" t="s">
        <v>5015</v>
      </c>
      <c r="D2691" s="16" t="s">
        <v>5183</v>
      </c>
      <c r="E2691" s="17" t="s">
        <v>5184</v>
      </c>
      <c r="F2691" s="16" t="n">
        <v>36.320142</v>
      </c>
      <c r="G2691" s="16" t="n">
        <v>43.1267</v>
      </c>
      <c r="H2691" s="18" t="n">
        <v>412</v>
      </c>
      <c r="I2691" s="18" t="n">
        <v>2472</v>
      </c>
      <c r="J2691" s="19" t="n">
        <v>26</v>
      </c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 t="n">
        <v>362</v>
      </c>
      <c r="W2691" s="19"/>
      <c r="X2691" s="19" t="n">
        <v>24</v>
      </c>
      <c r="Y2691" s="19"/>
      <c r="Z2691" s="19"/>
      <c r="AA2691" s="19"/>
      <c r="AB2691" s="19"/>
      <c r="AC2691" s="19" t="n">
        <v>100</v>
      </c>
      <c r="AD2691" s="19"/>
      <c r="AE2691" s="19"/>
      <c r="AF2691" s="19"/>
      <c r="AG2691" s="19"/>
      <c r="AH2691" s="19" t="n">
        <v>30</v>
      </c>
      <c r="AI2691" s="19" t="n">
        <v>106</v>
      </c>
      <c r="AJ2691" s="19" t="n">
        <v>29</v>
      </c>
      <c r="AK2691" s="19" t="n">
        <v>147</v>
      </c>
      <c r="AL2691" s="19"/>
      <c r="AM2691" s="19" t="n">
        <v>14</v>
      </c>
      <c r="AN2691" s="19" t="n">
        <v>31</v>
      </c>
      <c r="AO2691" s="19" t="n">
        <v>134</v>
      </c>
      <c r="AP2691" s="19" t="n">
        <v>76</v>
      </c>
      <c r="AQ2691" s="19" t="n">
        <v>157</v>
      </c>
      <c r="AR2691" s="19"/>
      <c r="AS2691" s="20" t="str">
        <f aca="false">HYPERLINK("http://www.openstreetmap.org/?mlat=36.3201&amp;mlon=43.1267&amp;zoom=12#map=12/36.3201/43.1267","Maplink1")</f>
        <v>Maplink1</v>
      </c>
      <c r="AT2691" s="20" t="str">
        <f aca="false">HYPERLINK("https://www.google.iq/maps/search/+36.3201,43.1267/@36.3201,43.1267,14z?hl=en","Maplink2")</f>
        <v>Maplink2</v>
      </c>
      <c r="AU2691" s="20" t="str">
        <f aca="false">HYPERLINK("http://www.bing.com/maps/?lvl=14&amp;sty=h&amp;cp=36.3201~43.1267&amp;sp=point.36.3201_43.1267","Maplink3")</f>
        <v>Maplink3</v>
      </c>
    </row>
    <row r="2692" customFormat="false" ht="15" hidden="false" customHeight="true" outlineLevel="0" collapsed="false">
      <c r="A2692" s="15" t="n">
        <v>21007</v>
      </c>
      <c r="B2692" s="16" t="s">
        <v>27</v>
      </c>
      <c r="C2692" s="16" t="s">
        <v>5015</v>
      </c>
      <c r="D2692" s="16" t="s">
        <v>5185</v>
      </c>
      <c r="E2692" s="17" t="s">
        <v>5186</v>
      </c>
      <c r="F2692" s="16" t="n">
        <v>36.348592</v>
      </c>
      <c r="G2692" s="16" t="n">
        <v>43.112257</v>
      </c>
      <c r="H2692" s="18" t="n">
        <v>96</v>
      </c>
      <c r="I2692" s="18" t="n">
        <v>576</v>
      </c>
      <c r="J2692" s="19" t="n">
        <v>3</v>
      </c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 t="n">
        <v>63</v>
      </c>
      <c r="W2692" s="19"/>
      <c r="X2692" s="19" t="n">
        <v>30</v>
      </c>
      <c r="Y2692" s="19"/>
      <c r="Z2692" s="19"/>
      <c r="AA2692" s="19"/>
      <c r="AB2692" s="19"/>
      <c r="AC2692" s="19" t="n">
        <v>32</v>
      </c>
      <c r="AD2692" s="19"/>
      <c r="AE2692" s="19"/>
      <c r="AF2692" s="19"/>
      <c r="AG2692" s="19"/>
      <c r="AH2692" s="19" t="n">
        <v>3</v>
      </c>
      <c r="AI2692" s="19" t="n">
        <v>10</v>
      </c>
      <c r="AJ2692" s="19" t="n">
        <v>51</v>
      </c>
      <c r="AK2692" s="19"/>
      <c r="AL2692" s="19" t="n">
        <v>3</v>
      </c>
      <c r="AM2692" s="19"/>
      <c r="AN2692" s="19"/>
      <c r="AO2692" s="19" t="n">
        <v>59</v>
      </c>
      <c r="AP2692" s="19" t="n">
        <v>30</v>
      </c>
      <c r="AQ2692" s="19" t="n">
        <v>4</v>
      </c>
      <c r="AR2692" s="19"/>
      <c r="AS2692" s="20" t="str">
        <f aca="false">HYPERLINK("http://www.openstreetmap.org/?mlat=36.3486&amp;mlon=43.1123&amp;zoom=12#map=12/36.3486/43.1123","Maplink1")</f>
        <v>Maplink1</v>
      </c>
      <c r="AT2692" s="20" t="str">
        <f aca="false">HYPERLINK("https://www.google.iq/maps/search/+36.3486,43.1123/@36.3486,43.1123,14z?hl=en","Maplink2")</f>
        <v>Maplink2</v>
      </c>
      <c r="AU2692" s="20" t="str">
        <f aca="false">HYPERLINK("http://www.bing.com/maps/?lvl=14&amp;sty=h&amp;cp=36.3486~43.1123&amp;sp=point.36.3486_43.1123","Maplink3")</f>
        <v>Maplink3</v>
      </c>
    </row>
    <row r="2693" customFormat="false" ht="15" hidden="false" customHeight="true" outlineLevel="0" collapsed="false">
      <c r="A2693" s="15" t="n">
        <v>27396</v>
      </c>
      <c r="B2693" s="16" t="s">
        <v>27</v>
      </c>
      <c r="C2693" s="16" t="s">
        <v>5187</v>
      </c>
      <c r="D2693" s="16" t="s">
        <v>5188</v>
      </c>
      <c r="E2693" s="17" t="s">
        <v>5189</v>
      </c>
      <c r="F2693" s="16" t="n">
        <v>36.44268049</v>
      </c>
      <c r="G2693" s="16" t="n">
        <v>41.75859475</v>
      </c>
      <c r="H2693" s="18" t="n">
        <v>9</v>
      </c>
      <c r="I2693" s="18" t="n">
        <v>54</v>
      </c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 t="n">
        <v>9</v>
      </c>
      <c r="W2693" s="19"/>
      <c r="X2693" s="19"/>
      <c r="Y2693" s="19"/>
      <c r="Z2693" s="19"/>
      <c r="AA2693" s="19"/>
      <c r="AB2693" s="19"/>
      <c r="AC2693" s="19" t="n">
        <v>9</v>
      </c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  <c r="AN2693" s="19" t="n">
        <v>9</v>
      </c>
      <c r="AO2693" s="19"/>
      <c r="AP2693" s="19"/>
      <c r="AQ2693" s="19"/>
      <c r="AR2693" s="19"/>
      <c r="AS2693" s="20" t="str">
        <f aca="false">HYPERLINK("http://www.openstreetmap.org/?mlat=36.4427&amp;mlon=41.7586&amp;zoom=12#map=12/36.4427/41.7586","Maplink1")</f>
        <v>Maplink1</v>
      </c>
      <c r="AT2693" s="20" t="str">
        <f aca="false">HYPERLINK("https://www.google.iq/maps/search/+36.4427,41.7586/@36.4427,41.7586,14z?hl=en","Maplink2")</f>
        <v>Maplink2</v>
      </c>
      <c r="AU2693" s="20" t="str">
        <f aca="false">HYPERLINK("http://www.bing.com/maps/?lvl=14&amp;sty=h&amp;cp=36.4427~41.7586&amp;sp=point.36.4427_41.7586","Maplink3")</f>
        <v>Maplink3</v>
      </c>
    </row>
    <row r="2694" customFormat="false" ht="15" hidden="false" customHeight="true" outlineLevel="0" collapsed="false">
      <c r="A2694" s="15" t="n">
        <v>27272</v>
      </c>
      <c r="B2694" s="16" t="s">
        <v>27</v>
      </c>
      <c r="C2694" s="16" t="s">
        <v>5187</v>
      </c>
      <c r="D2694" s="16" t="s">
        <v>5190</v>
      </c>
      <c r="E2694" s="17" t="s">
        <v>5191</v>
      </c>
      <c r="F2694" s="16" t="n">
        <v>36.127522</v>
      </c>
      <c r="G2694" s="16" t="n">
        <v>42.299418</v>
      </c>
      <c r="H2694" s="18" t="n">
        <v>80</v>
      </c>
      <c r="I2694" s="18" t="n">
        <v>480</v>
      </c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 t="n">
        <v>80</v>
      </c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9"/>
      <c r="AH2694" s="19"/>
      <c r="AI2694" s="19"/>
      <c r="AJ2694" s="19"/>
      <c r="AK2694" s="19" t="n">
        <v>80</v>
      </c>
      <c r="AL2694" s="19"/>
      <c r="AM2694" s="19"/>
      <c r="AN2694" s="19"/>
      <c r="AO2694" s="19"/>
      <c r="AP2694" s="19" t="n">
        <v>80</v>
      </c>
      <c r="AQ2694" s="19"/>
      <c r="AR2694" s="19"/>
      <c r="AS2694" s="20" t="str">
        <f aca="false">HYPERLINK("http://www.openstreetmap.org/?mlat=36.1275&amp;mlon=42.2994&amp;zoom=12#map=12/36.1275/42.2994","Maplink1")</f>
        <v>Maplink1</v>
      </c>
      <c r="AT2694" s="20" t="str">
        <f aca="false">HYPERLINK("https://www.google.iq/maps/search/+36.1275,42.2994/@36.1275,42.2994,14z?hl=en","Maplink2")</f>
        <v>Maplink2</v>
      </c>
      <c r="AU2694" s="20" t="str">
        <f aca="false">HYPERLINK("http://www.bing.com/maps/?lvl=14&amp;sty=h&amp;cp=36.1275~42.2994&amp;sp=point.36.1275_42.2994","Maplink3")</f>
        <v>Maplink3</v>
      </c>
    </row>
    <row r="2695" customFormat="false" ht="15" hidden="false" customHeight="true" outlineLevel="0" collapsed="false">
      <c r="A2695" s="15" t="n">
        <v>27403</v>
      </c>
      <c r="B2695" s="16" t="s">
        <v>27</v>
      </c>
      <c r="C2695" s="16" t="s">
        <v>5187</v>
      </c>
      <c r="D2695" s="16" t="s">
        <v>5192</v>
      </c>
      <c r="E2695" s="17" t="s">
        <v>5193</v>
      </c>
      <c r="F2695" s="16" t="n">
        <v>36.451784</v>
      </c>
      <c r="G2695" s="16" t="n">
        <v>41.71119736</v>
      </c>
      <c r="H2695" s="18" t="n">
        <v>145</v>
      </c>
      <c r="I2695" s="18" t="n">
        <v>870</v>
      </c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 t="n">
        <v>145</v>
      </c>
      <c r="W2695" s="19"/>
      <c r="X2695" s="19"/>
      <c r="Y2695" s="19"/>
      <c r="Z2695" s="19"/>
      <c r="AA2695" s="19"/>
      <c r="AB2695" s="19"/>
      <c r="AC2695" s="19" t="n">
        <v>145</v>
      </c>
      <c r="AD2695" s="19"/>
      <c r="AE2695" s="19"/>
      <c r="AF2695" s="19"/>
      <c r="AG2695" s="19"/>
      <c r="AH2695" s="19"/>
      <c r="AI2695" s="19"/>
      <c r="AJ2695" s="19"/>
      <c r="AK2695" s="19"/>
      <c r="AL2695" s="19"/>
      <c r="AM2695" s="19"/>
      <c r="AN2695" s="19" t="n">
        <v>145</v>
      </c>
      <c r="AO2695" s="19"/>
      <c r="AP2695" s="19"/>
      <c r="AQ2695" s="19"/>
      <c r="AR2695" s="19"/>
      <c r="AS2695" s="20" t="str">
        <f aca="false">HYPERLINK("http://www.openstreetmap.org/?mlat=36.4518&amp;mlon=41.7112&amp;zoom=12#map=12/36.4518/41.7112","Maplink1")</f>
        <v>Maplink1</v>
      </c>
      <c r="AT2695" s="20" t="str">
        <f aca="false">HYPERLINK("https://www.google.iq/maps/search/+36.4518,41.7112/@36.4518,41.7112,14z?hl=en","Maplink2")</f>
        <v>Maplink2</v>
      </c>
      <c r="AU2695" s="20" t="str">
        <f aca="false">HYPERLINK("http://www.bing.com/maps/?lvl=14&amp;sty=h&amp;cp=36.4518~41.7112&amp;sp=point.36.4518_41.7112","Maplink3")</f>
        <v>Maplink3</v>
      </c>
    </row>
    <row r="2696" customFormat="false" ht="15" hidden="false" customHeight="true" outlineLevel="0" collapsed="false">
      <c r="A2696" s="15" t="n">
        <v>28415</v>
      </c>
      <c r="B2696" s="16" t="s">
        <v>27</v>
      </c>
      <c r="C2696" s="16" t="s">
        <v>5187</v>
      </c>
      <c r="D2696" s="16" t="s">
        <v>5194</v>
      </c>
      <c r="E2696" s="17" t="s">
        <v>5195</v>
      </c>
      <c r="F2696" s="16" t="n">
        <v>36.41675411</v>
      </c>
      <c r="G2696" s="16" t="n">
        <v>41.91328288</v>
      </c>
      <c r="H2696" s="18" t="n">
        <v>8</v>
      </c>
      <c r="I2696" s="18" t="n">
        <v>48</v>
      </c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 t="n">
        <v>8</v>
      </c>
      <c r="W2696" s="19"/>
      <c r="X2696" s="19"/>
      <c r="Y2696" s="19"/>
      <c r="Z2696" s="19"/>
      <c r="AA2696" s="19"/>
      <c r="AB2696" s="19"/>
      <c r="AC2696" s="19" t="n">
        <v>3</v>
      </c>
      <c r="AD2696" s="19"/>
      <c r="AE2696" s="19" t="n">
        <v>4</v>
      </c>
      <c r="AF2696" s="19"/>
      <c r="AG2696" s="19"/>
      <c r="AH2696" s="19"/>
      <c r="AI2696" s="19"/>
      <c r="AJ2696" s="19" t="n">
        <v>1</v>
      </c>
      <c r="AK2696" s="19"/>
      <c r="AL2696" s="19"/>
      <c r="AM2696" s="19"/>
      <c r="AN2696" s="19" t="n">
        <v>8</v>
      </c>
      <c r="AO2696" s="19"/>
      <c r="AP2696" s="19"/>
      <c r="AQ2696" s="19"/>
      <c r="AR2696" s="19"/>
      <c r="AS2696" s="20" t="str">
        <f aca="false">HYPERLINK("http://www.openstreetmap.org/?mlat=36.4168&amp;mlon=41.9133&amp;zoom=12#map=12/36.4168/41.9133","Maplink1")</f>
        <v>Maplink1</v>
      </c>
      <c r="AT2696" s="20" t="str">
        <f aca="false">HYPERLINK("https://www.google.iq/maps/search/+36.4168,41.9133/@36.4168,41.9133,14z?hl=en","Maplink2")</f>
        <v>Maplink2</v>
      </c>
      <c r="AU2696" s="20" t="str">
        <f aca="false">HYPERLINK("http://www.bing.com/maps/?lvl=14&amp;sty=h&amp;cp=36.4168~41.9133&amp;sp=point.36.4168_41.9133","Maplink3")</f>
        <v>Maplink3</v>
      </c>
    </row>
    <row r="2697" customFormat="false" ht="15" hidden="false" customHeight="true" outlineLevel="0" collapsed="false">
      <c r="A2697" s="15" t="n">
        <v>27366</v>
      </c>
      <c r="B2697" s="16" t="s">
        <v>27</v>
      </c>
      <c r="C2697" s="16" t="s">
        <v>5187</v>
      </c>
      <c r="D2697" s="16" t="s">
        <v>5196</v>
      </c>
      <c r="E2697" s="17" t="s">
        <v>5197</v>
      </c>
      <c r="F2697" s="16" t="n">
        <v>36.42475277</v>
      </c>
      <c r="G2697" s="16" t="n">
        <v>41.69848277</v>
      </c>
      <c r="H2697" s="18" t="n">
        <v>138</v>
      </c>
      <c r="I2697" s="18" t="n">
        <v>828</v>
      </c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 t="n">
        <v>138</v>
      </c>
      <c r="W2697" s="19"/>
      <c r="X2697" s="19"/>
      <c r="Y2697" s="19"/>
      <c r="Z2697" s="19"/>
      <c r="AA2697" s="19"/>
      <c r="AB2697" s="19"/>
      <c r="AC2697" s="19" t="n">
        <v>91</v>
      </c>
      <c r="AD2697" s="19"/>
      <c r="AE2697" s="19" t="n">
        <v>47</v>
      </c>
      <c r="AF2697" s="19"/>
      <c r="AG2697" s="19"/>
      <c r="AH2697" s="19"/>
      <c r="AI2697" s="19"/>
      <c r="AJ2697" s="19"/>
      <c r="AK2697" s="19"/>
      <c r="AL2697" s="19"/>
      <c r="AM2697" s="19"/>
      <c r="AN2697" s="19" t="n">
        <v>138</v>
      </c>
      <c r="AO2697" s="19"/>
      <c r="AP2697" s="19"/>
      <c r="AQ2697" s="19"/>
      <c r="AR2697" s="19"/>
      <c r="AS2697" s="20" t="str">
        <f aca="false">HYPERLINK("http://www.openstreetmap.org/?mlat=36.4248&amp;mlon=41.6985&amp;zoom=12#map=12/36.4248/41.6985","Maplink1")</f>
        <v>Maplink1</v>
      </c>
      <c r="AT2697" s="20" t="str">
        <f aca="false">HYPERLINK("https://www.google.iq/maps/search/+36.4248,41.6985/@36.4248,41.6985,14z?hl=en","Maplink2")</f>
        <v>Maplink2</v>
      </c>
      <c r="AU2697" s="20" t="str">
        <f aca="false">HYPERLINK("http://www.bing.com/maps/?lvl=14&amp;sty=h&amp;cp=36.4248~41.6985&amp;sp=point.36.4248_41.6985","Maplink3")</f>
        <v>Maplink3</v>
      </c>
    </row>
    <row r="2698" customFormat="false" ht="15" hidden="false" customHeight="true" outlineLevel="0" collapsed="false">
      <c r="A2698" s="15" t="n">
        <v>27360</v>
      </c>
      <c r="B2698" s="16" t="s">
        <v>27</v>
      </c>
      <c r="C2698" s="16" t="s">
        <v>5187</v>
      </c>
      <c r="D2698" s="16" t="s">
        <v>5198</v>
      </c>
      <c r="E2698" s="17" t="s">
        <v>5199</v>
      </c>
      <c r="F2698" s="16" t="n">
        <v>36.42083783</v>
      </c>
      <c r="G2698" s="16" t="n">
        <v>41.54591762</v>
      </c>
      <c r="H2698" s="18" t="n">
        <v>7</v>
      </c>
      <c r="I2698" s="18" t="n">
        <v>42</v>
      </c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 t="n">
        <v>7</v>
      </c>
      <c r="W2698" s="19"/>
      <c r="X2698" s="19"/>
      <c r="Y2698" s="19"/>
      <c r="Z2698" s="19"/>
      <c r="AA2698" s="19"/>
      <c r="AB2698" s="19"/>
      <c r="AC2698" s="19" t="n">
        <v>7</v>
      </c>
      <c r="AD2698" s="19"/>
      <c r="AE2698" s="19"/>
      <c r="AF2698" s="19"/>
      <c r="AG2698" s="19"/>
      <c r="AH2698" s="19"/>
      <c r="AI2698" s="19"/>
      <c r="AJ2698" s="19"/>
      <c r="AK2698" s="19"/>
      <c r="AL2698" s="19"/>
      <c r="AM2698" s="19"/>
      <c r="AN2698" s="19" t="n">
        <v>7</v>
      </c>
      <c r="AO2698" s="19"/>
      <c r="AP2698" s="19"/>
      <c r="AQ2698" s="19"/>
      <c r="AR2698" s="19"/>
      <c r="AS2698" s="20" t="str">
        <f aca="false">HYPERLINK("http://www.openstreetmap.org/?mlat=36.4208&amp;mlon=41.5459&amp;zoom=12#map=12/36.4208/41.5459","Maplink1")</f>
        <v>Maplink1</v>
      </c>
      <c r="AT2698" s="20" t="str">
        <f aca="false">HYPERLINK("https://www.google.iq/maps/search/+36.4208,41.5459/@36.4208,41.5459,14z?hl=en","Maplink2")</f>
        <v>Maplink2</v>
      </c>
      <c r="AU2698" s="20" t="str">
        <f aca="false">HYPERLINK("http://www.bing.com/maps/?lvl=14&amp;sty=h&amp;cp=36.4208~41.5459&amp;sp=point.36.4208_41.5459","Maplink3")</f>
        <v>Maplink3</v>
      </c>
    </row>
    <row r="2699" customFormat="false" ht="15" hidden="false" customHeight="true" outlineLevel="0" collapsed="false">
      <c r="A2699" s="15" t="n">
        <v>27365</v>
      </c>
      <c r="B2699" s="16" t="s">
        <v>27</v>
      </c>
      <c r="C2699" s="16" t="s">
        <v>5187</v>
      </c>
      <c r="D2699" s="16" t="s">
        <v>5200</v>
      </c>
      <c r="E2699" s="17" t="s">
        <v>5201</v>
      </c>
      <c r="F2699" s="16" t="n">
        <v>36.43561952</v>
      </c>
      <c r="G2699" s="16" t="n">
        <v>41.90097813</v>
      </c>
      <c r="H2699" s="18" t="n">
        <v>2</v>
      </c>
      <c r="I2699" s="18" t="n">
        <v>12</v>
      </c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 t="n">
        <v>2</v>
      </c>
      <c r="W2699" s="19"/>
      <c r="X2699" s="19"/>
      <c r="Y2699" s="19"/>
      <c r="Z2699" s="19"/>
      <c r="AA2699" s="19"/>
      <c r="AB2699" s="19"/>
      <c r="AC2699" s="19" t="n">
        <v>2</v>
      </c>
      <c r="AD2699" s="19"/>
      <c r="AE2699" s="19"/>
      <c r="AF2699" s="19"/>
      <c r="AG2699" s="19"/>
      <c r="AH2699" s="19"/>
      <c r="AI2699" s="19"/>
      <c r="AJ2699" s="19"/>
      <c r="AK2699" s="19"/>
      <c r="AL2699" s="19"/>
      <c r="AM2699" s="19"/>
      <c r="AN2699" s="19" t="n">
        <v>2</v>
      </c>
      <c r="AO2699" s="19"/>
      <c r="AP2699" s="19"/>
      <c r="AQ2699" s="19"/>
      <c r="AR2699" s="19"/>
      <c r="AS2699" s="20" t="str">
        <f aca="false">HYPERLINK("http://www.openstreetmap.org/?mlat=36.4356&amp;mlon=41.901&amp;zoom=12#map=12/36.4356/41.901","Maplink1")</f>
        <v>Maplink1</v>
      </c>
      <c r="AT2699" s="20" t="str">
        <f aca="false">HYPERLINK("https://www.google.iq/maps/search/+36.4356,41.901/@36.4356,41.901,14z?hl=en","Maplink2")</f>
        <v>Maplink2</v>
      </c>
      <c r="AU2699" s="20" t="str">
        <f aca="false">HYPERLINK("http://www.bing.com/maps/?lvl=14&amp;sty=h&amp;cp=36.4356~41.901&amp;sp=point.36.4356_41.901","Maplink3")</f>
        <v>Maplink3</v>
      </c>
    </row>
    <row r="2700" customFormat="false" ht="15" hidden="false" customHeight="true" outlineLevel="0" collapsed="false">
      <c r="A2700" s="15" t="n">
        <v>17720</v>
      </c>
      <c r="B2700" s="16" t="s">
        <v>27</v>
      </c>
      <c r="C2700" s="16" t="s">
        <v>5187</v>
      </c>
      <c r="D2700" s="16" t="s">
        <v>5202</v>
      </c>
      <c r="E2700" s="17" t="s">
        <v>5203</v>
      </c>
      <c r="F2700" s="16" t="n">
        <v>36.55636975</v>
      </c>
      <c r="G2700" s="16" t="n">
        <v>41.76570713</v>
      </c>
      <c r="H2700" s="18" t="n">
        <v>5</v>
      </c>
      <c r="I2700" s="18" t="n">
        <v>30</v>
      </c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 t="n">
        <v>5</v>
      </c>
      <c r="W2700" s="19"/>
      <c r="X2700" s="19"/>
      <c r="Y2700" s="19"/>
      <c r="Z2700" s="19"/>
      <c r="AA2700" s="19"/>
      <c r="AB2700" s="19"/>
      <c r="AC2700" s="19" t="n">
        <v>5</v>
      </c>
      <c r="AD2700" s="19"/>
      <c r="AE2700" s="19"/>
      <c r="AF2700" s="19"/>
      <c r="AG2700" s="19"/>
      <c r="AH2700" s="19"/>
      <c r="AI2700" s="19"/>
      <c r="AJ2700" s="19"/>
      <c r="AK2700" s="19"/>
      <c r="AL2700" s="19"/>
      <c r="AM2700" s="19"/>
      <c r="AN2700" s="19" t="n">
        <v>5</v>
      </c>
      <c r="AO2700" s="19"/>
      <c r="AP2700" s="19"/>
      <c r="AQ2700" s="19"/>
      <c r="AR2700" s="19"/>
      <c r="AS2700" s="20" t="str">
        <f aca="false">HYPERLINK("http://www.openstreetmap.org/?mlat=36.5564&amp;mlon=41.7657&amp;zoom=12#map=12/36.5564/41.7657","Maplink1")</f>
        <v>Maplink1</v>
      </c>
      <c r="AT2700" s="20" t="str">
        <f aca="false">HYPERLINK("https://www.google.iq/maps/search/+36.5564,41.7657/@36.5564,41.7657,14z?hl=en","Maplink2")</f>
        <v>Maplink2</v>
      </c>
      <c r="AU2700" s="20" t="str">
        <f aca="false">HYPERLINK("http://www.bing.com/maps/?lvl=14&amp;sty=h&amp;cp=36.5564~41.7657&amp;sp=point.36.5564_41.7657","Maplink3")</f>
        <v>Maplink3</v>
      </c>
    </row>
    <row r="2701" customFormat="false" ht="15" hidden="false" customHeight="true" outlineLevel="0" collapsed="false">
      <c r="A2701" s="15" t="n">
        <v>27285</v>
      </c>
      <c r="B2701" s="16" t="s">
        <v>27</v>
      </c>
      <c r="C2701" s="16" t="s">
        <v>5187</v>
      </c>
      <c r="D2701" s="16" t="s">
        <v>5204</v>
      </c>
      <c r="E2701" s="17" t="s">
        <v>5205</v>
      </c>
      <c r="F2701" s="16" t="n">
        <v>36.48709623</v>
      </c>
      <c r="G2701" s="16" t="n">
        <v>41.86973803</v>
      </c>
      <c r="H2701" s="18" t="n">
        <v>20</v>
      </c>
      <c r="I2701" s="18" t="n">
        <v>120</v>
      </c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 t="n">
        <v>20</v>
      </c>
      <c r="W2701" s="19"/>
      <c r="X2701" s="19"/>
      <c r="Y2701" s="19"/>
      <c r="Z2701" s="19"/>
      <c r="AA2701" s="19"/>
      <c r="AB2701" s="19"/>
      <c r="AC2701" s="19" t="n">
        <v>20</v>
      </c>
      <c r="AD2701" s="19"/>
      <c r="AE2701" s="19"/>
      <c r="AF2701" s="19"/>
      <c r="AG2701" s="19"/>
      <c r="AH2701" s="19"/>
      <c r="AI2701" s="19"/>
      <c r="AJ2701" s="19"/>
      <c r="AK2701" s="19"/>
      <c r="AL2701" s="19"/>
      <c r="AM2701" s="19"/>
      <c r="AN2701" s="19" t="n">
        <v>20</v>
      </c>
      <c r="AO2701" s="19"/>
      <c r="AP2701" s="19"/>
      <c r="AQ2701" s="19"/>
      <c r="AR2701" s="19"/>
      <c r="AS2701" s="20" t="str">
        <f aca="false">HYPERLINK("http://www.openstreetmap.org/?mlat=36.4871&amp;mlon=41.8697&amp;zoom=12#map=12/36.4871/41.8697","Maplink1")</f>
        <v>Maplink1</v>
      </c>
      <c r="AT2701" s="20" t="str">
        <f aca="false">HYPERLINK("https://www.google.iq/maps/search/+36.4871,41.8697/@36.4871,41.8697,14z?hl=en","Maplink2")</f>
        <v>Maplink2</v>
      </c>
      <c r="AU2701" s="20" t="str">
        <f aca="false">HYPERLINK("http://www.bing.com/maps/?lvl=14&amp;sty=h&amp;cp=36.4871~41.8697&amp;sp=point.36.4871_41.8697","Maplink3")</f>
        <v>Maplink3</v>
      </c>
    </row>
    <row r="2702" customFormat="false" ht="15" hidden="false" customHeight="true" outlineLevel="0" collapsed="false">
      <c r="A2702" s="15" t="n">
        <v>27398</v>
      </c>
      <c r="B2702" s="16" t="s">
        <v>27</v>
      </c>
      <c r="C2702" s="16" t="s">
        <v>5187</v>
      </c>
      <c r="D2702" s="16" t="s">
        <v>5206</v>
      </c>
      <c r="E2702" s="17" t="s">
        <v>5207</v>
      </c>
      <c r="F2702" s="16" t="n">
        <v>36.39499954</v>
      </c>
      <c r="G2702" s="16" t="n">
        <v>41.85676903</v>
      </c>
      <c r="H2702" s="18" t="n">
        <v>45</v>
      </c>
      <c r="I2702" s="18" t="n">
        <v>270</v>
      </c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 t="n">
        <v>45</v>
      </c>
      <c r="W2702" s="19"/>
      <c r="X2702" s="19"/>
      <c r="Y2702" s="19"/>
      <c r="Z2702" s="19"/>
      <c r="AA2702" s="19"/>
      <c r="AB2702" s="19"/>
      <c r="AC2702" s="19" t="n">
        <v>15</v>
      </c>
      <c r="AD2702" s="19"/>
      <c r="AE2702" s="19" t="n">
        <v>30</v>
      </c>
      <c r="AF2702" s="19"/>
      <c r="AG2702" s="19"/>
      <c r="AH2702" s="19"/>
      <c r="AI2702" s="19"/>
      <c r="AJ2702" s="19"/>
      <c r="AK2702" s="19"/>
      <c r="AL2702" s="19"/>
      <c r="AM2702" s="19"/>
      <c r="AN2702" s="19" t="n">
        <v>45</v>
      </c>
      <c r="AO2702" s="19"/>
      <c r="AP2702" s="19"/>
      <c r="AQ2702" s="19"/>
      <c r="AR2702" s="19"/>
      <c r="AS2702" s="20" t="str">
        <f aca="false">HYPERLINK("http://www.openstreetmap.org/?mlat=36.395&amp;mlon=41.8568&amp;zoom=12#map=12/36.395/41.8568","Maplink1")</f>
        <v>Maplink1</v>
      </c>
      <c r="AT2702" s="20" t="str">
        <f aca="false">HYPERLINK("https://www.google.iq/maps/search/+36.395,41.8568/@36.395,41.8568,14z?hl=en","Maplink2")</f>
        <v>Maplink2</v>
      </c>
      <c r="AU2702" s="20" t="str">
        <f aca="false">HYPERLINK("http://www.bing.com/maps/?lvl=14&amp;sty=h&amp;cp=36.395~41.8568&amp;sp=point.36.395_41.8568","Maplink3")</f>
        <v>Maplink3</v>
      </c>
    </row>
    <row r="2703" customFormat="false" ht="15" hidden="false" customHeight="true" outlineLevel="0" collapsed="false">
      <c r="A2703" s="15" t="n">
        <v>28418</v>
      </c>
      <c r="B2703" s="16" t="s">
        <v>27</v>
      </c>
      <c r="C2703" s="16" t="s">
        <v>5187</v>
      </c>
      <c r="D2703" s="16" t="s">
        <v>5208</v>
      </c>
      <c r="E2703" s="17" t="s">
        <v>5209</v>
      </c>
      <c r="F2703" s="16" t="n">
        <v>36.37538464</v>
      </c>
      <c r="G2703" s="16" t="n">
        <v>41.76630599</v>
      </c>
      <c r="H2703" s="18" t="n">
        <v>84</v>
      </c>
      <c r="I2703" s="18" t="n">
        <v>504</v>
      </c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 t="n">
        <v>84</v>
      </c>
      <c r="W2703" s="19"/>
      <c r="X2703" s="19"/>
      <c r="Y2703" s="19"/>
      <c r="Z2703" s="19"/>
      <c r="AA2703" s="19"/>
      <c r="AB2703" s="19"/>
      <c r="AC2703" s="19"/>
      <c r="AD2703" s="19"/>
      <c r="AE2703" s="19" t="n">
        <v>84</v>
      </c>
      <c r="AF2703" s="19"/>
      <c r="AG2703" s="19"/>
      <c r="AH2703" s="19"/>
      <c r="AI2703" s="19"/>
      <c r="AJ2703" s="19"/>
      <c r="AK2703" s="19"/>
      <c r="AL2703" s="19"/>
      <c r="AM2703" s="19"/>
      <c r="AN2703" s="19" t="n">
        <v>84</v>
      </c>
      <c r="AO2703" s="19"/>
      <c r="AP2703" s="19"/>
      <c r="AQ2703" s="19"/>
      <c r="AR2703" s="19"/>
      <c r="AS2703" s="20" t="str">
        <f aca="false">HYPERLINK("http://www.openstreetmap.org/?mlat=36.3754&amp;mlon=41.7663&amp;zoom=12#map=12/36.3754/41.7663","Maplink1")</f>
        <v>Maplink1</v>
      </c>
      <c r="AT2703" s="20" t="str">
        <f aca="false">HYPERLINK("https://www.google.iq/maps/search/+36.3754,41.7663/@36.3754,41.7663,14z?hl=en","Maplink2")</f>
        <v>Maplink2</v>
      </c>
      <c r="AU2703" s="20" t="str">
        <f aca="false">HYPERLINK("http://www.bing.com/maps/?lvl=14&amp;sty=h&amp;cp=36.3754~41.7663&amp;sp=point.36.3754_41.7663","Maplink3")</f>
        <v>Maplink3</v>
      </c>
    </row>
    <row r="2704" customFormat="false" ht="15" hidden="false" customHeight="true" outlineLevel="0" collapsed="false">
      <c r="A2704" s="15" t="n">
        <v>27283</v>
      </c>
      <c r="B2704" s="16" t="s">
        <v>27</v>
      </c>
      <c r="C2704" s="16" t="s">
        <v>5187</v>
      </c>
      <c r="D2704" s="16" t="s">
        <v>5210</v>
      </c>
      <c r="E2704" s="17" t="s">
        <v>5211</v>
      </c>
      <c r="F2704" s="16" t="n">
        <v>36.46100151</v>
      </c>
      <c r="G2704" s="16" t="n">
        <v>41.73854204</v>
      </c>
      <c r="H2704" s="18" t="n">
        <v>32</v>
      </c>
      <c r="I2704" s="18" t="n">
        <v>192</v>
      </c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 t="n">
        <v>32</v>
      </c>
      <c r="W2704" s="19"/>
      <c r="X2704" s="19"/>
      <c r="Y2704" s="19"/>
      <c r="Z2704" s="19"/>
      <c r="AA2704" s="19"/>
      <c r="AB2704" s="19"/>
      <c r="AC2704" s="19" t="n">
        <v>32</v>
      </c>
      <c r="AD2704" s="19"/>
      <c r="AE2704" s="19"/>
      <c r="AF2704" s="19"/>
      <c r="AG2704" s="19"/>
      <c r="AH2704" s="19"/>
      <c r="AI2704" s="19"/>
      <c r="AJ2704" s="19"/>
      <c r="AK2704" s="19"/>
      <c r="AL2704" s="19"/>
      <c r="AM2704" s="19"/>
      <c r="AN2704" s="19" t="n">
        <v>32</v>
      </c>
      <c r="AO2704" s="19"/>
      <c r="AP2704" s="19"/>
      <c r="AQ2704" s="19"/>
      <c r="AR2704" s="19"/>
      <c r="AS2704" s="20" t="str">
        <f aca="false">HYPERLINK("http://www.openstreetmap.org/?mlat=36.461&amp;mlon=41.7385&amp;zoom=12#map=12/36.461/41.7385","Maplink1")</f>
        <v>Maplink1</v>
      </c>
      <c r="AT2704" s="20" t="str">
        <f aca="false">HYPERLINK("https://www.google.iq/maps/search/+36.461,41.7385/@36.461,41.7385,14z?hl=en","Maplink2")</f>
        <v>Maplink2</v>
      </c>
      <c r="AU2704" s="20" t="str">
        <f aca="false">HYPERLINK("http://www.bing.com/maps/?lvl=14&amp;sty=h&amp;cp=36.461~41.7385&amp;sp=point.36.461_41.7385","Maplink3")</f>
        <v>Maplink3</v>
      </c>
    </row>
    <row r="2705" customFormat="false" ht="15" hidden="false" customHeight="true" outlineLevel="0" collapsed="false">
      <c r="A2705" s="15" t="n">
        <v>27401</v>
      </c>
      <c r="B2705" s="16" t="s">
        <v>27</v>
      </c>
      <c r="C2705" s="16" t="s">
        <v>5187</v>
      </c>
      <c r="D2705" s="16" t="s">
        <v>5212</v>
      </c>
      <c r="E2705" s="17" t="s">
        <v>5213</v>
      </c>
      <c r="F2705" s="16" t="n">
        <v>36.43434485</v>
      </c>
      <c r="G2705" s="16" t="n">
        <v>41.58685841</v>
      </c>
      <c r="H2705" s="18" t="n">
        <v>5</v>
      </c>
      <c r="I2705" s="18" t="n">
        <v>30</v>
      </c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 t="n">
        <v>5</v>
      </c>
      <c r="W2705" s="19"/>
      <c r="X2705" s="19"/>
      <c r="Y2705" s="19"/>
      <c r="Z2705" s="19"/>
      <c r="AA2705" s="19"/>
      <c r="AB2705" s="19"/>
      <c r="AC2705" s="19" t="n">
        <v>5</v>
      </c>
      <c r="AD2705" s="19"/>
      <c r="AE2705" s="19"/>
      <c r="AF2705" s="19"/>
      <c r="AG2705" s="19"/>
      <c r="AH2705" s="19"/>
      <c r="AI2705" s="19"/>
      <c r="AJ2705" s="19"/>
      <c r="AK2705" s="19"/>
      <c r="AL2705" s="19"/>
      <c r="AM2705" s="19"/>
      <c r="AN2705" s="19" t="n">
        <v>5</v>
      </c>
      <c r="AO2705" s="19"/>
      <c r="AP2705" s="19"/>
      <c r="AQ2705" s="19"/>
      <c r="AR2705" s="19"/>
      <c r="AS2705" s="20" t="str">
        <f aca="false">HYPERLINK("http://www.openstreetmap.org/?mlat=36.4343&amp;mlon=41.5869&amp;zoom=12#map=12/36.4343/41.5869","Maplink1")</f>
        <v>Maplink1</v>
      </c>
      <c r="AT2705" s="20" t="str">
        <f aca="false">HYPERLINK("https://www.google.iq/maps/search/+36.4343,41.5869/@36.4343,41.5869,14z?hl=en","Maplink2")</f>
        <v>Maplink2</v>
      </c>
      <c r="AU2705" s="20" t="str">
        <f aca="false">HYPERLINK("http://www.bing.com/maps/?lvl=14&amp;sty=h&amp;cp=36.4343~41.5869&amp;sp=point.36.4343_41.5869","Maplink3")</f>
        <v>Maplink3</v>
      </c>
    </row>
    <row r="2706" customFormat="false" ht="15" hidden="false" customHeight="true" outlineLevel="0" collapsed="false">
      <c r="A2706" s="15" t="n">
        <v>27288</v>
      </c>
      <c r="B2706" s="16" t="s">
        <v>27</v>
      </c>
      <c r="C2706" s="16" t="s">
        <v>5187</v>
      </c>
      <c r="D2706" s="16" t="s">
        <v>5214</v>
      </c>
      <c r="E2706" s="17" t="s">
        <v>5215</v>
      </c>
      <c r="F2706" s="16" t="n">
        <v>36.3769938</v>
      </c>
      <c r="G2706" s="16" t="n">
        <v>41.68756913</v>
      </c>
      <c r="H2706" s="18" t="n">
        <v>85</v>
      </c>
      <c r="I2706" s="18" t="n">
        <v>510</v>
      </c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 t="n">
        <v>85</v>
      </c>
      <c r="W2706" s="19"/>
      <c r="X2706" s="19"/>
      <c r="Y2706" s="19"/>
      <c r="Z2706" s="19"/>
      <c r="AA2706" s="19"/>
      <c r="AB2706" s="19"/>
      <c r="AC2706" s="19" t="n">
        <v>85</v>
      </c>
      <c r="AD2706" s="19"/>
      <c r="AE2706" s="19"/>
      <c r="AF2706" s="19"/>
      <c r="AG2706" s="19"/>
      <c r="AH2706" s="19"/>
      <c r="AI2706" s="19"/>
      <c r="AJ2706" s="19"/>
      <c r="AK2706" s="19"/>
      <c r="AL2706" s="19"/>
      <c r="AM2706" s="19"/>
      <c r="AN2706" s="19" t="n">
        <v>85</v>
      </c>
      <c r="AO2706" s="19"/>
      <c r="AP2706" s="19"/>
      <c r="AQ2706" s="19"/>
      <c r="AR2706" s="19"/>
      <c r="AS2706" s="20" t="str">
        <f aca="false">HYPERLINK("http://www.openstreetmap.org/?mlat=36.377&amp;mlon=41.6876&amp;zoom=12#map=12/36.377/41.6876","Maplink1")</f>
        <v>Maplink1</v>
      </c>
      <c r="AT2706" s="20" t="str">
        <f aca="false">HYPERLINK("https://www.google.iq/maps/search/+36.377,41.6876/@36.377,41.6876,14z?hl=en","Maplink2")</f>
        <v>Maplink2</v>
      </c>
      <c r="AU2706" s="20" t="str">
        <f aca="false">HYPERLINK("http://www.bing.com/maps/?lvl=14&amp;sty=h&amp;cp=36.377~41.6876&amp;sp=point.36.377_41.6876","Maplink3")</f>
        <v>Maplink3</v>
      </c>
    </row>
    <row r="2707" customFormat="false" ht="15" hidden="false" customHeight="true" outlineLevel="0" collapsed="false">
      <c r="A2707" s="15" t="n">
        <v>17845</v>
      </c>
      <c r="B2707" s="16" t="s">
        <v>27</v>
      </c>
      <c r="C2707" s="16" t="s">
        <v>5187</v>
      </c>
      <c r="D2707" s="16" t="s">
        <v>5216</v>
      </c>
      <c r="E2707" s="17" t="s">
        <v>5217</v>
      </c>
      <c r="F2707" s="16" t="n">
        <v>36.46575215</v>
      </c>
      <c r="G2707" s="16" t="n">
        <v>41.62761039</v>
      </c>
      <c r="H2707" s="18" t="n">
        <v>180</v>
      </c>
      <c r="I2707" s="18" t="n">
        <v>1080</v>
      </c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 t="n">
        <v>180</v>
      </c>
      <c r="W2707" s="19"/>
      <c r="X2707" s="19"/>
      <c r="Y2707" s="19"/>
      <c r="Z2707" s="19"/>
      <c r="AA2707" s="19"/>
      <c r="AB2707" s="19"/>
      <c r="AC2707" s="19" t="n">
        <v>180</v>
      </c>
      <c r="AD2707" s="19"/>
      <c r="AE2707" s="19"/>
      <c r="AF2707" s="19"/>
      <c r="AG2707" s="19"/>
      <c r="AH2707" s="19"/>
      <c r="AI2707" s="19"/>
      <c r="AJ2707" s="19"/>
      <c r="AK2707" s="19"/>
      <c r="AL2707" s="19"/>
      <c r="AM2707" s="19"/>
      <c r="AN2707" s="19" t="n">
        <v>180</v>
      </c>
      <c r="AO2707" s="19"/>
      <c r="AP2707" s="19"/>
      <c r="AQ2707" s="19"/>
      <c r="AR2707" s="19"/>
      <c r="AS2707" s="20" t="str">
        <f aca="false">HYPERLINK("http://www.openstreetmap.org/?mlat=36.4658&amp;mlon=41.6276&amp;zoom=12#map=12/36.4658/41.6276","Maplink1")</f>
        <v>Maplink1</v>
      </c>
      <c r="AT2707" s="20" t="str">
        <f aca="false">HYPERLINK("https://www.google.iq/maps/search/+36.4658,41.6276/@36.4658,41.6276,14z?hl=en","Maplink2")</f>
        <v>Maplink2</v>
      </c>
      <c r="AU2707" s="20" t="str">
        <f aca="false">HYPERLINK("http://www.bing.com/maps/?lvl=14&amp;sty=h&amp;cp=36.4658~41.6276&amp;sp=point.36.4658_41.6276","Maplink3")</f>
        <v>Maplink3</v>
      </c>
    </row>
    <row r="2708" customFormat="false" ht="15" hidden="false" customHeight="true" outlineLevel="0" collapsed="false">
      <c r="A2708" s="15" t="n">
        <v>27358</v>
      </c>
      <c r="B2708" s="16" t="s">
        <v>27</v>
      </c>
      <c r="C2708" s="16" t="s">
        <v>5187</v>
      </c>
      <c r="D2708" s="16" t="s">
        <v>5218</v>
      </c>
      <c r="E2708" s="17" t="s">
        <v>5219</v>
      </c>
      <c r="F2708" s="16" t="n">
        <v>36.36955837</v>
      </c>
      <c r="G2708" s="16" t="n">
        <v>41.72378561</v>
      </c>
      <c r="H2708" s="18" t="n">
        <v>44</v>
      </c>
      <c r="I2708" s="18" t="n">
        <v>264</v>
      </c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 t="n">
        <v>44</v>
      </c>
      <c r="W2708" s="19"/>
      <c r="X2708" s="19"/>
      <c r="Y2708" s="19"/>
      <c r="Z2708" s="19"/>
      <c r="AA2708" s="19"/>
      <c r="AB2708" s="19"/>
      <c r="AC2708" s="19" t="n">
        <v>10</v>
      </c>
      <c r="AD2708" s="19"/>
      <c r="AE2708" s="19" t="n">
        <v>34</v>
      </c>
      <c r="AF2708" s="19"/>
      <c r="AG2708" s="19"/>
      <c r="AH2708" s="19"/>
      <c r="AI2708" s="19"/>
      <c r="AJ2708" s="19"/>
      <c r="AK2708" s="19"/>
      <c r="AL2708" s="19"/>
      <c r="AM2708" s="19"/>
      <c r="AN2708" s="19" t="n">
        <v>44</v>
      </c>
      <c r="AO2708" s="19"/>
      <c r="AP2708" s="19"/>
      <c r="AQ2708" s="19"/>
      <c r="AR2708" s="19"/>
      <c r="AS2708" s="20" t="str">
        <f aca="false">HYPERLINK("http://www.openstreetmap.org/?mlat=36.3696&amp;mlon=41.7238&amp;zoom=12#map=12/36.3696/41.7238","Maplink1")</f>
        <v>Maplink1</v>
      </c>
      <c r="AT2708" s="20" t="str">
        <f aca="false">HYPERLINK("https://www.google.iq/maps/search/+36.3696,41.7238/@36.3696,41.7238,14z?hl=en","Maplink2")</f>
        <v>Maplink2</v>
      </c>
      <c r="AU2708" s="20" t="str">
        <f aca="false">HYPERLINK("http://www.bing.com/maps/?lvl=14&amp;sty=h&amp;cp=36.3696~41.7238&amp;sp=point.36.3696_41.7238","Maplink3")</f>
        <v>Maplink3</v>
      </c>
    </row>
    <row r="2709" customFormat="false" ht="15" hidden="false" customHeight="true" outlineLevel="0" collapsed="false">
      <c r="A2709" s="15" t="n">
        <v>27364</v>
      </c>
      <c r="B2709" s="16" t="s">
        <v>27</v>
      </c>
      <c r="C2709" s="16" t="s">
        <v>5187</v>
      </c>
      <c r="D2709" s="16" t="s">
        <v>5220</v>
      </c>
      <c r="E2709" s="17" t="s">
        <v>5221</v>
      </c>
      <c r="F2709" s="16" t="n">
        <v>36.37790325</v>
      </c>
      <c r="G2709" s="16" t="n">
        <v>41.69855417</v>
      </c>
      <c r="H2709" s="18" t="n">
        <v>78</v>
      </c>
      <c r="I2709" s="18" t="n">
        <v>468</v>
      </c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 t="n">
        <v>78</v>
      </c>
      <c r="W2709" s="19"/>
      <c r="X2709" s="19"/>
      <c r="Y2709" s="19"/>
      <c r="Z2709" s="19"/>
      <c r="AA2709" s="19"/>
      <c r="AB2709" s="19"/>
      <c r="AC2709" s="19" t="n">
        <v>14</v>
      </c>
      <c r="AD2709" s="19"/>
      <c r="AE2709" s="19" t="n">
        <v>64</v>
      </c>
      <c r="AF2709" s="19"/>
      <c r="AG2709" s="19"/>
      <c r="AH2709" s="19"/>
      <c r="AI2709" s="19"/>
      <c r="AJ2709" s="19"/>
      <c r="AK2709" s="19"/>
      <c r="AL2709" s="19"/>
      <c r="AM2709" s="19"/>
      <c r="AN2709" s="19" t="n">
        <v>78</v>
      </c>
      <c r="AO2709" s="19"/>
      <c r="AP2709" s="19"/>
      <c r="AQ2709" s="19"/>
      <c r="AR2709" s="19"/>
      <c r="AS2709" s="20" t="str">
        <f aca="false">HYPERLINK("http://www.openstreetmap.org/?mlat=36.3779&amp;mlon=41.6986&amp;zoom=12#map=12/36.3779/41.6986","Maplink1")</f>
        <v>Maplink1</v>
      </c>
      <c r="AT2709" s="20" t="str">
        <f aca="false">HYPERLINK("https://www.google.iq/maps/search/+36.3779,41.6986/@36.3779,41.6986,14z?hl=en","Maplink2")</f>
        <v>Maplink2</v>
      </c>
      <c r="AU2709" s="20" t="str">
        <f aca="false">HYPERLINK("http://www.bing.com/maps/?lvl=14&amp;sty=h&amp;cp=36.3779~41.6986&amp;sp=point.36.3779_41.6986","Maplink3")</f>
        <v>Maplink3</v>
      </c>
    </row>
    <row r="2710" customFormat="false" ht="15" hidden="false" customHeight="true" outlineLevel="0" collapsed="false">
      <c r="A2710" s="15" t="n">
        <v>27363</v>
      </c>
      <c r="B2710" s="16" t="s">
        <v>27</v>
      </c>
      <c r="C2710" s="16" t="s">
        <v>5187</v>
      </c>
      <c r="D2710" s="16" t="s">
        <v>5222</v>
      </c>
      <c r="E2710" s="17" t="s">
        <v>5223</v>
      </c>
      <c r="F2710" s="16" t="n">
        <v>36.41714676</v>
      </c>
      <c r="G2710" s="16" t="n">
        <v>41.88377315</v>
      </c>
      <c r="H2710" s="18" t="n">
        <v>25</v>
      </c>
      <c r="I2710" s="18" t="n">
        <v>150</v>
      </c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 t="n">
        <v>25</v>
      </c>
      <c r="W2710" s="19"/>
      <c r="X2710" s="19"/>
      <c r="Y2710" s="19"/>
      <c r="Z2710" s="19"/>
      <c r="AA2710" s="19"/>
      <c r="AB2710" s="19"/>
      <c r="AC2710" s="19" t="n">
        <v>25</v>
      </c>
      <c r="AD2710" s="19"/>
      <c r="AE2710" s="19"/>
      <c r="AF2710" s="19"/>
      <c r="AG2710" s="19"/>
      <c r="AH2710" s="19"/>
      <c r="AI2710" s="19"/>
      <c r="AJ2710" s="19"/>
      <c r="AK2710" s="19"/>
      <c r="AL2710" s="19"/>
      <c r="AM2710" s="19"/>
      <c r="AN2710" s="19" t="n">
        <v>25</v>
      </c>
      <c r="AO2710" s="19"/>
      <c r="AP2710" s="19"/>
      <c r="AQ2710" s="19"/>
      <c r="AR2710" s="19"/>
      <c r="AS2710" s="20" t="str">
        <f aca="false">HYPERLINK("http://www.openstreetmap.org/?mlat=36.4171&amp;mlon=41.8838&amp;zoom=12#map=12/36.4171/41.8838","Maplink1")</f>
        <v>Maplink1</v>
      </c>
      <c r="AT2710" s="20" t="str">
        <f aca="false">HYPERLINK("https://www.google.iq/maps/search/+36.4171,41.8838/@36.4171,41.8838,14z?hl=en","Maplink2")</f>
        <v>Maplink2</v>
      </c>
      <c r="AU2710" s="20" t="str">
        <f aca="false">HYPERLINK("http://www.bing.com/maps/?lvl=14&amp;sty=h&amp;cp=36.4171~41.8838&amp;sp=point.36.4171_41.8838","Maplink3")</f>
        <v>Maplink3</v>
      </c>
    </row>
    <row r="2711" customFormat="false" ht="15" hidden="false" customHeight="true" outlineLevel="0" collapsed="false">
      <c r="A2711" s="15" t="n">
        <v>17694</v>
      </c>
      <c r="B2711" s="16" t="s">
        <v>27</v>
      </c>
      <c r="C2711" s="16" t="s">
        <v>5187</v>
      </c>
      <c r="D2711" s="16" t="s">
        <v>5224</v>
      </c>
      <c r="E2711" s="17" t="s">
        <v>5225</v>
      </c>
      <c r="F2711" s="16" t="n">
        <v>36.44084627</v>
      </c>
      <c r="G2711" s="16" t="n">
        <v>41.76676879</v>
      </c>
      <c r="H2711" s="18" t="n">
        <v>8</v>
      </c>
      <c r="I2711" s="18" t="n">
        <v>48</v>
      </c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 t="n">
        <v>8</v>
      </c>
      <c r="W2711" s="19"/>
      <c r="X2711" s="19"/>
      <c r="Y2711" s="19"/>
      <c r="Z2711" s="19"/>
      <c r="AA2711" s="19"/>
      <c r="AB2711" s="19"/>
      <c r="AC2711" s="19" t="n">
        <v>8</v>
      </c>
      <c r="AD2711" s="19"/>
      <c r="AE2711" s="19"/>
      <c r="AF2711" s="19"/>
      <c r="AG2711" s="19"/>
      <c r="AH2711" s="19"/>
      <c r="AI2711" s="19"/>
      <c r="AJ2711" s="19"/>
      <c r="AK2711" s="19"/>
      <c r="AL2711" s="19"/>
      <c r="AM2711" s="19"/>
      <c r="AN2711" s="19" t="n">
        <v>8</v>
      </c>
      <c r="AO2711" s="19"/>
      <c r="AP2711" s="19"/>
      <c r="AQ2711" s="19"/>
      <c r="AR2711" s="19"/>
      <c r="AS2711" s="20" t="str">
        <f aca="false">HYPERLINK("http://www.openstreetmap.org/?mlat=36.4408&amp;mlon=41.7668&amp;zoom=12#map=12/36.4408/41.7668","Maplink1")</f>
        <v>Maplink1</v>
      </c>
      <c r="AT2711" s="20" t="str">
        <f aca="false">HYPERLINK("https://www.google.iq/maps/search/+36.4408,41.7668/@36.4408,41.7668,14z?hl=en","Maplink2")</f>
        <v>Maplink2</v>
      </c>
      <c r="AU2711" s="20" t="str">
        <f aca="false">HYPERLINK("http://www.bing.com/maps/?lvl=14&amp;sty=h&amp;cp=36.4408~41.7668&amp;sp=point.36.4408_41.7668","Maplink3")</f>
        <v>Maplink3</v>
      </c>
    </row>
    <row r="2712" customFormat="false" ht="15" hidden="false" customHeight="true" outlineLevel="0" collapsed="false">
      <c r="A2712" s="15" t="n">
        <v>27362</v>
      </c>
      <c r="B2712" s="16" t="s">
        <v>27</v>
      </c>
      <c r="C2712" s="16" t="s">
        <v>5187</v>
      </c>
      <c r="D2712" s="16" t="s">
        <v>5226</v>
      </c>
      <c r="E2712" s="17" t="s">
        <v>5227</v>
      </c>
      <c r="F2712" s="16" t="n">
        <v>36.39422</v>
      </c>
      <c r="G2712" s="16" t="n">
        <v>41.819962</v>
      </c>
      <c r="H2712" s="18" t="n">
        <v>204</v>
      </c>
      <c r="I2712" s="18" t="n">
        <v>1224</v>
      </c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 t="n">
        <v>204</v>
      </c>
      <c r="W2712" s="19"/>
      <c r="X2712" s="19"/>
      <c r="Y2712" s="19"/>
      <c r="Z2712" s="19"/>
      <c r="AA2712" s="19"/>
      <c r="AB2712" s="19"/>
      <c r="AC2712" s="19" t="n">
        <v>2</v>
      </c>
      <c r="AD2712" s="19"/>
      <c r="AE2712" s="19" t="n">
        <v>202</v>
      </c>
      <c r="AF2712" s="19"/>
      <c r="AG2712" s="19"/>
      <c r="AH2712" s="19"/>
      <c r="AI2712" s="19"/>
      <c r="AJ2712" s="19"/>
      <c r="AK2712" s="19"/>
      <c r="AL2712" s="19"/>
      <c r="AM2712" s="19"/>
      <c r="AN2712" s="19" t="n">
        <v>204</v>
      </c>
      <c r="AO2712" s="19"/>
      <c r="AP2712" s="19"/>
      <c r="AQ2712" s="19"/>
      <c r="AR2712" s="19"/>
      <c r="AS2712" s="20" t="str">
        <f aca="false">HYPERLINK("http://www.openstreetmap.org/?mlat=36.3942&amp;mlon=41.82&amp;zoom=12#map=12/36.3942/41.82","Maplink1")</f>
        <v>Maplink1</v>
      </c>
      <c r="AT2712" s="20" t="str">
        <f aca="false">HYPERLINK("https://www.google.iq/maps/search/+36.3942,41.82/@36.3942,41.82,14z?hl=en","Maplink2")</f>
        <v>Maplink2</v>
      </c>
      <c r="AU2712" s="20" t="str">
        <f aca="false">HYPERLINK("http://www.bing.com/maps/?lvl=14&amp;sty=h&amp;cp=36.3942~41.82&amp;sp=point.36.3942_41.82","Maplink3")</f>
        <v>Maplink3</v>
      </c>
    </row>
    <row r="2713" customFormat="false" ht="15" hidden="false" customHeight="true" outlineLevel="0" collapsed="false">
      <c r="A2713" s="15" t="n">
        <v>27359</v>
      </c>
      <c r="B2713" s="16" t="s">
        <v>27</v>
      </c>
      <c r="C2713" s="16" t="s">
        <v>5187</v>
      </c>
      <c r="D2713" s="16" t="s">
        <v>5228</v>
      </c>
      <c r="E2713" s="17" t="s">
        <v>5229</v>
      </c>
      <c r="F2713" s="16" t="n">
        <v>36.37249457</v>
      </c>
      <c r="G2713" s="16" t="n">
        <v>41.71784837</v>
      </c>
      <c r="H2713" s="18" t="n">
        <v>36</v>
      </c>
      <c r="I2713" s="18" t="n">
        <v>216</v>
      </c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 t="n">
        <v>36</v>
      </c>
      <c r="W2713" s="19"/>
      <c r="X2713" s="19"/>
      <c r="Y2713" s="19"/>
      <c r="Z2713" s="19"/>
      <c r="AA2713" s="19"/>
      <c r="AB2713" s="19"/>
      <c r="AC2713" s="19" t="n">
        <v>5</v>
      </c>
      <c r="AD2713" s="19"/>
      <c r="AE2713" s="19" t="n">
        <v>31</v>
      </c>
      <c r="AF2713" s="19"/>
      <c r="AG2713" s="19"/>
      <c r="AH2713" s="19"/>
      <c r="AI2713" s="19"/>
      <c r="AJ2713" s="19"/>
      <c r="AK2713" s="19"/>
      <c r="AL2713" s="19"/>
      <c r="AM2713" s="19"/>
      <c r="AN2713" s="19" t="n">
        <v>36</v>
      </c>
      <c r="AO2713" s="19"/>
      <c r="AP2713" s="19"/>
      <c r="AQ2713" s="19"/>
      <c r="AR2713" s="19"/>
      <c r="AS2713" s="20" t="str">
        <f aca="false">HYPERLINK("http://www.openstreetmap.org/?mlat=36.3725&amp;mlon=41.7178&amp;zoom=12#map=12/36.3725/41.7178","Maplink1")</f>
        <v>Maplink1</v>
      </c>
      <c r="AT2713" s="20" t="str">
        <f aca="false">HYPERLINK("https://www.google.iq/maps/search/+36.3725,41.7178/@36.3725,41.7178,14z?hl=en","Maplink2")</f>
        <v>Maplink2</v>
      </c>
      <c r="AU2713" s="20" t="str">
        <f aca="false">HYPERLINK("http://www.bing.com/maps/?lvl=14&amp;sty=h&amp;cp=36.3725~41.7178&amp;sp=point.36.3725_41.7178","Maplink3")</f>
        <v>Maplink3</v>
      </c>
    </row>
    <row r="2714" customFormat="false" ht="15" hidden="false" customHeight="true" outlineLevel="0" collapsed="false">
      <c r="A2714" s="15" t="n">
        <v>27399</v>
      </c>
      <c r="B2714" s="16" t="s">
        <v>27</v>
      </c>
      <c r="C2714" s="16" t="s">
        <v>5187</v>
      </c>
      <c r="D2714" s="16" t="s">
        <v>5230</v>
      </c>
      <c r="E2714" s="17" t="s">
        <v>5231</v>
      </c>
      <c r="F2714" s="16" t="n">
        <v>36.42995067</v>
      </c>
      <c r="G2714" s="16" t="n">
        <v>41.86808188</v>
      </c>
      <c r="H2714" s="18" t="n">
        <v>96</v>
      </c>
      <c r="I2714" s="18" t="n">
        <v>576</v>
      </c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 t="n">
        <v>96</v>
      </c>
      <c r="W2714" s="19"/>
      <c r="X2714" s="19"/>
      <c r="Y2714" s="19"/>
      <c r="Z2714" s="19"/>
      <c r="AA2714" s="19"/>
      <c r="AB2714" s="19"/>
      <c r="AC2714" s="19" t="n">
        <v>11</v>
      </c>
      <c r="AD2714" s="19"/>
      <c r="AE2714" s="19" t="n">
        <v>85</v>
      </c>
      <c r="AF2714" s="19"/>
      <c r="AG2714" s="19"/>
      <c r="AH2714" s="19"/>
      <c r="AI2714" s="19"/>
      <c r="AJ2714" s="19"/>
      <c r="AK2714" s="19"/>
      <c r="AL2714" s="19"/>
      <c r="AM2714" s="19"/>
      <c r="AN2714" s="19" t="n">
        <v>96</v>
      </c>
      <c r="AO2714" s="19"/>
      <c r="AP2714" s="19"/>
      <c r="AQ2714" s="19"/>
      <c r="AR2714" s="19"/>
      <c r="AS2714" s="20" t="str">
        <f aca="false">HYPERLINK("http://www.openstreetmap.org/?mlat=36.43&amp;mlon=41.8681&amp;zoom=12#map=12/36.43/41.8681","Maplink1")</f>
        <v>Maplink1</v>
      </c>
      <c r="AT2714" s="20" t="str">
        <f aca="false">HYPERLINK("https://www.google.iq/maps/search/+36.43,41.8681/@36.43,41.8681,14z?hl=en","Maplink2")</f>
        <v>Maplink2</v>
      </c>
      <c r="AU2714" s="20" t="str">
        <f aca="false">HYPERLINK("http://www.bing.com/maps/?lvl=14&amp;sty=h&amp;cp=36.43~41.8681&amp;sp=point.36.43_41.8681","Maplink3")</f>
        <v>Maplink3</v>
      </c>
    </row>
    <row r="2715" customFormat="false" ht="15" hidden="false" customHeight="true" outlineLevel="0" collapsed="false">
      <c r="A2715" s="15" t="n">
        <v>27400</v>
      </c>
      <c r="B2715" s="16" t="s">
        <v>27</v>
      </c>
      <c r="C2715" s="16" t="s">
        <v>5187</v>
      </c>
      <c r="D2715" s="16" t="s">
        <v>5232</v>
      </c>
      <c r="E2715" s="17" t="s">
        <v>5233</v>
      </c>
      <c r="F2715" s="16" t="n">
        <v>36.3798321</v>
      </c>
      <c r="G2715" s="16" t="n">
        <v>41.71556809</v>
      </c>
      <c r="H2715" s="18" t="n">
        <v>20</v>
      </c>
      <c r="I2715" s="18" t="n">
        <v>120</v>
      </c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 t="n">
        <v>20</v>
      </c>
      <c r="W2715" s="19"/>
      <c r="X2715" s="19"/>
      <c r="Y2715" s="19"/>
      <c r="Z2715" s="19"/>
      <c r="AA2715" s="19"/>
      <c r="AB2715" s="19"/>
      <c r="AC2715" s="19" t="n">
        <v>20</v>
      </c>
      <c r="AD2715" s="19"/>
      <c r="AE2715" s="19"/>
      <c r="AF2715" s="19"/>
      <c r="AG2715" s="19"/>
      <c r="AH2715" s="19"/>
      <c r="AI2715" s="19"/>
      <c r="AJ2715" s="19"/>
      <c r="AK2715" s="19"/>
      <c r="AL2715" s="19"/>
      <c r="AM2715" s="19"/>
      <c r="AN2715" s="19" t="n">
        <v>20</v>
      </c>
      <c r="AO2715" s="19"/>
      <c r="AP2715" s="19"/>
      <c r="AQ2715" s="19"/>
      <c r="AR2715" s="19"/>
      <c r="AS2715" s="20" t="str">
        <f aca="false">HYPERLINK("http://www.openstreetmap.org/?mlat=36.3798&amp;mlon=41.7156&amp;zoom=12#map=12/36.3798/41.7156","Maplink1")</f>
        <v>Maplink1</v>
      </c>
      <c r="AT2715" s="20" t="str">
        <f aca="false">HYPERLINK("https://www.google.iq/maps/search/+36.3798,41.7156/@36.3798,41.7156,14z?hl=en","Maplink2")</f>
        <v>Maplink2</v>
      </c>
      <c r="AU2715" s="20" t="str">
        <f aca="false">HYPERLINK("http://www.bing.com/maps/?lvl=14&amp;sty=h&amp;cp=36.3798~41.7156&amp;sp=point.36.3798_41.7156","Maplink3")</f>
        <v>Maplink3</v>
      </c>
    </row>
    <row r="2716" customFormat="false" ht="15" hidden="false" customHeight="true" outlineLevel="0" collapsed="false">
      <c r="A2716" s="15" t="n">
        <v>17928</v>
      </c>
      <c r="B2716" s="16" t="s">
        <v>27</v>
      </c>
      <c r="C2716" s="16" t="s">
        <v>5187</v>
      </c>
      <c r="D2716" s="16" t="s">
        <v>5234</v>
      </c>
      <c r="E2716" s="17" t="s">
        <v>5235</v>
      </c>
      <c r="F2716" s="16" t="n">
        <v>36.46622276</v>
      </c>
      <c r="G2716" s="16" t="n">
        <v>41.71169194</v>
      </c>
      <c r="H2716" s="18" t="n">
        <v>400</v>
      </c>
      <c r="I2716" s="18" t="n">
        <v>2400</v>
      </c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 t="n">
        <v>400</v>
      </c>
      <c r="W2716" s="19"/>
      <c r="X2716" s="19"/>
      <c r="Y2716" s="19"/>
      <c r="Z2716" s="19"/>
      <c r="AA2716" s="19"/>
      <c r="AB2716" s="19"/>
      <c r="AC2716" s="19" t="n">
        <v>400</v>
      </c>
      <c r="AD2716" s="19"/>
      <c r="AE2716" s="19"/>
      <c r="AF2716" s="19"/>
      <c r="AG2716" s="19"/>
      <c r="AH2716" s="19"/>
      <c r="AI2716" s="19"/>
      <c r="AJ2716" s="19"/>
      <c r="AK2716" s="19"/>
      <c r="AL2716" s="19"/>
      <c r="AM2716" s="19"/>
      <c r="AN2716" s="19" t="n">
        <v>400</v>
      </c>
      <c r="AO2716" s="19"/>
      <c r="AP2716" s="19"/>
      <c r="AQ2716" s="19"/>
      <c r="AR2716" s="19"/>
      <c r="AS2716" s="20" t="str">
        <f aca="false">HYPERLINK("http://www.openstreetmap.org/?mlat=36.4662&amp;mlon=41.7117&amp;zoom=12#map=12/36.4662/41.7117","Maplink1")</f>
        <v>Maplink1</v>
      </c>
      <c r="AT2716" s="20" t="str">
        <f aca="false">HYPERLINK("https://www.google.iq/maps/search/+36.4662,41.7117/@36.4662,41.7117,14z?hl=en","Maplink2")</f>
        <v>Maplink2</v>
      </c>
      <c r="AU2716" s="20" t="str">
        <f aca="false">HYPERLINK("http://www.bing.com/maps/?lvl=14&amp;sty=h&amp;cp=36.4662~41.7117&amp;sp=point.36.4662_41.7117","Maplink3")</f>
        <v>Maplink3</v>
      </c>
    </row>
    <row r="2717" customFormat="false" ht="15" hidden="false" customHeight="true" outlineLevel="0" collapsed="false">
      <c r="A2717" s="15" t="n">
        <v>29481</v>
      </c>
      <c r="B2717" s="16" t="s">
        <v>27</v>
      </c>
      <c r="C2717" s="16" t="s">
        <v>5187</v>
      </c>
      <c r="D2717" s="16" t="s">
        <v>5236</v>
      </c>
      <c r="E2717" s="17" t="s">
        <v>5237</v>
      </c>
      <c r="F2717" s="16" t="n">
        <v>36.5283644</v>
      </c>
      <c r="G2717" s="16" t="n">
        <v>41.6727536</v>
      </c>
      <c r="H2717" s="18" t="n">
        <v>4</v>
      </c>
      <c r="I2717" s="18" t="n">
        <v>24</v>
      </c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 t="n">
        <v>4</v>
      </c>
      <c r="W2717" s="19"/>
      <c r="X2717" s="19"/>
      <c r="Y2717" s="19"/>
      <c r="Z2717" s="19"/>
      <c r="AA2717" s="19"/>
      <c r="AB2717" s="19"/>
      <c r="AC2717" s="19" t="n">
        <v>4</v>
      </c>
      <c r="AD2717" s="19"/>
      <c r="AE2717" s="19"/>
      <c r="AF2717" s="19"/>
      <c r="AG2717" s="19"/>
      <c r="AH2717" s="19"/>
      <c r="AI2717" s="19"/>
      <c r="AJ2717" s="19"/>
      <c r="AK2717" s="19"/>
      <c r="AL2717" s="19"/>
      <c r="AM2717" s="19"/>
      <c r="AN2717" s="19" t="n">
        <v>4</v>
      </c>
      <c r="AO2717" s="19"/>
      <c r="AP2717" s="19"/>
      <c r="AQ2717" s="19"/>
      <c r="AR2717" s="19"/>
      <c r="AS2717" s="20" t="str">
        <f aca="false">HYPERLINK("http://www.openstreetmap.org/?mlat=36.5284&amp;mlon=41.6728&amp;zoom=12#map=12/36.5284/41.6728","Maplink1")</f>
        <v>Maplink1</v>
      </c>
      <c r="AT2717" s="20" t="str">
        <f aca="false">HYPERLINK("https://www.google.iq/maps/search/+36.5284,41.6728/@36.5284,41.6728,14z?hl=en","Maplink2")</f>
        <v>Maplink2</v>
      </c>
      <c r="AU2717" s="20" t="str">
        <f aca="false">HYPERLINK("http://www.bing.com/maps/?lvl=14&amp;sty=h&amp;cp=36.5284~41.6728&amp;sp=point.36.5284_41.6728","Maplink3")</f>
        <v>Maplink3</v>
      </c>
    </row>
    <row r="2718" customFormat="false" ht="15" hidden="false" customHeight="true" outlineLevel="0" collapsed="false">
      <c r="A2718" s="15" t="n">
        <v>27361</v>
      </c>
      <c r="B2718" s="16" t="s">
        <v>27</v>
      </c>
      <c r="C2718" s="16" t="s">
        <v>5187</v>
      </c>
      <c r="D2718" s="16" t="s">
        <v>5238</v>
      </c>
      <c r="E2718" s="17" t="s">
        <v>5239</v>
      </c>
      <c r="F2718" s="16" t="n">
        <v>36.39724</v>
      </c>
      <c r="G2718" s="16" t="n">
        <v>41.797674</v>
      </c>
      <c r="H2718" s="18" t="n">
        <v>370</v>
      </c>
      <c r="I2718" s="18" t="n">
        <v>2220</v>
      </c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 t="n">
        <v>370</v>
      </c>
      <c r="W2718" s="19"/>
      <c r="X2718" s="19"/>
      <c r="Y2718" s="19"/>
      <c r="Z2718" s="19"/>
      <c r="AA2718" s="19"/>
      <c r="AB2718" s="19"/>
      <c r="AC2718" s="19" t="n">
        <v>1</v>
      </c>
      <c r="AD2718" s="19"/>
      <c r="AE2718" s="19" t="n">
        <v>369</v>
      </c>
      <c r="AF2718" s="19"/>
      <c r="AG2718" s="19"/>
      <c r="AH2718" s="19"/>
      <c r="AI2718" s="19"/>
      <c r="AJ2718" s="19"/>
      <c r="AK2718" s="19"/>
      <c r="AL2718" s="19"/>
      <c r="AM2718" s="19"/>
      <c r="AN2718" s="19" t="n">
        <v>370</v>
      </c>
      <c r="AO2718" s="19"/>
      <c r="AP2718" s="19"/>
      <c r="AQ2718" s="19"/>
      <c r="AR2718" s="19"/>
      <c r="AS2718" s="20" t="str">
        <f aca="false">HYPERLINK("http://www.openstreetmap.org/?mlat=36.3972&amp;mlon=41.7977&amp;zoom=12#map=12/36.3972/41.7977","Maplink1")</f>
        <v>Maplink1</v>
      </c>
      <c r="AT2718" s="20" t="str">
        <f aca="false">HYPERLINK("https://www.google.iq/maps/search/+36.3972,41.7977/@36.3972,41.7977,14z?hl=en","Maplink2")</f>
        <v>Maplink2</v>
      </c>
      <c r="AU2718" s="20" t="str">
        <f aca="false">HYPERLINK("http://www.bing.com/maps/?lvl=14&amp;sty=h&amp;cp=36.3972~41.7977&amp;sp=point.36.3972_41.7977","Maplink3")</f>
        <v>Maplink3</v>
      </c>
    </row>
    <row r="2719" customFormat="false" ht="15" hidden="false" customHeight="true" outlineLevel="0" collapsed="false">
      <c r="A2719" s="15" t="n">
        <v>27287</v>
      </c>
      <c r="B2719" s="16" t="s">
        <v>27</v>
      </c>
      <c r="C2719" s="16" t="s">
        <v>5187</v>
      </c>
      <c r="D2719" s="16" t="s">
        <v>5240</v>
      </c>
      <c r="E2719" s="17" t="s">
        <v>5241</v>
      </c>
      <c r="F2719" s="16" t="n">
        <v>36.47124224</v>
      </c>
      <c r="G2719" s="16" t="n">
        <v>42.01619548</v>
      </c>
      <c r="H2719" s="18" t="n">
        <v>4</v>
      </c>
      <c r="I2719" s="18" t="n">
        <v>24</v>
      </c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 t="n">
        <v>4</v>
      </c>
      <c r="W2719" s="19"/>
      <c r="X2719" s="19"/>
      <c r="Y2719" s="19"/>
      <c r="Z2719" s="19"/>
      <c r="AA2719" s="19"/>
      <c r="AB2719" s="19"/>
      <c r="AC2719" s="19" t="n">
        <v>4</v>
      </c>
      <c r="AD2719" s="19"/>
      <c r="AE2719" s="19"/>
      <c r="AF2719" s="19"/>
      <c r="AG2719" s="19"/>
      <c r="AH2719" s="19"/>
      <c r="AI2719" s="19"/>
      <c r="AJ2719" s="19"/>
      <c r="AK2719" s="19"/>
      <c r="AL2719" s="19"/>
      <c r="AM2719" s="19"/>
      <c r="AN2719" s="19" t="n">
        <v>4</v>
      </c>
      <c r="AO2719" s="19"/>
      <c r="AP2719" s="19"/>
      <c r="AQ2719" s="19"/>
      <c r="AR2719" s="19"/>
      <c r="AS2719" s="20" t="str">
        <f aca="false">HYPERLINK("http://www.openstreetmap.org/?mlat=36.4712&amp;mlon=42.0162&amp;zoom=12#map=12/36.4712/42.0162","Maplink1")</f>
        <v>Maplink1</v>
      </c>
      <c r="AT2719" s="20" t="str">
        <f aca="false">HYPERLINK("https://www.google.iq/maps/search/+36.4712,42.0162/@36.4712,42.0162,14z?hl=en","Maplink2")</f>
        <v>Maplink2</v>
      </c>
      <c r="AU2719" s="20" t="str">
        <f aca="false">HYPERLINK("http://www.bing.com/maps/?lvl=14&amp;sty=h&amp;cp=36.4712~42.0162&amp;sp=point.36.4712_42.0162","Maplink3")</f>
        <v>Maplink3</v>
      </c>
    </row>
    <row r="2720" customFormat="false" ht="15" hidden="false" customHeight="true" outlineLevel="0" collapsed="false">
      <c r="A2720" s="15" t="n">
        <v>29609</v>
      </c>
      <c r="B2720" s="16" t="s">
        <v>27</v>
      </c>
      <c r="C2720" s="16" t="s">
        <v>5242</v>
      </c>
      <c r="D2720" s="16" t="s">
        <v>5243</v>
      </c>
      <c r="E2720" s="17" t="s">
        <v>5244</v>
      </c>
      <c r="F2720" s="16" t="n">
        <v>36.586765</v>
      </c>
      <c r="G2720" s="16" t="n">
        <v>42.292151</v>
      </c>
      <c r="H2720" s="18" t="n">
        <v>63</v>
      </c>
      <c r="I2720" s="18" t="n">
        <v>378</v>
      </c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 t="n">
        <v>63</v>
      </c>
      <c r="W2720" s="19"/>
      <c r="X2720" s="19"/>
      <c r="Y2720" s="19"/>
      <c r="Z2720" s="19"/>
      <c r="AA2720" s="19"/>
      <c r="AB2720" s="19"/>
      <c r="AC2720" s="19" t="n">
        <v>35</v>
      </c>
      <c r="AD2720" s="19"/>
      <c r="AE2720" s="19"/>
      <c r="AF2720" s="19" t="n">
        <v>17</v>
      </c>
      <c r="AG2720" s="19"/>
      <c r="AH2720" s="19"/>
      <c r="AI2720" s="19"/>
      <c r="AJ2720" s="19" t="n">
        <v>11</v>
      </c>
      <c r="AK2720" s="19"/>
      <c r="AL2720" s="19"/>
      <c r="AM2720" s="19"/>
      <c r="AN2720" s="19"/>
      <c r="AO2720" s="19" t="n">
        <v>20</v>
      </c>
      <c r="AP2720" s="19" t="n">
        <v>43</v>
      </c>
      <c r="AQ2720" s="19"/>
      <c r="AR2720" s="19"/>
      <c r="AS2720" s="20" t="str">
        <f aca="false">HYPERLINK("http://www.openstreetmap.org/?mlat=36.5868&amp;mlon=42.2922&amp;zoom=12#map=12/36.5868/42.2922","Maplink1")</f>
        <v>Maplink1</v>
      </c>
      <c r="AT2720" s="20" t="str">
        <f aca="false">HYPERLINK("https://www.google.iq/maps/search/+36.5868,42.2922/@36.5868,42.2922,14z?hl=en","Maplink2")</f>
        <v>Maplink2</v>
      </c>
      <c r="AU2720" s="20" t="str">
        <f aca="false">HYPERLINK("http://www.bing.com/maps/?lvl=14&amp;sty=h&amp;cp=36.5868~42.2922&amp;sp=point.36.5868_42.2922","Maplink3")</f>
        <v>Maplink3</v>
      </c>
    </row>
    <row r="2721" customFormat="false" ht="15" hidden="false" customHeight="true" outlineLevel="0" collapsed="false">
      <c r="A2721" s="15" t="n">
        <v>17657</v>
      </c>
      <c r="B2721" s="16" t="s">
        <v>27</v>
      </c>
      <c r="C2721" s="16" t="s">
        <v>5242</v>
      </c>
      <c r="D2721" s="16" t="s">
        <v>5245</v>
      </c>
      <c r="E2721" s="17" t="s">
        <v>5246</v>
      </c>
      <c r="F2721" s="16" t="n">
        <v>36.76480105</v>
      </c>
      <c r="G2721" s="16" t="n">
        <v>42.20876496</v>
      </c>
      <c r="H2721" s="18" t="n">
        <v>22</v>
      </c>
      <c r="I2721" s="18" t="n">
        <v>132</v>
      </c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 t="n">
        <v>22</v>
      </c>
      <c r="W2721" s="19"/>
      <c r="X2721" s="19"/>
      <c r="Y2721" s="19"/>
      <c r="Z2721" s="19"/>
      <c r="AA2721" s="19"/>
      <c r="AB2721" s="19"/>
      <c r="AC2721" s="19" t="n">
        <v>22</v>
      </c>
      <c r="AD2721" s="19"/>
      <c r="AE2721" s="19"/>
      <c r="AF2721" s="19"/>
      <c r="AG2721" s="19"/>
      <c r="AH2721" s="19"/>
      <c r="AI2721" s="19"/>
      <c r="AJ2721" s="19"/>
      <c r="AK2721" s="19"/>
      <c r="AL2721" s="19"/>
      <c r="AM2721" s="19"/>
      <c r="AN2721" s="19"/>
      <c r="AO2721" s="19" t="n">
        <v>22</v>
      </c>
      <c r="AP2721" s="19"/>
      <c r="AQ2721" s="19"/>
      <c r="AR2721" s="19"/>
      <c r="AS2721" s="20" t="str">
        <f aca="false">HYPERLINK("http://www.openstreetmap.org/?mlat=36.7648&amp;mlon=42.2088&amp;zoom=12#map=12/36.7648/42.2088","Maplink1")</f>
        <v>Maplink1</v>
      </c>
      <c r="AT2721" s="20" t="str">
        <f aca="false">HYPERLINK("https://www.google.iq/maps/search/+36.7648,42.2088/@36.7648,42.2088,14z?hl=en","Maplink2")</f>
        <v>Maplink2</v>
      </c>
      <c r="AU2721" s="20" t="str">
        <f aca="false">HYPERLINK("http://www.bing.com/maps/?lvl=14&amp;sty=h&amp;cp=36.7648~42.2088&amp;sp=point.36.7648_42.2088","Maplink3")</f>
        <v>Maplink3</v>
      </c>
    </row>
    <row r="2722" customFormat="false" ht="15" hidden="false" customHeight="true" outlineLevel="0" collapsed="false">
      <c r="A2722" s="15" t="n">
        <v>18262</v>
      </c>
      <c r="B2722" s="16" t="s">
        <v>27</v>
      </c>
      <c r="C2722" s="16" t="s">
        <v>5242</v>
      </c>
      <c r="D2722" s="16" t="s">
        <v>5247</v>
      </c>
      <c r="E2722" s="17" t="s">
        <v>5248</v>
      </c>
      <c r="F2722" s="16" t="n">
        <v>36.739934</v>
      </c>
      <c r="G2722" s="16" t="n">
        <v>42.124847</v>
      </c>
      <c r="H2722" s="18" t="n">
        <v>25</v>
      </c>
      <c r="I2722" s="18" t="n">
        <v>150</v>
      </c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 t="n">
        <v>25</v>
      </c>
      <c r="W2722" s="19"/>
      <c r="X2722" s="19"/>
      <c r="Y2722" s="19"/>
      <c r="Z2722" s="19"/>
      <c r="AA2722" s="19"/>
      <c r="AB2722" s="19"/>
      <c r="AC2722" s="19" t="n">
        <v>25</v>
      </c>
      <c r="AD2722" s="19"/>
      <c r="AE2722" s="19"/>
      <c r="AF2722" s="19"/>
      <c r="AG2722" s="19"/>
      <c r="AH2722" s="19"/>
      <c r="AI2722" s="19"/>
      <c r="AJ2722" s="19"/>
      <c r="AK2722" s="19"/>
      <c r="AL2722" s="19"/>
      <c r="AM2722" s="19"/>
      <c r="AN2722" s="19"/>
      <c r="AO2722" s="19" t="n">
        <v>25</v>
      </c>
      <c r="AP2722" s="19"/>
      <c r="AQ2722" s="19"/>
      <c r="AR2722" s="19"/>
      <c r="AS2722" s="20" t="str">
        <f aca="false">HYPERLINK("http://www.openstreetmap.org/?mlat=36.7399&amp;mlon=42.1248&amp;zoom=12#map=12/36.7399/42.1248","Maplink1")</f>
        <v>Maplink1</v>
      </c>
      <c r="AT2722" s="20" t="str">
        <f aca="false">HYPERLINK("https://www.google.iq/maps/search/+36.7399,42.1248/@36.7399,42.1248,14z?hl=en","Maplink2")</f>
        <v>Maplink2</v>
      </c>
      <c r="AU2722" s="20" t="str">
        <f aca="false">HYPERLINK("http://www.bing.com/maps/?lvl=14&amp;sty=h&amp;cp=36.7399~42.1248&amp;sp=point.36.7399_42.1248","Maplink3")</f>
        <v>Maplink3</v>
      </c>
    </row>
    <row r="2723" customFormat="false" ht="15" hidden="false" customHeight="true" outlineLevel="0" collapsed="false">
      <c r="A2723" s="15" t="n">
        <v>17486</v>
      </c>
      <c r="B2723" s="16" t="s">
        <v>27</v>
      </c>
      <c r="C2723" s="16" t="s">
        <v>5242</v>
      </c>
      <c r="D2723" s="16" t="s">
        <v>5249</v>
      </c>
      <c r="E2723" s="17" t="s">
        <v>5250</v>
      </c>
      <c r="F2723" s="16" t="n">
        <v>36.428</v>
      </c>
      <c r="G2723" s="16" t="n">
        <v>42.5986</v>
      </c>
      <c r="H2723" s="18" t="n">
        <v>163</v>
      </c>
      <c r="I2723" s="18" t="n">
        <v>978</v>
      </c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 t="n">
        <v>163</v>
      </c>
      <c r="W2723" s="19"/>
      <c r="X2723" s="19"/>
      <c r="Y2723" s="19"/>
      <c r="Z2723" s="19"/>
      <c r="AA2723" s="19"/>
      <c r="AB2723" s="19"/>
      <c r="AC2723" s="19" t="n">
        <v>155</v>
      </c>
      <c r="AD2723" s="19"/>
      <c r="AE2723" s="19"/>
      <c r="AF2723" s="19"/>
      <c r="AG2723" s="19"/>
      <c r="AH2723" s="19" t="n">
        <v>8</v>
      </c>
      <c r="AI2723" s="19"/>
      <c r="AJ2723" s="19"/>
      <c r="AK2723" s="19"/>
      <c r="AL2723" s="19"/>
      <c r="AM2723" s="19"/>
      <c r="AN2723" s="19"/>
      <c r="AO2723" s="19" t="n">
        <v>155</v>
      </c>
      <c r="AP2723" s="19" t="n">
        <v>8</v>
      </c>
      <c r="AQ2723" s="19"/>
      <c r="AR2723" s="19"/>
      <c r="AS2723" s="20" t="str">
        <f aca="false">HYPERLINK("http://www.openstreetmap.org/?mlat=36.428&amp;mlon=42.5986&amp;zoom=12#map=12/36.428/42.5986","Maplink1")</f>
        <v>Maplink1</v>
      </c>
      <c r="AT2723" s="20" t="str">
        <f aca="false">HYPERLINK("https://www.google.iq/maps/search/+36.428,42.5986/@36.428,42.5986,14z?hl=en","Maplink2")</f>
        <v>Maplink2</v>
      </c>
      <c r="AU2723" s="20" t="str">
        <f aca="false">HYPERLINK("http://www.bing.com/maps/?lvl=14&amp;sty=h&amp;cp=36.428~42.5986&amp;sp=point.36.428_42.5986","Maplink3")</f>
        <v>Maplink3</v>
      </c>
    </row>
    <row r="2724" customFormat="false" ht="15" hidden="false" customHeight="true" outlineLevel="0" collapsed="false">
      <c r="A2724" s="15" t="n">
        <v>27382</v>
      </c>
      <c r="B2724" s="16" t="s">
        <v>27</v>
      </c>
      <c r="C2724" s="16" t="s">
        <v>5242</v>
      </c>
      <c r="D2724" s="16" t="s">
        <v>5251</v>
      </c>
      <c r="E2724" s="17" t="s">
        <v>5252</v>
      </c>
      <c r="F2724" s="16" t="n">
        <v>36.62899014</v>
      </c>
      <c r="G2724" s="16" t="n">
        <v>42.46445998</v>
      </c>
      <c r="H2724" s="18" t="n">
        <v>225</v>
      </c>
      <c r="I2724" s="18" t="n">
        <v>1350</v>
      </c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 t="n">
        <v>225</v>
      </c>
      <c r="W2724" s="19"/>
      <c r="X2724" s="19"/>
      <c r="Y2724" s="19"/>
      <c r="Z2724" s="19"/>
      <c r="AA2724" s="19"/>
      <c r="AB2724" s="19"/>
      <c r="AC2724" s="19" t="n">
        <v>200</v>
      </c>
      <c r="AD2724" s="19"/>
      <c r="AE2724" s="19"/>
      <c r="AF2724" s="19"/>
      <c r="AG2724" s="19"/>
      <c r="AH2724" s="19"/>
      <c r="AI2724" s="19"/>
      <c r="AJ2724" s="19" t="n">
        <v>25</v>
      </c>
      <c r="AK2724" s="19"/>
      <c r="AL2724" s="19"/>
      <c r="AM2724" s="19"/>
      <c r="AN2724" s="19" t="n">
        <v>48</v>
      </c>
      <c r="AO2724" s="19"/>
      <c r="AP2724" s="19" t="n">
        <v>177</v>
      </c>
      <c r="AQ2724" s="19"/>
      <c r="AR2724" s="19"/>
      <c r="AS2724" s="20" t="str">
        <f aca="false">HYPERLINK("http://www.openstreetmap.org/?mlat=36.629&amp;mlon=42.4645&amp;zoom=12#map=12/36.629/42.4645","Maplink1")</f>
        <v>Maplink1</v>
      </c>
      <c r="AT2724" s="20" t="str">
        <f aca="false">HYPERLINK("https://www.google.iq/maps/search/+36.629,42.4645/@36.629,42.4645,14z?hl=en","Maplink2")</f>
        <v>Maplink2</v>
      </c>
      <c r="AU2724" s="20" t="str">
        <f aca="false">HYPERLINK("http://www.bing.com/maps/?lvl=14&amp;sty=h&amp;cp=36.629~42.4645&amp;sp=point.36.629_42.4645","Maplink3")</f>
        <v>Maplink3</v>
      </c>
    </row>
    <row r="2725" customFormat="false" ht="15" hidden="false" customHeight="true" outlineLevel="0" collapsed="false">
      <c r="A2725" s="15" t="n">
        <v>17746</v>
      </c>
      <c r="B2725" s="16" t="s">
        <v>27</v>
      </c>
      <c r="C2725" s="16" t="s">
        <v>5242</v>
      </c>
      <c r="D2725" s="16" t="s">
        <v>5253</v>
      </c>
      <c r="E2725" s="17" t="s">
        <v>5254</v>
      </c>
      <c r="F2725" s="16" t="n">
        <v>36.60537426</v>
      </c>
      <c r="G2725" s="16" t="n">
        <v>42.62355125</v>
      </c>
      <c r="H2725" s="18" t="n">
        <v>20</v>
      </c>
      <c r="I2725" s="18" t="n">
        <v>120</v>
      </c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 t="n">
        <v>20</v>
      </c>
      <c r="W2725" s="19"/>
      <c r="X2725" s="19"/>
      <c r="Y2725" s="19"/>
      <c r="Z2725" s="19"/>
      <c r="AA2725" s="19"/>
      <c r="AB2725" s="19"/>
      <c r="AC2725" s="19" t="n">
        <v>20</v>
      </c>
      <c r="AD2725" s="19"/>
      <c r="AE2725" s="19"/>
      <c r="AF2725" s="19"/>
      <c r="AG2725" s="19"/>
      <c r="AH2725" s="19"/>
      <c r="AI2725" s="19"/>
      <c r="AJ2725" s="19"/>
      <c r="AK2725" s="19"/>
      <c r="AL2725" s="19"/>
      <c r="AM2725" s="19"/>
      <c r="AN2725" s="19" t="n">
        <v>20</v>
      </c>
      <c r="AO2725" s="19"/>
      <c r="AP2725" s="19"/>
      <c r="AQ2725" s="19"/>
      <c r="AR2725" s="19"/>
      <c r="AS2725" s="20" t="str">
        <f aca="false">HYPERLINK("http://www.openstreetmap.org/?mlat=36.6054&amp;mlon=42.6236&amp;zoom=12#map=12/36.6054/42.6236","Maplink1")</f>
        <v>Maplink1</v>
      </c>
      <c r="AT2725" s="20" t="str">
        <f aca="false">HYPERLINK("https://www.google.iq/maps/search/+36.6054,42.6236/@36.6054,42.6236,14z?hl=en","Maplink2")</f>
        <v>Maplink2</v>
      </c>
      <c r="AU2725" s="20" t="str">
        <f aca="false">HYPERLINK("http://www.bing.com/maps/?lvl=14&amp;sty=h&amp;cp=36.6054~42.6236&amp;sp=point.36.6054_42.6236","Maplink3")</f>
        <v>Maplink3</v>
      </c>
    </row>
    <row r="2726" customFormat="false" ht="15" hidden="false" customHeight="true" outlineLevel="0" collapsed="false">
      <c r="A2726" s="15" t="n">
        <v>17728</v>
      </c>
      <c r="B2726" s="16" t="s">
        <v>27</v>
      </c>
      <c r="C2726" s="16" t="s">
        <v>5242</v>
      </c>
      <c r="D2726" s="16" t="s">
        <v>5255</v>
      </c>
      <c r="E2726" s="17" t="s">
        <v>5256</v>
      </c>
      <c r="F2726" s="16" t="n">
        <v>36.62238448</v>
      </c>
      <c r="G2726" s="16" t="n">
        <v>41.94759265</v>
      </c>
      <c r="H2726" s="18" t="n">
        <v>25</v>
      </c>
      <c r="I2726" s="18" t="n">
        <v>150</v>
      </c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 t="n">
        <v>25</v>
      </c>
      <c r="W2726" s="19"/>
      <c r="X2726" s="19"/>
      <c r="Y2726" s="19"/>
      <c r="Z2726" s="19"/>
      <c r="AA2726" s="19"/>
      <c r="AB2726" s="19"/>
      <c r="AC2726" s="19" t="n">
        <v>25</v>
      </c>
      <c r="AD2726" s="19"/>
      <c r="AE2726" s="19"/>
      <c r="AF2726" s="19"/>
      <c r="AG2726" s="19"/>
      <c r="AH2726" s="19"/>
      <c r="AI2726" s="19"/>
      <c r="AJ2726" s="19"/>
      <c r="AK2726" s="19"/>
      <c r="AL2726" s="19"/>
      <c r="AM2726" s="19"/>
      <c r="AN2726" s="19"/>
      <c r="AO2726" s="19" t="n">
        <v>25</v>
      </c>
      <c r="AP2726" s="19"/>
      <c r="AQ2726" s="19"/>
      <c r="AR2726" s="19"/>
      <c r="AS2726" s="20" t="str">
        <f aca="false">HYPERLINK("http://www.openstreetmap.org/?mlat=36.6224&amp;mlon=41.9476&amp;zoom=12#map=12/36.6224/41.9476","Maplink1")</f>
        <v>Maplink1</v>
      </c>
      <c r="AT2726" s="20" t="str">
        <f aca="false">HYPERLINK("https://www.google.iq/maps/search/+36.6224,41.9476/@36.6224,41.9476,14z?hl=en","Maplink2")</f>
        <v>Maplink2</v>
      </c>
      <c r="AU2726" s="20" t="str">
        <f aca="false">HYPERLINK("http://www.bing.com/maps/?lvl=14&amp;sty=h&amp;cp=36.6224~41.9476&amp;sp=point.36.6224_41.9476","Maplink3")</f>
        <v>Maplink3</v>
      </c>
    </row>
    <row r="2727" customFormat="false" ht="15" hidden="false" customHeight="true" outlineLevel="0" collapsed="false">
      <c r="A2727" s="15" t="n">
        <v>24809</v>
      </c>
      <c r="B2727" s="16" t="s">
        <v>27</v>
      </c>
      <c r="C2727" s="16" t="s">
        <v>5242</v>
      </c>
      <c r="D2727" s="16" t="s">
        <v>5257</v>
      </c>
      <c r="E2727" s="17" t="s">
        <v>300</v>
      </c>
      <c r="F2727" s="16" t="n">
        <v>36.3744</v>
      </c>
      <c r="G2727" s="16" t="n">
        <v>42.4513</v>
      </c>
      <c r="H2727" s="18" t="n">
        <v>20</v>
      </c>
      <c r="I2727" s="18" t="n">
        <v>120</v>
      </c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 t="n">
        <v>20</v>
      </c>
      <c r="W2727" s="19"/>
      <c r="X2727" s="19"/>
      <c r="Y2727" s="19"/>
      <c r="Z2727" s="19"/>
      <c r="AA2727" s="19"/>
      <c r="AB2727" s="19"/>
      <c r="AC2727" s="19"/>
      <c r="AD2727" s="19"/>
      <c r="AE2727" s="19"/>
      <c r="AF2727" s="19"/>
      <c r="AG2727" s="19"/>
      <c r="AH2727" s="19"/>
      <c r="AI2727" s="19"/>
      <c r="AJ2727" s="19" t="n">
        <v>20</v>
      </c>
      <c r="AK2727" s="19"/>
      <c r="AL2727" s="19"/>
      <c r="AM2727" s="19"/>
      <c r="AN2727" s="19"/>
      <c r="AO2727" s="19" t="n">
        <v>20</v>
      </c>
      <c r="AP2727" s="19"/>
      <c r="AQ2727" s="19"/>
      <c r="AR2727" s="19"/>
      <c r="AS2727" s="20" t="str">
        <f aca="false">HYPERLINK("http://www.openstreetmap.org/?mlat=36.3744&amp;mlon=42.4513&amp;zoom=12#map=12/36.3744/42.4513","Maplink1")</f>
        <v>Maplink1</v>
      </c>
      <c r="AT2727" s="20" t="str">
        <f aca="false">HYPERLINK("https://www.google.iq/maps/search/+36.3744,42.4513/@36.3744,42.4513,14z?hl=en","Maplink2")</f>
        <v>Maplink2</v>
      </c>
      <c r="AU2727" s="20" t="str">
        <f aca="false">HYPERLINK("http://www.bing.com/maps/?lvl=14&amp;sty=h&amp;cp=36.3744~42.4513&amp;sp=point.36.3744_42.4513","Maplink3")</f>
        <v>Maplink3</v>
      </c>
    </row>
    <row r="2728" customFormat="false" ht="15" hidden="false" customHeight="true" outlineLevel="0" collapsed="false">
      <c r="A2728" s="15" t="n">
        <v>23168</v>
      </c>
      <c r="B2728" s="16" t="s">
        <v>27</v>
      </c>
      <c r="C2728" s="16" t="s">
        <v>5242</v>
      </c>
      <c r="D2728" s="16" t="s">
        <v>5258</v>
      </c>
      <c r="E2728" s="17" t="s">
        <v>5259</v>
      </c>
      <c r="F2728" s="16" t="n">
        <v>36.63208275</v>
      </c>
      <c r="G2728" s="16" t="n">
        <v>42.2880305</v>
      </c>
      <c r="H2728" s="18" t="n">
        <v>275</v>
      </c>
      <c r="I2728" s="18" t="n">
        <v>1650</v>
      </c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 t="n">
        <v>275</v>
      </c>
      <c r="W2728" s="19"/>
      <c r="X2728" s="19"/>
      <c r="Y2728" s="19"/>
      <c r="Z2728" s="19"/>
      <c r="AA2728" s="19"/>
      <c r="AB2728" s="19"/>
      <c r="AC2728" s="19" t="n">
        <v>150</v>
      </c>
      <c r="AD2728" s="19"/>
      <c r="AE2728" s="19"/>
      <c r="AF2728" s="19" t="n">
        <v>52</v>
      </c>
      <c r="AG2728" s="19"/>
      <c r="AH2728" s="19"/>
      <c r="AI2728" s="19"/>
      <c r="AJ2728" s="19" t="n">
        <v>73</v>
      </c>
      <c r="AK2728" s="19"/>
      <c r="AL2728" s="19"/>
      <c r="AM2728" s="19"/>
      <c r="AN2728" s="19" t="n">
        <v>13</v>
      </c>
      <c r="AO2728" s="19" t="n">
        <v>260</v>
      </c>
      <c r="AP2728" s="19" t="n">
        <v>2</v>
      </c>
      <c r="AQ2728" s="19"/>
      <c r="AR2728" s="19"/>
      <c r="AS2728" s="20" t="str">
        <f aca="false">HYPERLINK("http://www.openstreetmap.org/?mlat=36.6321&amp;mlon=42.288&amp;zoom=12#map=12/36.6321/42.288","Maplink1")</f>
        <v>Maplink1</v>
      </c>
      <c r="AT2728" s="20" t="str">
        <f aca="false">HYPERLINK("https://www.google.iq/maps/search/+36.6321,42.288/@36.6321,42.288,14z?hl=en","Maplink2")</f>
        <v>Maplink2</v>
      </c>
      <c r="AU2728" s="20" t="str">
        <f aca="false">HYPERLINK("http://www.bing.com/maps/?lvl=14&amp;sty=h&amp;cp=36.6321~42.288&amp;sp=point.36.6321_42.288","Maplink3")</f>
        <v>Maplink3</v>
      </c>
    </row>
    <row r="2729" customFormat="false" ht="15" hidden="false" customHeight="true" outlineLevel="0" collapsed="false">
      <c r="A2729" s="15" t="n">
        <v>17674</v>
      </c>
      <c r="B2729" s="16" t="s">
        <v>27</v>
      </c>
      <c r="C2729" s="16" t="s">
        <v>5242</v>
      </c>
      <c r="D2729" s="16" t="s">
        <v>5260</v>
      </c>
      <c r="E2729" s="17" t="s">
        <v>5261</v>
      </c>
      <c r="F2729" s="16" t="n">
        <v>36.59547439</v>
      </c>
      <c r="G2729" s="16" t="n">
        <v>42.36191959</v>
      </c>
      <c r="H2729" s="18" t="n">
        <v>75</v>
      </c>
      <c r="I2729" s="18" t="n">
        <v>450</v>
      </c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 t="n">
        <v>75</v>
      </c>
      <c r="W2729" s="19"/>
      <c r="X2729" s="19"/>
      <c r="Y2729" s="19"/>
      <c r="Z2729" s="19"/>
      <c r="AA2729" s="19"/>
      <c r="AB2729" s="19"/>
      <c r="AC2729" s="19" t="n">
        <v>50</v>
      </c>
      <c r="AD2729" s="19"/>
      <c r="AE2729" s="19"/>
      <c r="AF2729" s="19"/>
      <c r="AG2729" s="19"/>
      <c r="AH2729" s="19"/>
      <c r="AI2729" s="19"/>
      <c r="AJ2729" s="19" t="n">
        <v>25</v>
      </c>
      <c r="AK2729" s="19"/>
      <c r="AL2729" s="19"/>
      <c r="AM2729" s="19"/>
      <c r="AN2729" s="19"/>
      <c r="AO2729" s="19" t="n">
        <v>35</v>
      </c>
      <c r="AP2729" s="19" t="n">
        <v>40</v>
      </c>
      <c r="AQ2729" s="19"/>
      <c r="AR2729" s="19"/>
      <c r="AS2729" s="20" t="str">
        <f aca="false">HYPERLINK("http://www.openstreetmap.org/?mlat=36.5955&amp;mlon=42.3619&amp;zoom=12#map=12/36.5955/42.3619","Maplink1")</f>
        <v>Maplink1</v>
      </c>
      <c r="AT2729" s="20" t="str">
        <f aca="false">HYPERLINK("https://www.google.iq/maps/search/+36.5955,42.3619/@36.5955,42.3619,14z?hl=en","Maplink2")</f>
        <v>Maplink2</v>
      </c>
      <c r="AU2729" s="20" t="str">
        <f aca="false">HYPERLINK("http://www.bing.com/maps/?lvl=14&amp;sty=h&amp;cp=36.5955~42.3619&amp;sp=point.36.5955_42.3619","Maplink3")</f>
        <v>Maplink3</v>
      </c>
    </row>
    <row r="2730" customFormat="false" ht="15" hidden="false" customHeight="true" outlineLevel="0" collapsed="false">
      <c r="A2730" s="15" t="n">
        <v>17775</v>
      </c>
      <c r="B2730" s="16" t="s">
        <v>27</v>
      </c>
      <c r="C2730" s="16" t="s">
        <v>5242</v>
      </c>
      <c r="D2730" s="16" t="s">
        <v>5262</v>
      </c>
      <c r="E2730" s="17" t="s">
        <v>5263</v>
      </c>
      <c r="F2730" s="16" t="n">
        <v>36.5936659</v>
      </c>
      <c r="G2730" s="16" t="n">
        <v>42.38644242</v>
      </c>
      <c r="H2730" s="18" t="n">
        <v>33</v>
      </c>
      <c r="I2730" s="18" t="n">
        <v>198</v>
      </c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 t="n">
        <v>33</v>
      </c>
      <c r="W2730" s="19"/>
      <c r="X2730" s="19"/>
      <c r="Y2730" s="19"/>
      <c r="Z2730" s="19"/>
      <c r="AA2730" s="19"/>
      <c r="AB2730" s="19"/>
      <c r="AC2730" s="19" t="n">
        <v>23</v>
      </c>
      <c r="AD2730" s="19"/>
      <c r="AE2730" s="19"/>
      <c r="AF2730" s="19"/>
      <c r="AG2730" s="19"/>
      <c r="AH2730" s="19"/>
      <c r="AI2730" s="19"/>
      <c r="AJ2730" s="19" t="n">
        <v>10</v>
      </c>
      <c r="AK2730" s="19"/>
      <c r="AL2730" s="19"/>
      <c r="AM2730" s="19"/>
      <c r="AN2730" s="19"/>
      <c r="AO2730" s="19" t="n">
        <v>10</v>
      </c>
      <c r="AP2730" s="19" t="n">
        <v>23</v>
      </c>
      <c r="AQ2730" s="19"/>
      <c r="AR2730" s="19"/>
      <c r="AS2730" s="20" t="str">
        <f aca="false">HYPERLINK("http://www.openstreetmap.org/?mlat=36.5937&amp;mlon=42.3864&amp;zoom=12#map=12/36.5937/42.3864","Maplink1")</f>
        <v>Maplink1</v>
      </c>
      <c r="AT2730" s="20" t="str">
        <f aca="false">HYPERLINK("https://www.google.iq/maps/search/+36.5937,42.3864/@36.5937,42.3864,14z?hl=en","Maplink2")</f>
        <v>Maplink2</v>
      </c>
      <c r="AU2730" s="20" t="str">
        <f aca="false">HYPERLINK("http://www.bing.com/maps/?lvl=14&amp;sty=h&amp;cp=36.5937~42.3864&amp;sp=point.36.5937_42.3864","Maplink3")</f>
        <v>Maplink3</v>
      </c>
    </row>
    <row r="2731" customFormat="false" ht="15" hidden="false" customHeight="true" outlineLevel="0" collapsed="false">
      <c r="A2731" s="15" t="n">
        <v>28437</v>
      </c>
      <c r="B2731" s="16" t="s">
        <v>27</v>
      </c>
      <c r="C2731" s="16" t="s">
        <v>5242</v>
      </c>
      <c r="D2731" s="16" t="s">
        <v>5264</v>
      </c>
      <c r="E2731" s="17" t="s">
        <v>5265</v>
      </c>
      <c r="F2731" s="16" t="n">
        <v>36.62801483</v>
      </c>
      <c r="G2731" s="16" t="n">
        <v>42.04295357</v>
      </c>
      <c r="H2731" s="18" t="n">
        <v>73</v>
      </c>
      <c r="I2731" s="18" t="n">
        <v>438</v>
      </c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 t="n">
        <v>73</v>
      </c>
      <c r="W2731" s="19"/>
      <c r="X2731" s="19"/>
      <c r="Y2731" s="19"/>
      <c r="Z2731" s="19"/>
      <c r="AA2731" s="19"/>
      <c r="AB2731" s="19"/>
      <c r="AC2731" s="19" t="n">
        <v>73</v>
      </c>
      <c r="AD2731" s="19"/>
      <c r="AE2731" s="19"/>
      <c r="AF2731" s="19"/>
      <c r="AG2731" s="19"/>
      <c r="AH2731" s="19"/>
      <c r="AI2731" s="19"/>
      <c r="AJ2731" s="19"/>
      <c r="AK2731" s="19"/>
      <c r="AL2731" s="19"/>
      <c r="AM2731" s="19"/>
      <c r="AN2731" s="19"/>
      <c r="AO2731" s="19" t="n">
        <v>15</v>
      </c>
      <c r="AP2731" s="19" t="n">
        <v>43</v>
      </c>
      <c r="AQ2731" s="19" t="n">
        <v>15</v>
      </c>
      <c r="AR2731" s="19"/>
      <c r="AS2731" s="20" t="str">
        <f aca="false">HYPERLINK("http://www.openstreetmap.org/?mlat=36.628&amp;mlon=42.043&amp;zoom=12#map=12/36.628/42.043","Maplink1")</f>
        <v>Maplink1</v>
      </c>
      <c r="AT2731" s="20" t="str">
        <f aca="false">HYPERLINK("https://www.google.iq/maps/search/+36.628,42.043/@36.628,42.043,14z?hl=en","Maplink2")</f>
        <v>Maplink2</v>
      </c>
      <c r="AU2731" s="20" t="str">
        <f aca="false">HYPERLINK("http://www.bing.com/maps/?lvl=14&amp;sty=h&amp;cp=36.628~42.043&amp;sp=point.36.628_42.043","Maplink3")</f>
        <v>Maplink3</v>
      </c>
    </row>
    <row r="2732" customFormat="false" ht="15" hidden="false" customHeight="true" outlineLevel="0" collapsed="false">
      <c r="A2732" s="15" t="n">
        <v>29559</v>
      </c>
      <c r="B2732" s="16" t="s">
        <v>27</v>
      </c>
      <c r="C2732" s="16" t="s">
        <v>5242</v>
      </c>
      <c r="D2732" s="16" t="s">
        <v>5266</v>
      </c>
      <c r="E2732" s="17" t="s">
        <v>5267</v>
      </c>
      <c r="F2732" s="16" t="n">
        <v>36.76233878</v>
      </c>
      <c r="G2732" s="16" t="n">
        <v>42.60033777</v>
      </c>
      <c r="H2732" s="18" t="n">
        <v>73</v>
      </c>
      <c r="I2732" s="18" t="n">
        <v>438</v>
      </c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 t="n">
        <v>73</v>
      </c>
      <c r="W2732" s="19"/>
      <c r="X2732" s="19"/>
      <c r="Y2732" s="19"/>
      <c r="Z2732" s="19"/>
      <c r="AA2732" s="19"/>
      <c r="AB2732" s="19"/>
      <c r="AC2732" s="19"/>
      <c r="AD2732" s="19" t="n">
        <v>73</v>
      </c>
      <c r="AE2732" s="19"/>
      <c r="AF2732" s="19"/>
      <c r="AG2732" s="19"/>
      <c r="AH2732" s="19"/>
      <c r="AI2732" s="19"/>
      <c r="AJ2732" s="19"/>
      <c r="AK2732" s="19"/>
      <c r="AL2732" s="19"/>
      <c r="AM2732" s="19"/>
      <c r="AN2732" s="19"/>
      <c r="AO2732" s="19" t="n">
        <v>73</v>
      </c>
      <c r="AP2732" s="19"/>
      <c r="AQ2732" s="19"/>
      <c r="AR2732" s="19"/>
      <c r="AS2732" s="20" t="str">
        <f aca="false">HYPERLINK("http://www.openstreetmap.org/?mlat=36.7623&amp;mlon=42.6003&amp;zoom=12#map=12/36.7623/42.6003","Maplink1")</f>
        <v>Maplink1</v>
      </c>
      <c r="AT2732" s="20" t="str">
        <f aca="false">HYPERLINK("https://www.google.iq/maps/search/+36.7623,42.6003/@36.7623,42.6003,14z?hl=en","Maplink2")</f>
        <v>Maplink2</v>
      </c>
      <c r="AU2732" s="20" t="str">
        <f aca="false">HYPERLINK("http://www.bing.com/maps/?lvl=14&amp;sty=h&amp;cp=36.7623~42.6003&amp;sp=point.36.7623_42.6003","Maplink3")</f>
        <v>Maplink3</v>
      </c>
    </row>
    <row r="2733" customFormat="false" ht="15" hidden="false" customHeight="true" outlineLevel="0" collapsed="false">
      <c r="A2733" s="15" t="n">
        <v>17637</v>
      </c>
      <c r="B2733" s="16" t="s">
        <v>27</v>
      </c>
      <c r="C2733" s="16" t="s">
        <v>5242</v>
      </c>
      <c r="D2733" s="16" t="s">
        <v>5268</v>
      </c>
      <c r="E2733" s="17" t="s">
        <v>5269</v>
      </c>
      <c r="F2733" s="16" t="n">
        <v>36.58409851</v>
      </c>
      <c r="G2733" s="16" t="n">
        <v>42.31941462</v>
      </c>
      <c r="H2733" s="18" t="n">
        <v>38</v>
      </c>
      <c r="I2733" s="18" t="n">
        <v>228</v>
      </c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 t="n">
        <v>38</v>
      </c>
      <c r="W2733" s="19"/>
      <c r="X2733" s="19"/>
      <c r="Y2733" s="19"/>
      <c r="Z2733" s="19"/>
      <c r="AA2733" s="19"/>
      <c r="AB2733" s="19"/>
      <c r="AC2733" s="19" t="n">
        <v>25</v>
      </c>
      <c r="AD2733" s="19"/>
      <c r="AE2733" s="19"/>
      <c r="AF2733" s="19"/>
      <c r="AG2733" s="19"/>
      <c r="AH2733" s="19"/>
      <c r="AI2733" s="19"/>
      <c r="AJ2733" s="19" t="n">
        <v>13</v>
      </c>
      <c r="AK2733" s="19"/>
      <c r="AL2733" s="19"/>
      <c r="AM2733" s="19"/>
      <c r="AN2733" s="19"/>
      <c r="AO2733" s="19" t="n">
        <v>10</v>
      </c>
      <c r="AP2733" s="19" t="n">
        <v>28</v>
      </c>
      <c r="AQ2733" s="19"/>
      <c r="AR2733" s="19"/>
      <c r="AS2733" s="20" t="str">
        <f aca="false">HYPERLINK("http://www.openstreetmap.org/?mlat=36.5841&amp;mlon=42.3194&amp;zoom=12#map=12/36.5841/42.3194","Maplink1")</f>
        <v>Maplink1</v>
      </c>
      <c r="AT2733" s="20" t="str">
        <f aca="false">HYPERLINK("https://www.google.iq/maps/search/+36.5841,42.3194/@36.5841,42.3194,14z?hl=en","Maplink2")</f>
        <v>Maplink2</v>
      </c>
      <c r="AU2733" s="20" t="str">
        <f aca="false">HYPERLINK("http://www.bing.com/maps/?lvl=14&amp;sty=h&amp;cp=36.5841~42.3194&amp;sp=point.36.5841_42.3194","Maplink3")</f>
        <v>Maplink3</v>
      </c>
    </row>
    <row r="2734" customFormat="false" ht="15" hidden="false" customHeight="true" outlineLevel="0" collapsed="false">
      <c r="A2734" s="15" t="n">
        <v>17654</v>
      </c>
      <c r="B2734" s="16" t="s">
        <v>27</v>
      </c>
      <c r="C2734" s="16" t="s">
        <v>5242</v>
      </c>
      <c r="D2734" s="16" t="s">
        <v>5270</v>
      </c>
      <c r="E2734" s="17" t="s">
        <v>5271</v>
      </c>
      <c r="F2734" s="16" t="n">
        <v>36.64298294</v>
      </c>
      <c r="G2734" s="16" t="n">
        <v>42.44407942</v>
      </c>
      <c r="H2734" s="18" t="n">
        <v>363</v>
      </c>
      <c r="I2734" s="18" t="n">
        <v>2178</v>
      </c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 t="n">
        <v>363</v>
      </c>
      <c r="W2734" s="19"/>
      <c r="X2734" s="19"/>
      <c r="Y2734" s="19"/>
      <c r="Z2734" s="19"/>
      <c r="AA2734" s="19"/>
      <c r="AB2734" s="19"/>
      <c r="AC2734" s="19" t="n">
        <v>310</v>
      </c>
      <c r="AD2734" s="19"/>
      <c r="AE2734" s="19"/>
      <c r="AF2734" s="19"/>
      <c r="AG2734" s="19"/>
      <c r="AH2734" s="19"/>
      <c r="AI2734" s="19"/>
      <c r="AJ2734" s="19" t="n">
        <v>53</v>
      </c>
      <c r="AK2734" s="19"/>
      <c r="AL2734" s="19"/>
      <c r="AM2734" s="19"/>
      <c r="AN2734" s="19"/>
      <c r="AO2734" s="19"/>
      <c r="AP2734" s="19" t="n">
        <v>363</v>
      </c>
      <c r="AQ2734" s="19"/>
      <c r="AR2734" s="19"/>
      <c r="AS2734" s="20" t="str">
        <f aca="false">HYPERLINK("http://www.openstreetmap.org/?mlat=36.643&amp;mlon=42.4441&amp;zoom=12#map=12/36.643/42.4441","Maplink1")</f>
        <v>Maplink1</v>
      </c>
      <c r="AT2734" s="20" t="str">
        <f aca="false">HYPERLINK("https://www.google.iq/maps/search/+36.643,42.4441/@36.643,42.4441,14z?hl=en","Maplink2")</f>
        <v>Maplink2</v>
      </c>
      <c r="AU2734" s="20" t="str">
        <f aca="false">HYPERLINK("http://www.bing.com/maps/?lvl=14&amp;sty=h&amp;cp=36.643~42.4441&amp;sp=point.36.643_42.4441","Maplink3")</f>
        <v>Maplink3</v>
      </c>
    </row>
    <row r="2735" customFormat="false" ht="15" hidden="false" customHeight="true" outlineLevel="0" collapsed="false">
      <c r="A2735" s="15" t="n">
        <v>17762</v>
      </c>
      <c r="B2735" s="16" t="s">
        <v>27</v>
      </c>
      <c r="C2735" s="16" t="s">
        <v>5242</v>
      </c>
      <c r="D2735" s="16" t="s">
        <v>5272</v>
      </c>
      <c r="E2735" s="17" t="s">
        <v>5273</v>
      </c>
      <c r="F2735" s="16" t="n">
        <v>36.79922283</v>
      </c>
      <c r="G2735" s="16" t="n">
        <v>42.47037459</v>
      </c>
      <c r="H2735" s="18" t="n">
        <v>19</v>
      </c>
      <c r="I2735" s="18" t="n">
        <v>114</v>
      </c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 t="n">
        <v>19</v>
      </c>
      <c r="W2735" s="19"/>
      <c r="X2735" s="19"/>
      <c r="Y2735" s="19"/>
      <c r="Z2735" s="19"/>
      <c r="AA2735" s="19"/>
      <c r="AB2735" s="19"/>
      <c r="AC2735" s="19" t="n">
        <v>19</v>
      </c>
      <c r="AD2735" s="19"/>
      <c r="AE2735" s="19"/>
      <c r="AF2735" s="19"/>
      <c r="AG2735" s="19"/>
      <c r="AH2735" s="19"/>
      <c r="AI2735" s="19"/>
      <c r="AJ2735" s="19"/>
      <c r="AK2735" s="19"/>
      <c r="AL2735" s="19"/>
      <c r="AM2735" s="19"/>
      <c r="AN2735" s="19"/>
      <c r="AO2735" s="19"/>
      <c r="AP2735" s="19" t="n">
        <v>19</v>
      </c>
      <c r="AQ2735" s="19"/>
      <c r="AR2735" s="19"/>
      <c r="AS2735" s="20" t="str">
        <f aca="false">HYPERLINK("http://www.openstreetmap.org/?mlat=36.7992&amp;mlon=42.4704&amp;zoom=12#map=12/36.7992/42.4704","Maplink1")</f>
        <v>Maplink1</v>
      </c>
      <c r="AT2735" s="20" t="str">
        <f aca="false">HYPERLINK("https://www.google.iq/maps/search/+36.7992,42.4704/@36.7992,42.4704,14z?hl=en","Maplink2")</f>
        <v>Maplink2</v>
      </c>
      <c r="AU2735" s="20" t="str">
        <f aca="false">HYPERLINK("http://www.bing.com/maps/?lvl=14&amp;sty=h&amp;cp=36.7992~42.4704&amp;sp=point.36.7992_42.4704","Maplink3")</f>
        <v>Maplink3</v>
      </c>
    </row>
    <row r="2736" customFormat="false" ht="15" hidden="false" customHeight="true" outlineLevel="0" collapsed="false">
      <c r="A2736" s="15" t="n">
        <v>18031</v>
      </c>
      <c r="B2736" s="16" t="s">
        <v>27</v>
      </c>
      <c r="C2736" s="16" t="s">
        <v>5242</v>
      </c>
      <c r="D2736" s="16" t="s">
        <v>5274</v>
      </c>
      <c r="E2736" s="17" t="s">
        <v>5275</v>
      </c>
      <c r="F2736" s="16" t="n">
        <v>36.550435</v>
      </c>
      <c r="G2736" s="16" t="n">
        <v>42.28612779</v>
      </c>
      <c r="H2736" s="18" t="n">
        <v>113</v>
      </c>
      <c r="I2736" s="18" t="n">
        <v>678</v>
      </c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 t="n">
        <v>113</v>
      </c>
      <c r="W2736" s="19"/>
      <c r="X2736" s="19"/>
      <c r="Y2736" s="19"/>
      <c r="Z2736" s="19"/>
      <c r="AA2736" s="19"/>
      <c r="AB2736" s="19"/>
      <c r="AC2736" s="19" t="n">
        <v>63</v>
      </c>
      <c r="AD2736" s="19"/>
      <c r="AE2736" s="19"/>
      <c r="AF2736" s="19" t="n">
        <v>20</v>
      </c>
      <c r="AG2736" s="19"/>
      <c r="AH2736" s="19"/>
      <c r="AI2736" s="19"/>
      <c r="AJ2736" s="19" t="n">
        <v>30</v>
      </c>
      <c r="AK2736" s="19"/>
      <c r="AL2736" s="19"/>
      <c r="AM2736" s="19"/>
      <c r="AN2736" s="19"/>
      <c r="AO2736" s="19"/>
      <c r="AP2736" s="19" t="n">
        <v>113</v>
      </c>
      <c r="AQ2736" s="19"/>
      <c r="AR2736" s="19"/>
      <c r="AS2736" s="20" t="str">
        <f aca="false">HYPERLINK("http://www.openstreetmap.org/?mlat=36.5504&amp;mlon=42.2861&amp;zoom=12#map=12/36.5504/42.2861","Maplink1")</f>
        <v>Maplink1</v>
      </c>
      <c r="AT2736" s="20" t="str">
        <f aca="false">HYPERLINK("https://www.google.iq/maps/search/+36.5504,42.2861/@36.5504,42.2861,14z?hl=en","Maplink2")</f>
        <v>Maplink2</v>
      </c>
      <c r="AU2736" s="20" t="str">
        <f aca="false">HYPERLINK("http://www.bing.com/maps/?lvl=14&amp;sty=h&amp;cp=36.5504~42.2861&amp;sp=point.36.5504_42.2861","Maplink3")</f>
        <v>Maplink3</v>
      </c>
    </row>
    <row r="2737" customFormat="false" ht="15" hidden="false" customHeight="true" outlineLevel="0" collapsed="false">
      <c r="A2737" s="15" t="n">
        <v>28440</v>
      </c>
      <c r="B2737" s="16" t="s">
        <v>27</v>
      </c>
      <c r="C2737" s="16" t="s">
        <v>5242</v>
      </c>
      <c r="D2737" s="16" t="s">
        <v>5276</v>
      </c>
      <c r="E2737" s="17" t="s">
        <v>5277</v>
      </c>
      <c r="F2737" s="16" t="n">
        <v>36.79399705</v>
      </c>
      <c r="G2737" s="16" t="n">
        <v>42.21445556</v>
      </c>
      <c r="H2737" s="18" t="n">
        <v>10</v>
      </c>
      <c r="I2737" s="18" t="n">
        <v>60</v>
      </c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 t="n">
        <v>10</v>
      </c>
      <c r="W2737" s="19"/>
      <c r="X2737" s="19"/>
      <c r="Y2737" s="19"/>
      <c r="Z2737" s="19"/>
      <c r="AA2737" s="19"/>
      <c r="AB2737" s="19"/>
      <c r="AC2737" s="19" t="n">
        <v>10</v>
      </c>
      <c r="AD2737" s="19"/>
      <c r="AE2737" s="19"/>
      <c r="AF2737" s="19"/>
      <c r="AG2737" s="19"/>
      <c r="AH2737" s="19"/>
      <c r="AI2737" s="19"/>
      <c r="AJ2737" s="19"/>
      <c r="AK2737" s="19"/>
      <c r="AL2737" s="19"/>
      <c r="AM2737" s="19"/>
      <c r="AN2737" s="19"/>
      <c r="AO2737" s="19" t="n">
        <v>8</v>
      </c>
      <c r="AP2737" s="19"/>
      <c r="AQ2737" s="19" t="n">
        <v>2</v>
      </c>
      <c r="AR2737" s="19"/>
      <c r="AS2737" s="20" t="str">
        <f aca="false">HYPERLINK("http://www.openstreetmap.org/?mlat=36.794&amp;mlon=42.2145&amp;zoom=12#map=12/36.794/42.2145","Maplink1")</f>
        <v>Maplink1</v>
      </c>
      <c r="AT2737" s="20" t="str">
        <f aca="false">HYPERLINK("https://www.google.iq/maps/search/+36.794,42.2145/@36.794,42.2145,14z?hl=en","Maplink2")</f>
        <v>Maplink2</v>
      </c>
      <c r="AU2737" s="20" t="str">
        <f aca="false">HYPERLINK("http://www.bing.com/maps/?lvl=14&amp;sty=h&amp;cp=36.794~42.2145&amp;sp=point.36.794_42.2145","Maplink3")</f>
        <v>Maplink3</v>
      </c>
    </row>
    <row r="2738" customFormat="false" ht="15" hidden="false" customHeight="true" outlineLevel="0" collapsed="false">
      <c r="A2738" s="15" t="n">
        <v>29665</v>
      </c>
      <c r="B2738" s="16" t="s">
        <v>27</v>
      </c>
      <c r="C2738" s="16" t="s">
        <v>5242</v>
      </c>
      <c r="D2738" s="16" t="s">
        <v>5278</v>
      </c>
      <c r="E2738" s="17" t="s">
        <v>5279</v>
      </c>
      <c r="F2738" s="16" t="n">
        <v>36.623523</v>
      </c>
      <c r="G2738" s="16" t="n">
        <v>42.475857</v>
      </c>
      <c r="H2738" s="18" t="n">
        <v>10</v>
      </c>
      <c r="I2738" s="18" t="n">
        <v>60</v>
      </c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 t="n">
        <v>10</v>
      </c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9"/>
      <c r="AH2738" s="19"/>
      <c r="AI2738" s="19" t="n">
        <v>10</v>
      </c>
      <c r="AJ2738" s="19"/>
      <c r="AK2738" s="19"/>
      <c r="AL2738" s="19"/>
      <c r="AM2738" s="19"/>
      <c r="AN2738" s="19"/>
      <c r="AO2738" s="19"/>
      <c r="AP2738" s="19"/>
      <c r="AQ2738" s="19"/>
      <c r="AR2738" s="19" t="n">
        <v>10</v>
      </c>
      <c r="AS2738" s="20" t="str">
        <f aca="false">HYPERLINK("http://www.openstreetmap.org/?mlat=36.6235&amp;mlon=42.4759&amp;zoom=12#map=12/36.6235/42.4759","Maplink1")</f>
        <v>Maplink1</v>
      </c>
      <c r="AT2738" s="20" t="str">
        <f aca="false">HYPERLINK("https://www.google.iq/maps/search/+36.6235,42.4759/@36.6235,42.4759,14z?hl=en","Maplink2")</f>
        <v>Maplink2</v>
      </c>
      <c r="AU2738" s="20" t="str">
        <f aca="false">HYPERLINK("http://www.bing.com/maps/?lvl=14&amp;sty=h&amp;cp=36.6235~42.4759&amp;sp=point.36.6235_42.4759","Maplink3")</f>
        <v>Maplink3</v>
      </c>
    </row>
    <row r="2739" customFormat="false" ht="15" hidden="false" customHeight="true" outlineLevel="0" collapsed="false">
      <c r="A2739" s="15" t="n">
        <v>25809</v>
      </c>
      <c r="B2739" s="16" t="s">
        <v>27</v>
      </c>
      <c r="C2739" s="16" t="s">
        <v>5242</v>
      </c>
      <c r="D2739" s="16" t="s">
        <v>5280</v>
      </c>
      <c r="E2739" s="17" t="s">
        <v>5281</v>
      </c>
      <c r="F2739" s="16" t="n">
        <v>36.70944532</v>
      </c>
      <c r="G2739" s="16" t="n">
        <v>42.61870804</v>
      </c>
      <c r="H2739" s="18" t="n">
        <v>190</v>
      </c>
      <c r="I2739" s="18" t="n">
        <v>1140</v>
      </c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 t="n">
        <v>190</v>
      </c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9"/>
      <c r="AH2739" s="19" t="n">
        <v>190</v>
      </c>
      <c r="AI2739" s="19"/>
      <c r="AJ2739" s="19"/>
      <c r="AK2739" s="19"/>
      <c r="AL2739" s="19"/>
      <c r="AM2739" s="19"/>
      <c r="AN2739" s="19" t="n">
        <v>3</v>
      </c>
      <c r="AO2739" s="19"/>
      <c r="AP2739" s="19" t="n">
        <v>187</v>
      </c>
      <c r="AQ2739" s="19"/>
      <c r="AR2739" s="19"/>
      <c r="AS2739" s="20" t="str">
        <f aca="false">HYPERLINK("http://www.openstreetmap.org/?mlat=36.7094&amp;mlon=42.6187&amp;zoom=12#map=12/36.7094/42.6187","Maplink1")</f>
        <v>Maplink1</v>
      </c>
      <c r="AT2739" s="20" t="str">
        <f aca="false">HYPERLINK("https://www.google.iq/maps/search/+36.7094,42.6187/@36.7094,42.6187,14z?hl=en","Maplink2")</f>
        <v>Maplink2</v>
      </c>
      <c r="AU2739" s="20" t="str">
        <f aca="false">HYPERLINK("http://www.bing.com/maps/?lvl=14&amp;sty=h&amp;cp=36.7094~42.6187&amp;sp=point.36.7094_42.6187","Maplink3")</f>
        <v>Maplink3</v>
      </c>
    </row>
    <row r="2740" customFormat="false" ht="15" hidden="false" customHeight="true" outlineLevel="0" collapsed="false">
      <c r="A2740" s="15" t="n">
        <v>28450</v>
      </c>
      <c r="B2740" s="16" t="s">
        <v>27</v>
      </c>
      <c r="C2740" s="16" t="s">
        <v>5242</v>
      </c>
      <c r="D2740" s="16" t="s">
        <v>5282</v>
      </c>
      <c r="E2740" s="17" t="s">
        <v>5283</v>
      </c>
      <c r="F2740" s="16" t="n">
        <v>36.6745752</v>
      </c>
      <c r="G2740" s="16" t="n">
        <v>42.3965586</v>
      </c>
      <c r="H2740" s="18" t="n">
        <v>50</v>
      </c>
      <c r="I2740" s="18" t="n">
        <v>300</v>
      </c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 t="n">
        <v>50</v>
      </c>
      <c r="W2740" s="19"/>
      <c r="X2740" s="19"/>
      <c r="Y2740" s="19"/>
      <c r="Z2740" s="19"/>
      <c r="AA2740" s="19"/>
      <c r="AB2740" s="19"/>
      <c r="AC2740" s="19" t="n">
        <v>50</v>
      </c>
      <c r="AD2740" s="19"/>
      <c r="AE2740" s="19"/>
      <c r="AF2740" s="19"/>
      <c r="AG2740" s="19"/>
      <c r="AH2740" s="19"/>
      <c r="AI2740" s="19"/>
      <c r="AJ2740" s="19"/>
      <c r="AK2740" s="19"/>
      <c r="AL2740" s="19"/>
      <c r="AM2740" s="19"/>
      <c r="AN2740" s="19"/>
      <c r="AO2740" s="19" t="n">
        <v>40</v>
      </c>
      <c r="AP2740" s="19" t="n">
        <v>10</v>
      </c>
      <c r="AQ2740" s="19"/>
      <c r="AR2740" s="19"/>
      <c r="AS2740" s="20" t="str">
        <f aca="false">HYPERLINK("http://www.openstreetmap.org/?mlat=36.6746&amp;mlon=42.3966&amp;zoom=12#map=12/36.6746/42.3966","Maplink1")</f>
        <v>Maplink1</v>
      </c>
      <c r="AT2740" s="20" t="str">
        <f aca="false">HYPERLINK("https://www.google.iq/maps/search/+36.6746,42.3966/@36.6746,42.3966,14z?hl=en","Maplink2")</f>
        <v>Maplink2</v>
      </c>
      <c r="AU2740" s="20" t="str">
        <f aca="false">HYPERLINK("http://www.bing.com/maps/?lvl=14&amp;sty=h&amp;cp=36.6746~42.3966&amp;sp=point.36.6746_42.3966","Maplink3")</f>
        <v>Maplink3</v>
      </c>
    </row>
    <row r="2741" customFormat="false" ht="15" hidden="false" customHeight="true" outlineLevel="0" collapsed="false">
      <c r="A2741" s="15" t="n">
        <v>25980</v>
      </c>
      <c r="B2741" s="16" t="s">
        <v>27</v>
      </c>
      <c r="C2741" s="16" t="s">
        <v>5242</v>
      </c>
      <c r="D2741" s="16" t="s">
        <v>5284</v>
      </c>
      <c r="E2741" s="17" t="s">
        <v>5285</v>
      </c>
      <c r="F2741" s="16" t="n">
        <v>36.82579789</v>
      </c>
      <c r="G2741" s="16" t="n">
        <v>42.14102999</v>
      </c>
      <c r="H2741" s="18" t="n">
        <v>20</v>
      </c>
      <c r="I2741" s="18" t="n">
        <v>120</v>
      </c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 t="n">
        <v>20</v>
      </c>
      <c r="W2741" s="19"/>
      <c r="X2741" s="19"/>
      <c r="Y2741" s="19"/>
      <c r="Z2741" s="19"/>
      <c r="AA2741" s="19"/>
      <c r="AB2741" s="19"/>
      <c r="AC2741" s="19" t="n">
        <v>20</v>
      </c>
      <c r="AD2741" s="19"/>
      <c r="AE2741" s="19"/>
      <c r="AF2741" s="19"/>
      <c r="AG2741" s="19"/>
      <c r="AH2741" s="19"/>
      <c r="AI2741" s="19"/>
      <c r="AJ2741" s="19"/>
      <c r="AK2741" s="19"/>
      <c r="AL2741" s="19"/>
      <c r="AM2741" s="19"/>
      <c r="AN2741" s="19"/>
      <c r="AO2741" s="19" t="n">
        <v>20</v>
      </c>
      <c r="AP2741" s="19"/>
      <c r="AQ2741" s="19"/>
      <c r="AR2741" s="19"/>
      <c r="AS2741" s="20" t="str">
        <f aca="false">HYPERLINK("http://www.openstreetmap.org/?mlat=36.8258&amp;mlon=42.141&amp;zoom=12#map=12/36.8258/42.141","Maplink1")</f>
        <v>Maplink1</v>
      </c>
      <c r="AT2741" s="20" t="str">
        <f aca="false">HYPERLINK("https://www.google.iq/maps/search/+36.8258,42.141/@36.8258,42.141,14z?hl=en","Maplink2")</f>
        <v>Maplink2</v>
      </c>
      <c r="AU2741" s="20" t="str">
        <f aca="false">HYPERLINK("http://www.bing.com/maps/?lvl=14&amp;sty=h&amp;cp=36.8258~42.141&amp;sp=point.36.8258_42.141","Maplink3")</f>
        <v>Maplink3</v>
      </c>
    </row>
    <row r="2742" customFormat="false" ht="15" hidden="false" customHeight="true" outlineLevel="0" collapsed="false">
      <c r="A2742" s="15" t="n">
        <v>25686</v>
      </c>
      <c r="B2742" s="16" t="s">
        <v>27</v>
      </c>
      <c r="C2742" s="16" t="s">
        <v>5242</v>
      </c>
      <c r="D2742" s="16" t="s">
        <v>5286</v>
      </c>
      <c r="E2742" s="17" t="s">
        <v>5287</v>
      </c>
      <c r="F2742" s="16" t="n">
        <v>36.80591558</v>
      </c>
      <c r="G2742" s="16" t="n">
        <v>42.08635511</v>
      </c>
      <c r="H2742" s="18" t="n">
        <v>10</v>
      </c>
      <c r="I2742" s="18" t="n">
        <v>60</v>
      </c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 t="n">
        <v>10</v>
      </c>
      <c r="W2742" s="19"/>
      <c r="X2742" s="19"/>
      <c r="Y2742" s="19"/>
      <c r="Z2742" s="19"/>
      <c r="AA2742" s="19"/>
      <c r="AB2742" s="19"/>
      <c r="AC2742" s="19" t="n">
        <v>10</v>
      </c>
      <c r="AD2742" s="19"/>
      <c r="AE2742" s="19"/>
      <c r="AF2742" s="19"/>
      <c r="AG2742" s="19"/>
      <c r="AH2742" s="19"/>
      <c r="AI2742" s="19"/>
      <c r="AJ2742" s="19"/>
      <c r="AK2742" s="19"/>
      <c r="AL2742" s="19"/>
      <c r="AM2742" s="19"/>
      <c r="AN2742" s="19"/>
      <c r="AO2742" s="19"/>
      <c r="AP2742" s="19" t="n">
        <v>10</v>
      </c>
      <c r="AQ2742" s="19"/>
      <c r="AR2742" s="19"/>
      <c r="AS2742" s="20" t="str">
        <f aca="false">HYPERLINK("http://www.openstreetmap.org/?mlat=36.8059&amp;mlon=42.0864&amp;zoom=12#map=12/36.8059/42.0864","Maplink1")</f>
        <v>Maplink1</v>
      </c>
      <c r="AT2742" s="20" t="str">
        <f aca="false">HYPERLINK("https://www.google.iq/maps/search/+36.8059,42.0864/@36.8059,42.0864,14z?hl=en","Maplink2")</f>
        <v>Maplink2</v>
      </c>
      <c r="AU2742" s="20" t="str">
        <f aca="false">HYPERLINK("http://www.bing.com/maps/?lvl=14&amp;sty=h&amp;cp=36.8059~42.0864&amp;sp=point.36.8059_42.0864","Maplink3")</f>
        <v>Maplink3</v>
      </c>
    </row>
    <row r="2743" customFormat="false" ht="15" hidden="false" customHeight="true" outlineLevel="0" collapsed="false">
      <c r="A2743" s="15" t="n">
        <v>18308</v>
      </c>
      <c r="B2743" s="16" t="s">
        <v>27</v>
      </c>
      <c r="C2743" s="16" t="s">
        <v>5242</v>
      </c>
      <c r="D2743" s="16" t="s">
        <v>5288</v>
      </c>
      <c r="E2743" s="17" t="s">
        <v>79</v>
      </c>
      <c r="F2743" s="16" t="n">
        <v>36.80290101</v>
      </c>
      <c r="G2743" s="16" t="n">
        <v>42.09740081</v>
      </c>
      <c r="H2743" s="18" t="n">
        <v>285</v>
      </c>
      <c r="I2743" s="18" t="n">
        <v>1710</v>
      </c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 t="n">
        <v>285</v>
      </c>
      <c r="W2743" s="19"/>
      <c r="X2743" s="19"/>
      <c r="Y2743" s="19"/>
      <c r="Z2743" s="19"/>
      <c r="AA2743" s="19"/>
      <c r="AB2743" s="19"/>
      <c r="AC2743" s="19" t="n">
        <v>140</v>
      </c>
      <c r="AD2743" s="19"/>
      <c r="AE2743" s="19"/>
      <c r="AF2743" s="19"/>
      <c r="AG2743" s="19"/>
      <c r="AH2743" s="19" t="n">
        <v>100</v>
      </c>
      <c r="AI2743" s="19"/>
      <c r="AJ2743" s="19" t="n">
        <v>45</v>
      </c>
      <c r="AK2743" s="19"/>
      <c r="AL2743" s="19"/>
      <c r="AM2743" s="19"/>
      <c r="AN2743" s="19"/>
      <c r="AO2743" s="19"/>
      <c r="AP2743" s="19" t="n">
        <v>280</v>
      </c>
      <c r="AQ2743" s="19" t="n">
        <v>5</v>
      </c>
      <c r="AR2743" s="19"/>
      <c r="AS2743" s="20" t="str">
        <f aca="false">HYPERLINK("http://www.openstreetmap.org/?mlat=36.8029&amp;mlon=42.0974&amp;zoom=12#map=12/36.8029/42.0974","Maplink1")</f>
        <v>Maplink1</v>
      </c>
      <c r="AT2743" s="20" t="str">
        <f aca="false">HYPERLINK("https://www.google.iq/maps/search/+36.8029,42.0974/@36.8029,42.0974,14z?hl=en","Maplink2")</f>
        <v>Maplink2</v>
      </c>
      <c r="AU2743" s="20" t="str">
        <f aca="false">HYPERLINK("http://www.bing.com/maps/?lvl=14&amp;sty=h&amp;cp=36.8029~42.0974&amp;sp=point.36.8029_42.0974","Maplink3")</f>
        <v>Maplink3</v>
      </c>
    </row>
    <row r="2744" customFormat="false" ht="15" hidden="false" customHeight="true" outlineLevel="0" collapsed="false">
      <c r="A2744" s="15" t="n">
        <v>24701</v>
      </c>
      <c r="B2744" s="16" t="s">
        <v>27</v>
      </c>
      <c r="C2744" s="16" t="s">
        <v>5242</v>
      </c>
      <c r="D2744" s="16" t="s">
        <v>5289</v>
      </c>
      <c r="E2744" s="17" t="s">
        <v>5290</v>
      </c>
      <c r="F2744" s="16" t="n">
        <v>36.80873092</v>
      </c>
      <c r="G2744" s="16" t="n">
        <v>42.09939206</v>
      </c>
      <c r="H2744" s="18" t="n">
        <v>58</v>
      </c>
      <c r="I2744" s="18" t="n">
        <v>348</v>
      </c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 t="n">
        <v>58</v>
      </c>
      <c r="W2744" s="19"/>
      <c r="X2744" s="19"/>
      <c r="Y2744" s="19"/>
      <c r="Z2744" s="19"/>
      <c r="AA2744" s="19"/>
      <c r="AB2744" s="19"/>
      <c r="AC2744" s="19" t="n">
        <v>58</v>
      </c>
      <c r="AD2744" s="19"/>
      <c r="AE2744" s="19"/>
      <c r="AF2744" s="19"/>
      <c r="AG2744" s="19"/>
      <c r="AH2744" s="19"/>
      <c r="AI2744" s="19"/>
      <c r="AJ2744" s="19"/>
      <c r="AK2744" s="19"/>
      <c r="AL2744" s="19"/>
      <c r="AM2744" s="19"/>
      <c r="AN2744" s="19"/>
      <c r="AO2744" s="19"/>
      <c r="AP2744" s="19" t="n">
        <v>58</v>
      </c>
      <c r="AQ2744" s="19"/>
      <c r="AR2744" s="19"/>
      <c r="AS2744" s="20" t="str">
        <f aca="false">HYPERLINK("http://www.openstreetmap.org/?mlat=36.8087&amp;mlon=42.0994&amp;zoom=12#map=12/36.8087/42.0994","Maplink1")</f>
        <v>Maplink1</v>
      </c>
      <c r="AT2744" s="20" t="str">
        <f aca="false">HYPERLINK("https://www.google.iq/maps/search/+36.8087,42.0994/@36.8087,42.0994,14z?hl=en","Maplink2")</f>
        <v>Maplink2</v>
      </c>
      <c r="AU2744" s="20" t="str">
        <f aca="false">HYPERLINK("http://www.bing.com/maps/?lvl=14&amp;sty=h&amp;cp=36.8087~42.0994&amp;sp=point.36.8087_42.0994","Maplink3")</f>
        <v>Maplink3</v>
      </c>
    </row>
    <row r="2745" customFormat="false" ht="15" hidden="false" customHeight="true" outlineLevel="0" collapsed="false">
      <c r="A2745" s="15" t="n">
        <v>18305</v>
      </c>
      <c r="B2745" s="16" t="s">
        <v>27</v>
      </c>
      <c r="C2745" s="16" t="s">
        <v>5242</v>
      </c>
      <c r="D2745" s="16" t="s">
        <v>5291</v>
      </c>
      <c r="E2745" s="17" t="s">
        <v>527</v>
      </c>
      <c r="F2745" s="16" t="n">
        <v>36.3871</v>
      </c>
      <c r="G2745" s="16" t="n">
        <v>42.4609</v>
      </c>
      <c r="H2745" s="18" t="n">
        <v>34</v>
      </c>
      <c r="I2745" s="18" t="n">
        <v>204</v>
      </c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 t="n">
        <v>34</v>
      </c>
      <c r="W2745" s="19"/>
      <c r="X2745" s="19"/>
      <c r="Y2745" s="19"/>
      <c r="Z2745" s="19"/>
      <c r="AA2745" s="19"/>
      <c r="AB2745" s="19"/>
      <c r="AC2745" s="19" t="n">
        <v>10</v>
      </c>
      <c r="AD2745" s="19"/>
      <c r="AE2745" s="19"/>
      <c r="AF2745" s="19"/>
      <c r="AG2745" s="19"/>
      <c r="AH2745" s="19" t="n">
        <v>24</v>
      </c>
      <c r="AI2745" s="19"/>
      <c r="AJ2745" s="19"/>
      <c r="AK2745" s="19"/>
      <c r="AL2745" s="19"/>
      <c r="AM2745" s="19"/>
      <c r="AN2745" s="19"/>
      <c r="AO2745" s="19" t="n">
        <v>24</v>
      </c>
      <c r="AP2745" s="19" t="n">
        <v>10</v>
      </c>
      <c r="AQ2745" s="19"/>
      <c r="AR2745" s="19"/>
      <c r="AS2745" s="20" t="str">
        <f aca="false">HYPERLINK("http://www.openstreetmap.org/?mlat=36.3871&amp;mlon=42.4609&amp;zoom=12#map=12/36.3871/42.4609","Maplink1")</f>
        <v>Maplink1</v>
      </c>
      <c r="AT2745" s="20" t="str">
        <f aca="false">HYPERLINK("https://www.google.iq/maps/search/+36.3871,42.4609/@36.3871,42.4609,14z?hl=en","Maplink2")</f>
        <v>Maplink2</v>
      </c>
      <c r="AU2745" s="20" t="str">
        <f aca="false">HYPERLINK("http://www.bing.com/maps/?lvl=14&amp;sty=h&amp;cp=36.3871~42.4609&amp;sp=point.36.3871_42.4609","Maplink3")</f>
        <v>Maplink3</v>
      </c>
    </row>
    <row r="2746" customFormat="false" ht="15" hidden="false" customHeight="true" outlineLevel="0" collapsed="false">
      <c r="A2746" s="15" t="n">
        <v>25688</v>
      </c>
      <c r="B2746" s="16" t="s">
        <v>27</v>
      </c>
      <c r="C2746" s="16" t="s">
        <v>5242</v>
      </c>
      <c r="D2746" s="16" t="s">
        <v>5292</v>
      </c>
      <c r="E2746" s="17" t="s">
        <v>135</v>
      </c>
      <c r="F2746" s="16" t="n">
        <v>36.80791098</v>
      </c>
      <c r="G2746" s="16" t="n">
        <v>42.08269775</v>
      </c>
      <c r="H2746" s="18" t="n">
        <v>30</v>
      </c>
      <c r="I2746" s="18" t="n">
        <v>180</v>
      </c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 t="n">
        <v>30</v>
      </c>
      <c r="W2746" s="19"/>
      <c r="X2746" s="19"/>
      <c r="Y2746" s="19"/>
      <c r="Z2746" s="19"/>
      <c r="AA2746" s="19"/>
      <c r="AB2746" s="19"/>
      <c r="AC2746" s="19" t="n">
        <v>30</v>
      </c>
      <c r="AD2746" s="19"/>
      <c r="AE2746" s="19"/>
      <c r="AF2746" s="19"/>
      <c r="AG2746" s="19"/>
      <c r="AH2746" s="19"/>
      <c r="AI2746" s="19"/>
      <c r="AJ2746" s="19"/>
      <c r="AK2746" s="19"/>
      <c r="AL2746" s="19"/>
      <c r="AM2746" s="19"/>
      <c r="AN2746" s="19"/>
      <c r="AO2746" s="19"/>
      <c r="AP2746" s="19" t="n">
        <v>30</v>
      </c>
      <c r="AQ2746" s="19"/>
      <c r="AR2746" s="19"/>
      <c r="AS2746" s="20" t="str">
        <f aca="false">HYPERLINK("http://www.openstreetmap.org/?mlat=36.8079&amp;mlon=42.0827&amp;zoom=12#map=12/36.8079/42.0827","Maplink1")</f>
        <v>Maplink1</v>
      </c>
      <c r="AT2746" s="20" t="str">
        <f aca="false">HYPERLINK("https://www.google.iq/maps/search/+36.8079,42.0827/@36.8079,42.0827,14z?hl=en","Maplink2")</f>
        <v>Maplink2</v>
      </c>
      <c r="AU2746" s="20" t="str">
        <f aca="false">HYPERLINK("http://www.bing.com/maps/?lvl=14&amp;sty=h&amp;cp=36.8079~42.0827&amp;sp=point.36.8079_42.0827","Maplink3")</f>
        <v>Maplink3</v>
      </c>
    </row>
    <row r="2747" customFormat="false" ht="15" hidden="false" customHeight="true" outlineLevel="0" collapsed="false">
      <c r="A2747" s="15" t="n">
        <v>25687</v>
      </c>
      <c r="B2747" s="16" t="s">
        <v>27</v>
      </c>
      <c r="C2747" s="16" t="s">
        <v>5242</v>
      </c>
      <c r="D2747" s="16" t="s">
        <v>5293</v>
      </c>
      <c r="E2747" s="17" t="s">
        <v>75</v>
      </c>
      <c r="F2747" s="16" t="n">
        <v>36.79928814</v>
      </c>
      <c r="G2747" s="16" t="n">
        <v>42.09502276</v>
      </c>
      <c r="H2747" s="18" t="n">
        <v>42</v>
      </c>
      <c r="I2747" s="18" t="n">
        <v>252</v>
      </c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 t="n">
        <v>42</v>
      </c>
      <c r="W2747" s="19"/>
      <c r="X2747" s="19"/>
      <c r="Y2747" s="19"/>
      <c r="Z2747" s="19"/>
      <c r="AA2747" s="19"/>
      <c r="AB2747" s="19"/>
      <c r="AC2747" s="19" t="n">
        <v>22</v>
      </c>
      <c r="AD2747" s="19"/>
      <c r="AE2747" s="19"/>
      <c r="AF2747" s="19"/>
      <c r="AG2747" s="19"/>
      <c r="AH2747" s="19"/>
      <c r="AI2747" s="19"/>
      <c r="AJ2747" s="19" t="n">
        <v>20</v>
      </c>
      <c r="AK2747" s="19"/>
      <c r="AL2747" s="19"/>
      <c r="AM2747" s="19"/>
      <c r="AN2747" s="19"/>
      <c r="AO2747" s="19"/>
      <c r="AP2747" s="19" t="n">
        <v>42</v>
      </c>
      <c r="AQ2747" s="19"/>
      <c r="AR2747" s="19"/>
      <c r="AS2747" s="20" t="str">
        <f aca="false">HYPERLINK("http://www.openstreetmap.org/?mlat=36.7993&amp;mlon=42.095&amp;zoom=12#map=12/36.7993/42.095","Maplink1")</f>
        <v>Maplink1</v>
      </c>
      <c r="AT2747" s="20" t="str">
        <f aca="false">HYPERLINK("https://www.google.iq/maps/search/+36.7993,42.095/@36.7993,42.095,14z?hl=en","Maplink2")</f>
        <v>Maplink2</v>
      </c>
      <c r="AU2747" s="20" t="str">
        <f aca="false">HYPERLINK("http://www.bing.com/maps/?lvl=14&amp;sty=h&amp;cp=36.7993~42.095&amp;sp=point.36.7993_42.095","Maplink3")</f>
        <v>Maplink3</v>
      </c>
    </row>
    <row r="2748" customFormat="false" ht="15" hidden="false" customHeight="true" outlineLevel="0" collapsed="false">
      <c r="A2748" s="15" t="n">
        <v>18309</v>
      </c>
      <c r="B2748" s="16" t="s">
        <v>27</v>
      </c>
      <c r="C2748" s="16" t="s">
        <v>5242</v>
      </c>
      <c r="D2748" s="16" t="s">
        <v>5294</v>
      </c>
      <c r="E2748" s="17" t="s">
        <v>2010</v>
      </c>
      <c r="F2748" s="16" t="n">
        <v>36.3826</v>
      </c>
      <c r="G2748" s="16" t="n">
        <v>42.4651</v>
      </c>
      <c r="H2748" s="18" t="n">
        <v>59</v>
      </c>
      <c r="I2748" s="18" t="n">
        <v>354</v>
      </c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 t="n">
        <v>59</v>
      </c>
      <c r="W2748" s="19"/>
      <c r="X2748" s="19"/>
      <c r="Y2748" s="19"/>
      <c r="Z2748" s="19"/>
      <c r="AA2748" s="19"/>
      <c r="AB2748" s="19"/>
      <c r="AC2748" s="19" t="n">
        <v>23</v>
      </c>
      <c r="AD2748" s="19"/>
      <c r="AE2748" s="19"/>
      <c r="AF2748" s="19"/>
      <c r="AG2748" s="19"/>
      <c r="AH2748" s="19" t="n">
        <v>36</v>
      </c>
      <c r="AI2748" s="19"/>
      <c r="AJ2748" s="19"/>
      <c r="AK2748" s="19"/>
      <c r="AL2748" s="19"/>
      <c r="AM2748" s="19"/>
      <c r="AN2748" s="19"/>
      <c r="AO2748" s="19" t="n">
        <v>36</v>
      </c>
      <c r="AP2748" s="19" t="n">
        <v>23</v>
      </c>
      <c r="AQ2748" s="19"/>
      <c r="AR2748" s="19"/>
      <c r="AS2748" s="20" t="str">
        <f aca="false">HYPERLINK("http://www.openstreetmap.org/?mlat=36.3826&amp;mlon=42.4651&amp;zoom=12#map=12/36.3826/42.4651","Maplink1")</f>
        <v>Maplink1</v>
      </c>
      <c r="AT2748" s="20" t="str">
        <f aca="false">HYPERLINK("https://www.google.iq/maps/search/+36.3826,42.4651/@36.3826,42.4651,14z?hl=en","Maplink2")</f>
        <v>Maplink2</v>
      </c>
      <c r="AU2748" s="20" t="str">
        <f aca="false">HYPERLINK("http://www.bing.com/maps/?lvl=14&amp;sty=h&amp;cp=36.3826~42.4651&amp;sp=point.36.3826_42.4651","Maplink3")</f>
        <v>Maplink3</v>
      </c>
    </row>
    <row r="2749" customFormat="false" ht="15" hidden="false" customHeight="true" outlineLevel="0" collapsed="false">
      <c r="A2749" s="15" t="n">
        <v>25819</v>
      </c>
      <c r="B2749" s="16" t="s">
        <v>27</v>
      </c>
      <c r="C2749" s="16" t="s">
        <v>5242</v>
      </c>
      <c r="D2749" s="16" t="s">
        <v>464</v>
      </c>
      <c r="E2749" s="17" t="s">
        <v>465</v>
      </c>
      <c r="F2749" s="16" t="n">
        <v>36.3734</v>
      </c>
      <c r="G2749" s="16" t="n">
        <v>42.4651</v>
      </c>
      <c r="H2749" s="18" t="n">
        <v>11</v>
      </c>
      <c r="I2749" s="18" t="n">
        <v>66</v>
      </c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 t="n">
        <v>11</v>
      </c>
      <c r="W2749" s="19"/>
      <c r="X2749" s="19"/>
      <c r="Y2749" s="19"/>
      <c r="Z2749" s="19"/>
      <c r="AA2749" s="19"/>
      <c r="AB2749" s="19"/>
      <c r="AC2749" s="19" t="n">
        <v>11</v>
      </c>
      <c r="AD2749" s="19"/>
      <c r="AE2749" s="19"/>
      <c r="AF2749" s="19"/>
      <c r="AG2749" s="19"/>
      <c r="AH2749" s="19"/>
      <c r="AI2749" s="19"/>
      <c r="AJ2749" s="19"/>
      <c r="AK2749" s="19"/>
      <c r="AL2749" s="19"/>
      <c r="AM2749" s="19"/>
      <c r="AN2749" s="19"/>
      <c r="AO2749" s="19"/>
      <c r="AP2749" s="19" t="n">
        <v>11</v>
      </c>
      <c r="AQ2749" s="19"/>
      <c r="AR2749" s="19"/>
      <c r="AS2749" s="20" t="str">
        <f aca="false">HYPERLINK("http://www.openstreetmap.org/?mlat=36.3734&amp;mlon=42.4651&amp;zoom=12#map=12/36.3734/42.4651","Maplink1")</f>
        <v>Maplink1</v>
      </c>
      <c r="AT2749" s="20" t="str">
        <f aca="false">HYPERLINK("https://www.google.iq/maps/search/+36.3734,42.4651/@36.3734,42.4651,14z?hl=en","Maplink2")</f>
        <v>Maplink2</v>
      </c>
      <c r="AU2749" s="20" t="str">
        <f aca="false">HYPERLINK("http://www.bing.com/maps/?lvl=14&amp;sty=h&amp;cp=36.3734~42.4651&amp;sp=point.36.3734_42.4651","Maplink3")</f>
        <v>Maplink3</v>
      </c>
    </row>
    <row r="2750" customFormat="false" ht="15" hidden="false" customHeight="true" outlineLevel="0" collapsed="false">
      <c r="A2750" s="15" t="n">
        <v>25808</v>
      </c>
      <c r="B2750" s="16" t="s">
        <v>27</v>
      </c>
      <c r="C2750" s="16" t="s">
        <v>5242</v>
      </c>
      <c r="D2750" s="16" t="s">
        <v>5295</v>
      </c>
      <c r="E2750" s="17" t="s">
        <v>1063</v>
      </c>
      <c r="F2750" s="16" t="n">
        <v>36.80402344</v>
      </c>
      <c r="G2750" s="16" t="n">
        <v>42.08692694</v>
      </c>
      <c r="H2750" s="18" t="n">
        <v>37</v>
      </c>
      <c r="I2750" s="18" t="n">
        <v>222</v>
      </c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 t="n">
        <v>37</v>
      </c>
      <c r="W2750" s="19"/>
      <c r="X2750" s="19"/>
      <c r="Y2750" s="19"/>
      <c r="Z2750" s="19"/>
      <c r="AA2750" s="19"/>
      <c r="AB2750" s="19"/>
      <c r="AC2750" s="19" t="n">
        <v>32</v>
      </c>
      <c r="AD2750" s="19"/>
      <c r="AE2750" s="19"/>
      <c r="AF2750" s="19"/>
      <c r="AG2750" s="19"/>
      <c r="AH2750" s="19" t="n">
        <v>5</v>
      </c>
      <c r="AI2750" s="19"/>
      <c r="AJ2750" s="19"/>
      <c r="AK2750" s="19"/>
      <c r="AL2750" s="19"/>
      <c r="AM2750" s="19"/>
      <c r="AN2750" s="19"/>
      <c r="AO2750" s="19"/>
      <c r="AP2750" s="19" t="n">
        <v>37</v>
      </c>
      <c r="AQ2750" s="19"/>
      <c r="AR2750" s="19"/>
      <c r="AS2750" s="20" t="str">
        <f aca="false">HYPERLINK("http://www.openstreetmap.org/?mlat=36.804&amp;mlon=42.0869&amp;zoom=12#map=12/36.804/42.0869","Maplink1")</f>
        <v>Maplink1</v>
      </c>
      <c r="AT2750" s="20" t="str">
        <f aca="false">HYPERLINK("https://www.google.iq/maps/search/+36.804,42.0869/@36.804,42.0869,14z?hl=en","Maplink2")</f>
        <v>Maplink2</v>
      </c>
      <c r="AU2750" s="20" t="str">
        <f aca="false">HYPERLINK("http://www.bing.com/maps/?lvl=14&amp;sty=h&amp;cp=36.804~42.0869&amp;sp=point.36.804_42.0869","Maplink3")</f>
        <v>Maplink3</v>
      </c>
    </row>
    <row r="2751" customFormat="false" ht="15" hidden="false" customHeight="true" outlineLevel="0" collapsed="false">
      <c r="A2751" s="15" t="n">
        <v>25807</v>
      </c>
      <c r="B2751" s="16" t="s">
        <v>27</v>
      </c>
      <c r="C2751" s="16" t="s">
        <v>5242</v>
      </c>
      <c r="D2751" s="16" t="s">
        <v>5296</v>
      </c>
      <c r="E2751" s="17" t="s">
        <v>5297</v>
      </c>
      <c r="F2751" s="16" t="n">
        <v>36.80167961</v>
      </c>
      <c r="G2751" s="16" t="n">
        <v>42.0950682</v>
      </c>
      <c r="H2751" s="18" t="n">
        <v>47</v>
      </c>
      <c r="I2751" s="18" t="n">
        <v>282</v>
      </c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 t="n">
        <v>47</v>
      </c>
      <c r="W2751" s="19"/>
      <c r="X2751" s="19"/>
      <c r="Y2751" s="19"/>
      <c r="Z2751" s="19"/>
      <c r="AA2751" s="19"/>
      <c r="AB2751" s="19"/>
      <c r="AC2751" s="19" t="n">
        <v>47</v>
      </c>
      <c r="AD2751" s="19"/>
      <c r="AE2751" s="19"/>
      <c r="AF2751" s="19"/>
      <c r="AG2751" s="19"/>
      <c r="AH2751" s="19"/>
      <c r="AI2751" s="19"/>
      <c r="AJ2751" s="19"/>
      <c r="AK2751" s="19"/>
      <c r="AL2751" s="19"/>
      <c r="AM2751" s="19"/>
      <c r="AN2751" s="19"/>
      <c r="AO2751" s="19"/>
      <c r="AP2751" s="19" t="n">
        <v>47</v>
      </c>
      <c r="AQ2751" s="19"/>
      <c r="AR2751" s="19"/>
      <c r="AS2751" s="20" t="str">
        <f aca="false">HYPERLINK("http://www.openstreetmap.org/?mlat=36.8017&amp;mlon=42.0951&amp;zoom=12#map=12/36.8017/42.0951","Maplink1")</f>
        <v>Maplink1</v>
      </c>
      <c r="AT2751" s="20" t="str">
        <f aca="false">HYPERLINK("https://www.google.iq/maps/search/+36.8017,42.0951/@36.8017,42.0951,14z?hl=en","Maplink2")</f>
        <v>Maplink2</v>
      </c>
      <c r="AU2751" s="20" t="str">
        <f aca="false">HYPERLINK("http://www.bing.com/maps/?lvl=14&amp;sty=h&amp;cp=36.8017~42.0951&amp;sp=point.36.8017_42.0951","Maplink3")</f>
        <v>Maplink3</v>
      </c>
    </row>
    <row r="2752" customFormat="false" ht="15" hidden="false" customHeight="true" outlineLevel="0" collapsed="false">
      <c r="A2752" s="15" t="n">
        <v>22648</v>
      </c>
      <c r="B2752" s="16" t="s">
        <v>27</v>
      </c>
      <c r="C2752" s="16" t="s">
        <v>5242</v>
      </c>
      <c r="D2752" s="16" t="s">
        <v>5298</v>
      </c>
      <c r="E2752" s="17" t="s">
        <v>5299</v>
      </c>
      <c r="F2752" s="16" t="n">
        <v>36.53548417</v>
      </c>
      <c r="G2752" s="16" t="n">
        <v>42.70474552</v>
      </c>
      <c r="H2752" s="18" t="n">
        <v>280</v>
      </c>
      <c r="I2752" s="18" t="n">
        <v>1680</v>
      </c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 t="n">
        <v>280</v>
      </c>
      <c r="W2752" s="19"/>
      <c r="X2752" s="19"/>
      <c r="Y2752" s="19"/>
      <c r="Z2752" s="19"/>
      <c r="AA2752" s="19"/>
      <c r="AB2752" s="19"/>
      <c r="AC2752" s="19" t="n">
        <v>280</v>
      </c>
      <c r="AD2752" s="19"/>
      <c r="AE2752" s="19"/>
      <c r="AF2752" s="19"/>
      <c r="AG2752" s="19"/>
      <c r="AH2752" s="19"/>
      <c r="AI2752" s="19"/>
      <c r="AJ2752" s="19"/>
      <c r="AK2752" s="19"/>
      <c r="AL2752" s="19"/>
      <c r="AM2752" s="19"/>
      <c r="AN2752" s="19"/>
      <c r="AO2752" s="19"/>
      <c r="AP2752" s="19" t="n">
        <v>280</v>
      </c>
      <c r="AQ2752" s="19"/>
      <c r="AR2752" s="19"/>
      <c r="AS2752" s="20" t="str">
        <f aca="false">HYPERLINK("http://www.openstreetmap.org/?mlat=36.5355&amp;mlon=42.7047&amp;zoom=12#map=12/36.5355/42.7047","Maplink1")</f>
        <v>Maplink1</v>
      </c>
      <c r="AT2752" s="20" t="str">
        <f aca="false">HYPERLINK("https://www.google.iq/maps/search/+36.5355,42.7047/@36.5355,42.7047,14z?hl=en","Maplink2")</f>
        <v>Maplink2</v>
      </c>
      <c r="AU2752" s="20" t="str">
        <f aca="false">HYPERLINK("http://www.bing.com/maps/?lvl=14&amp;sty=h&amp;cp=36.5355~42.7047&amp;sp=point.36.5355_42.7047","Maplink3")</f>
        <v>Maplink3</v>
      </c>
    </row>
    <row r="2753" customFormat="false" ht="15" hidden="false" customHeight="true" outlineLevel="0" collapsed="false">
      <c r="A2753" s="15" t="n">
        <v>22923</v>
      </c>
      <c r="B2753" s="16" t="s">
        <v>27</v>
      </c>
      <c r="C2753" s="16" t="s">
        <v>5242</v>
      </c>
      <c r="D2753" s="16" t="s">
        <v>5300</v>
      </c>
      <c r="E2753" s="17" t="s">
        <v>5301</v>
      </c>
      <c r="F2753" s="16" t="n">
        <v>36.55901196</v>
      </c>
      <c r="G2753" s="16" t="n">
        <v>42.34736502</v>
      </c>
      <c r="H2753" s="18" t="n">
        <v>93</v>
      </c>
      <c r="I2753" s="18" t="n">
        <v>558</v>
      </c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 t="n">
        <v>93</v>
      </c>
      <c r="W2753" s="19"/>
      <c r="X2753" s="19"/>
      <c r="Y2753" s="19"/>
      <c r="Z2753" s="19"/>
      <c r="AA2753" s="19"/>
      <c r="AB2753" s="19"/>
      <c r="AC2753" s="19" t="n">
        <v>48</v>
      </c>
      <c r="AD2753" s="19"/>
      <c r="AE2753" s="19"/>
      <c r="AF2753" s="19" t="n">
        <v>5</v>
      </c>
      <c r="AG2753" s="19"/>
      <c r="AH2753" s="19"/>
      <c r="AI2753" s="19"/>
      <c r="AJ2753" s="19" t="n">
        <v>40</v>
      </c>
      <c r="AK2753" s="19"/>
      <c r="AL2753" s="19"/>
      <c r="AM2753" s="19"/>
      <c r="AN2753" s="19"/>
      <c r="AO2753" s="19" t="n">
        <v>93</v>
      </c>
      <c r="AP2753" s="19"/>
      <c r="AQ2753" s="19"/>
      <c r="AR2753" s="19"/>
      <c r="AS2753" s="20" t="str">
        <f aca="false">HYPERLINK("http://www.openstreetmap.org/?mlat=36.559&amp;mlon=42.3474&amp;zoom=12#map=12/36.559/42.3474","Maplink1")</f>
        <v>Maplink1</v>
      </c>
      <c r="AT2753" s="20" t="str">
        <f aca="false">HYPERLINK("https://www.google.iq/maps/search/+36.559,42.3474/@36.559,42.3474,14z?hl=en","Maplink2")</f>
        <v>Maplink2</v>
      </c>
      <c r="AU2753" s="20" t="str">
        <f aca="false">HYPERLINK("http://www.bing.com/maps/?lvl=14&amp;sty=h&amp;cp=36.559~42.3474&amp;sp=point.36.559_42.3474","Maplink3")</f>
        <v>Maplink3</v>
      </c>
    </row>
    <row r="2754" customFormat="false" ht="15" hidden="false" customHeight="true" outlineLevel="0" collapsed="false">
      <c r="A2754" s="15" t="n">
        <v>28451</v>
      </c>
      <c r="B2754" s="16" t="s">
        <v>27</v>
      </c>
      <c r="C2754" s="16" t="s">
        <v>5242</v>
      </c>
      <c r="D2754" s="16" t="s">
        <v>5302</v>
      </c>
      <c r="E2754" s="17" t="s">
        <v>5303</v>
      </c>
      <c r="F2754" s="16" t="n">
        <v>36.729982</v>
      </c>
      <c r="G2754" s="16" t="n">
        <v>42.389882</v>
      </c>
      <c r="H2754" s="18" t="n">
        <v>90</v>
      </c>
      <c r="I2754" s="18" t="n">
        <v>540</v>
      </c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 t="n">
        <v>90</v>
      </c>
      <c r="W2754" s="19"/>
      <c r="X2754" s="19"/>
      <c r="Y2754" s="19"/>
      <c r="Z2754" s="19"/>
      <c r="AA2754" s="19"/>
      <c r="AB2754" s="19"/>
      <c r="AC2754" s="19" t="n">
        <v>90</v>
      </c>
      <c r="AD2754" s="19"/>
      <c r="AE2754" s="19"/>
      <c r="AF2754" s="19"/>
      <c r="AG2754" s="19"/>
      <c r="AH2754" s="19"/>
      <c r="AI2754" s="19"/>
      <c r="AJ2754" s="19"/>
      <c r="AK2754" s="19"/>
      <c r="AL2754" s="19"/>
      <c r="AM2754" s="19"/>
      <c r="AN2754" s="19"/>
      <c r="AO2754" s="19" t="n">
        <v>72</v>
      </c>
      <c r="AP2754" s="19" t="n">
        <v>12</v>
      </c>
      <c r="AQ2754" s="19" t="n">
        <v>6</v>
      </c>
      <c r="AR2754" s="19"/>
      <c r="AS2754" s="20" t="str">
        <f aca="false">HYPERLINK("http://www.openstreetmap.org/?mlat=36.73&amp;mlon=42.3899&amp;zoom=12#map=12/36.73/42.3899","Maplink1")</f>
        <v>Maplink1</v>
      </c>
      <c r="AT2754" s="20" t="str">
        <f aca="false">HYPERLINK("https://www.google.iq/maps/search/+36.73,42.3899/@36.73,42.3899,14z?hl=en","Maplink2")</f>
        <v>Maplink2</v>
      </c>
      <c r="AU2754" s="20" t="str">
        <f aca="false">HYPERLINK("http://www.bing.com/maps/?lvl=14&amp;sty=h&amp;cp=36.73~42.3899&amp;sp=point.36.73_42.3899","Maplink3")</f>
        <v>Maplink3</v>
      </c>
    </row>
    <row r="2755" customFormat="false" ht="15" hidden="false" customHeight="true" outlineLevel="0" collapsed="false">
      <c r="A2755" s="15" t="n">
        <v>27304</v>
      </c>
      <c r="B2755" s="16" t="s">
        <v>27</v>
      </c>
      <c r="C2755" s="16" t="s">
        <v>5242</v>
      </c>
      <c r="D2755" s="16" t="s">
        <v>5304</v>
      </c>
      <c r="E2755" s="17" t="s">
        <v>5305</v>
      </c>
      <c r="F2755" s="16" t="n">
        <v>36.76295051</v>
      </c>
      <c r="G2755" s="16" t="n">
        <v>42.45104841</v>
      </c>
      <c r="H2755" s="18" t="n">
        <v>170</v>
      </c>
      <c r="I2755" s="18" t="n">
        <v>1020</v>
      </c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 t="n">
        <v>170</v>
      </c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9"/>
      <c r="AH2755" s="19"/>
      <c r="AI2755" s="19"/>
      <c r="AJ2755" s="19" t="n">
        <v>170</v>
      </c>
      <c r="AK2755" s="19"/>
      <c r="AL2755" s="19"/>
      <c r="AM2755" s="19"/>
      <c r="AN2755" s="19"/>
      <c r="AO2755" s="19"/>
      <c r="AP2755" s="19" t="n">
        <v>170</v>
      </c>
      <c r="AQ2755" s="19"/>
      <c r="AR2755" s="19"/>
      <c r="AS2755" s="20" t="str">
        <f aca="false">HYPERLINK("http://www.openstreetmap.org/?mlat=36.763&amp;mlon=42.451&amp;zoom=12#map=12/36.763/42.451","Maplink1")</f>
        <v>Maplink1</v>
      </c>
      <c r="AT2755" s="20" t="str">
        <f aca="false">HYPERLINK("https://www.google.iq/maps/search/+36.763,42.451/@36.763,42.451,14z?hl=en","Maplink2")</f>
        <v>Maplink2</v>
      </c>
      <c r="AU2755" s="20" t="str">
        <f aca="false">HYPERLINK("http://www.bing.com/maps/?lvl=14&amp;sty=h&amp;cp=36.763~42.451&amp;sp=point.36.763_42.451","Maplink3")</f>
        <v>Maplink3</v>
      </c>
    </row>
    <row r="2756" customFormat="false" ht="15" hidden="false" customHeight="true" outlineLevel="0" collapsed="false">
      <c r="A2756" s="15" t="n">
        <v>17655</v>
      </c>
      <c r="B2756" s="16" t="s">
        <v>27</v>
      </c>
      <c r="C2756" s="16" t="s">
        <v>5242</v>
      </c>
      <c r="D2756" s="16" t="s">
        <v>5306</v>
      </c>
      <c r="E2756" s="17" t="s">
        <v>5307</v>
      </c>
      <c r="F2756" s="16" t="n">
        <v>36.6225345</v>
      </c>
      <c r="G2756" s="16" t="n">
        <v>42.3822556</v>
      </c>
      <c r="H2756" s="18" t="n">
        <v>140</v>
      </c>
      <c r="I2756" s="18" t="n">
        <v>840</v>
      </c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 t="n">
        <v>140</v>
      </c>
      <c r="W2756" s="19"/>
      <c r="X2756" s="19"/>
      <c r="Y2756" s="19"/>
      <c r="Z2756" s="19"/>
      <c r="AA2756" s="19"/>
      <c r="AB2756" s="19"/>
      <c r="AC2756" s="19" t="n">
        <v>88</v>
      </c>
      <c r="AD2756" s="19"/>
      <c r="AE2756" s="19"/>
      <c r="AF2756" s="19"/>
      <c r="AG2756" s="19"/>
      <c r="AH2756" s="19"/>
      <c r="AI2756" s="19"/>
      <c r="AJ2756" s="19" t="n">
        <v>52</v>
      </c>
      <c r="AK2756" s="19"/>
      <c r="AL2756" s="19"/>
      <c r="AM2756" s="19"/>
      <c r="AN2756" s="19"/>
      <c r="AO2756" s="19" t="n">
        <v>120</v>
      </c>
      <c r="AP2756" s="19" t="n">
        <v>20</v>
      </c>
      <c r="AQ2756" s="19"/>
      <c r="AR2756" s="19"/>
      <c r="AS2756" s="20" t="str">
        <f aca="false">HYPERLINK("http://www.openstreetmap.org/?mlat=36.6225&amp;mlon=42.3823&amp;zoom=12#map=12/36.6225/42.3823","Maplink1")</f>
        <v>Maplink1</v>
      </c>
      <c r="AT2756" s="20" t="str">
        <f aca="false">HYPERLINK("https://www.google.iq/maps/search/+36.6225,42.3823/@36.6225,42.3823,14z?hl=en","Maplink2")</f>
        <v>Maplink2</v>
      </c>
      <c r="AU2756" s="20" t="str">
        <f aca="false">HYPERLINK("http://www.bing.com/maps/?lvl=14&amp;sty=h&amp;cp=36.6225~42.3823&amp;sp=point.36.6225_42.3823","Maplink3")</f>
        <v>Maplink3</v>
      </c>
    </row>
    <row r="2757" customFormat="false" ht="15" hidden="false" customHeight="true" outlineLevel="0" collapsed="false">
      <c r="A2757" s="15" t="n">
        <v>25695</v>
      </c>
      <c r="B2757" s="16" t="s">
        <v>27</v>
      </c>
      <c r="C2757" s="16" t="s">
        <v>5242</v>
      </c>
      <c r="D2757" s="16" t="s">
        <v>5308</v>
      </c>
      <c r="E2757" s="17" t="s">
        <v>5309</v>
      </c>
      <c r="F2757" s="16" t="n">
        <v>36.903127</v>
      </c>
      <c r="G2757" s="16" t="n">
        <v>42.393848</v>
      </c>
      <c r="H2757" s="18" t="n">
        <v>8</v>
      </c>
      <c r="I2757" s="18" t="n">
        <v>48</v>
      </c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 t="n">
        <v>8</v>
      </c>
      <c r="W2757" s="19"/>
      <c r="X2757" s="19"/>
      <c r="Y2757" s="19"/>
      <c r="Z2757" s="19"/>
      <c r="AA2757" s="19"/>
      <c r="AB2757" s="19"/>
      <c r="AC2757" s="19" t="n">
        <v>8</v>
      </c>
      <c r="AD2757" s="19"/>
      <c r="AE2757" s="19"/>
      <c r="AF2757" s="19"/>
      <c r="AG2757" s="19"/>
      <c r="AH2757" s="19"/>
      <c r="AI2757" s="19"/>
      <c r="AJ2757" s="19"/>
      <c r="AK2757" s="19"/>
      <c r="AL2757" s="19"/>
      <c r="AM2757" s="19"/>
      <c r="AN2757" s="19" t="n">
        <v>8</v>
      </c>
      <c r="AO2757" s="19"/>
      <c r="AP2757" s="19"/>
      <c r="AQ2757" s="19"/>
      <c r="AR2757" s="19"/>
      <c r="AS2757" s="20" t="str">
        <f aca="false">HYPERLINK("http://www.openstreetmap.org/?mlat=36.9031&amp;mlon=42.3938&amp;zoom=12#map=12/36.9031/42.3938","Maplink1")</f>
        <v>Maplink1</v>
      </c>
      <c r="AT2757" s="20" t="str">
        <f aca="false">HYPERLINK("https://www.google.iq/maps/search/+36.9031,42.3938/@36.9031,42.3938,14z?hl=en","Maplink2")</f>
        <v>Maplink2</v>
      </c>
      <c r="AU2757" s="20" t="str">
        <f aca="false">HYPERLINK("http://www.bing.com/maps/?lvl=14&amp;sty=h&amp;cp=36.9031~42.3938&amp;sp=point.36.9031_42.3938","Maplink3")</f>
        <v>Maplink3</v>
      </c>
    </row>
    <row r="2758" customFormat="false" ht="15" hidden="false" customHeight="true" outlineLevel="0" collapsed="false">
      <c r="A2758" s="15" t="n">
        <v>17951</v>
      </c>
      <c r="B2758" s="16" t="s">
        <v>27</v>
      </c>
      <c r="C2758" s="16" t="s">
        <v>5242</v>
      </c>
      <c r="D2758" s="16" t="s">
        <v>5310</v>
      </c>
      <c r="E2758" s="17" t="s">
        <v>5311</v>
      </c>
      <c r="F2758" s="16" t="n">
        <v>36.375</v>
      </c>
      <c r="G2758" s="16" t="n">
        <v>42.4503</v>
      </c>
      <c r="H2758" s="18" t="n">
        <v>250</v>
      </c>
      <c r="I2758" s="18" t="n">
        <v>1500</v>
      </c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 t="n">
        <v>250</v>
      </c>
      <c r="W2758" s="19"/>
      <c r="X2758" s="19"/>
      <c r="Y2758" s="19"/>
      <c r="Z2758" s="19"/>
      <c r="AA2758" s="19"/>
      <c r="AB2758" s="19"/>
      <c r="AC2758" s="19" t="n">
        <v>95</v>
      </c>
      <c r="AD2758" s="19"/>
      <c r="AE2758" s="19"/>
      <c r="AF2758" s="19"/>
      <c r="AG2758" s="19"/>
      <c r="AH2758" s="19"/>
      <c r="AI2758" s="19"/>
      <c r="AJ2758" s="19" t="n">
        <v>55</v>
      </c>
      <c r="AK2758" s="19" t="n">
        <v>100</v>
      </c>
      <c r="AL2758" s="19"/>
      <c r="AM2758" s="19"/>
      <c r="AN2758" s="19"/>
      <c r="AO2758" s="19"/>
      <c r="AP2758" s="19" t="n">
        <v>250</v>
      </c>
      <c r="AQ2758" s="19"/>
      <c r="AR2758" s="19"/>
      <c r="AS2758" s="20" t="str">
        <f aca="false">HYPERLINK("http://www.openstreetmap.org/?mlat=36.375&amp;mlon=42.4503&amp;zoom=12#map=12/36.375/42.4503","Maplink1")</f>
        <v>Maplink1</v>
      </c>
      <c r="AT2758" s="20" t="str">
        <f aca="false">HYPERLINK("https://www.google.iq/maps/search/+36.375,42.4503/@36.375,42.4503,14z?hl=en","Maplink2")</f>
        <v>Maplink2</v>
      </c>
      <c r="AU2758" s="20" t="str">
        <f aca="false">HYPERLINK("http://www.bing.com/maps/?lvl=14&amp;sty=h&amp;cp=36.375~42.4503&amp;sp=point.36.375_42.4503","Maplink3")</f>
        <v>Maplink3</v>
      </c>
    </row>
    <row r="2759" customFormat="false" ht="15" hidden="false" customHeight="true" outlineLevel="0" collapsed="false">
      <c r="A2759" s="15" t="n">
        <v>28442</v>
      </c>
      <c r="B2759" s="16" t="s">
        <v>27</v>
      </c>
      <c r="C2759" s="16" t="s">
        <v>5242</v>
      </c>
      <c r="D2759" s="16" t="s">
        <v>5312</v>
      </c>
      <c r="E2759" s="17" t="s">
        <v>5313</v>
      </c>
      <c r="F2759" s="16" t="n">
        <v>36.71589716</v>
      </c>
      <c r="G2759" s="16" t="n">
        <v>42.32626136</v>
      </c>
      <c r="H2759" s="18" t="n">
        <v>80</v>
      </c>
      <c r="I2759" s="18" t="n">
        <v>480</v>
      </c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 t="n">
        <v>80</v>
      </c>
      <c r="W2759" s="19"/>
      <c r="X2759" s="19"/>
      <c r="Y2759" s="19"/>
      <c r="Z2759" s="19"/>
      <c r="AA2759" s="19"/>
      <c r="AB2759" s="19"/>
      <c r="AC2759" s="19" t="n">
        <v>80</v>
      </c>
      <c r="AD2759" s="19"/>
      <c r="AE2759" s="19"/>
      <c r="AF2759" s="19"/>
      <c r="AG2759" s="19"/>
      <c r="AH2759" s="19"/>
      <c r="AI2759" s="19"/>
      <c r="AJ2759" s="19"/>
      <c r="AK2759" s="19"/>
      <c r="AL2759" s="19"/>
      <c r="AM2759" s="19"/>
      <c r="AN2759" s="19"/>
      <c r="AO2759" s="19" t="n">
        <v>52</v>
      </c>
      <c r="AP2759" s="19" t="n">
        <v>22</v>
      </c>
      <c r="AQ2759" s="19" t="n">
        <v>6</v>
      </c>
      <c r="AR2759" s="19"/>
      <c r="AS2759" s="20" t="str">
        <f aca="false">HYPERLINK("http://www.openstreetmap.org/?mlat=36.7159&amp;mlon=42.3263&amp;zoom=12#map=12/36.7159/42.3263","Maplink1")</f>
        <v>Maplink1</v>
      </c>
      <c r="AT2759" s="20" t="str">
        <f aca="false">HYPERLINK("https://www.google.iq/maps/search/+36.7159,42.3263/@36.7159,42.3263,14z?hl=en","Maplink2")</f>
        <v>Maplink2</v>
      </c>
      <c r="AU2759" s="20" t="str">
        <f aca="false">HYPERLINK("http://www.bing.com/maps/?lvl=14&amp;sty=h&amp;cp=36.7159~42.3263&amp;sp=point.36.7159_42.3263","Maplink3")</f>
        <v>Maplink3</v>
      </c>
    </row>
    <row r="2760" customFormat="false" ht="15" hidden="false" customHeight="true" outlineLevel="0" collapsed="false">
      <c r="A2760" s="15" t="n">
        <v>25944</v>
      </c>
      <c r="B2760" s="16" t="s">
        <v>27</v>
      </c>
      <c r="C2760" s="16" t="s">
        <v>5242</v>
      </c>
      <c r="D2760" s="16" t="s">
        <v>5314</v>
      </c>
      <c r="E2760" s="17" t="s">
        <v>5315</v>
      </c>
      <c r="F2760" s="16" t="n">
        <v>36.65337274</v>
      </c>
      <c r="G2760" s="16" t="n">
        <v>42.5964763</v>
      </c>
      <c r="H2760" s="18" t="n">
        <v>1505</v>
      </c>
      <c r="I2760" s="18" t="n">
        <v>9030</v>
      </c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 t="n">
        <v>1505</v>
      </c>
      <c r="W2760" s="19"/>
      <c r="X2760" s="19"/>
      <c r="Y2760" s="19"/>
      <c r="Z2760" s="19"/>
      <c r="AA2760" s="19"/>
      <c r="AB2760" s="19"/>
      <c r="AC2760" s="19" t="n">
        <v>500</v>
      </c>
      <c r="AD2760" s="19"/>
      <c r="AE2760" s="19"/>
      <c r="AF2760" s="19"/>
      <c r="AG2760" s="19"/>
      <c r="AH2760" s="19" t="n">
        <v>1005</v>
      </c>
      <c r="AI2760" s="19"/>
      <c r="AJ2760" s="19"/>
      <c r="AK2760" s="19"/>
      <c r="AL2760" s="19"/>
      <c r="AM2760" s="19"/>
      <c r="AN2760" s="19"/>
      <c r="AO2760" s="19"/>
      <c r="AP2760" s="19" t="n">
        <v>1500</v>
      </c>
      <c r="AQ2760" s="19" t="n">
        <v>5</v>
      </c>
      <c r="AR2760" s="19"/>
      <c r="AS2760" s="20" t="str">
        <f aca="false">HYPERLINK("http://www.openstreetmap.org/?mlat=36.6534&amp;mlon=42.5965&amp;zoom=12#map=12/36.6534/42.5965","Maplink1")</f>
        <v>Maplink1</v>
      </c>
      <c r="AT2760" s="20" t="str">
        <f aca="false">HYPERLINK("https://www.google.iq/maps/search/+36.6534,42.5965/@36.6534,42.5965,14z?hl=en","Maplink2")</f>
        <v>Maplink2</v>
      </c>
      <c r="AU2760" s="20" t="str">
        <f aca="false">HYPERLINK("http://www.bing.com/maps/?lvl=14&amp;sty=h&amp;cp=36.6534~42.5965&amp;sp=point.36.6534_42.5965","Maplink3")</f>
        <v>Maplink3</v>
      </c>
    </row>
    <row r="2761" customFormat="false" ht="15" hidden="false" customHeight="true" outlineLevel="0" collapsed="false">
      <c r="A2761" s="15" t="n">
        <v>28441</v>
      </c>
      <c r="B2761" s="16" t="s">
        <v>27</v>
      </c>
      <c r="C2761" s="16" t="s">
        <v>5242</v>
      </c>
      <c r="D2761" s="16" t="s">
        <v>5316</v>
      </c>
      <c r="E2761" s="17" t="s">
        <v>5317</v>
      </c>
      <c r="F2761" s="16" t="n">
        <v>36.71662151</v>
      </c>
      <c r="G2761" s="16" t="n">
        <v>42.07800096</v>
      </c>
      <c r="H2761" s="18" t="n">
        <v>12</v>
      </c>
      <c r="I2761" s="18" t="n">
        <v>72</v>
      </c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 t="n">
        <v>12</v>
      </c>
      <c r="W2761" s="19"/>
      <c r="X2761" s="19"/>
      <c r="Y2761" s="19"/>
      <c r="Z2761" s="19"/>
      <c r="AA2761" s="19"/>
      <c r="AB2761" s="19"/>
      <c r="AC2761" s="19" t="n">
        <v>12</v>
      </c>
      <c r="AD2761" s="19"/>
      <c r="AE2761" s="19"/>
      <c r="AF2761" s="19"/>
      <c r="AG2761" s="19"/>
      <c r="AH2761" s="19"/>
      <c r="AI2761" s="19"/>
      <c r="AJ2761" s="19"/>
      <c r="AK2761" s="19"/>
      <c r="AL2761" s="19"/>
      <c r="AM2761" s="19"/>
      <c r="AN2761" s="19"/>
      <c r="AO2761" s="19" t="n">
        <v>11</v>
      </c>
      <c r="AP2761" s="19"/>
      <c r="AQ2761" s="19" t="n">
        <v>1</v>
      </c>
      <c r="AR2761" s="19"/>
      <c r="AS2761" s="20" t="str">
        <f aca="false">HYPERLINK("http://www.openstreetmap.org/?mlat=36.7166&amp;mlon=42.078&amp;zoom=12#map=12/36.7166/42.078","Maplink1")</f>
        <v>Maplink1</v>
      </c>
      <c r="AT2761" s="20" t="str">
        <f aca="false">HYPERLINK("https://www.google.iq/maps/search/+36.7166,42.078/@36.7166,42.078,14z?hl=en","Maplink2")</f>
        <v>Maplink2</v>
      </c>
      <c r="AU2761" s="20" t="str">
        <f aca="false">HYPERLINK("http://www.bing.com/maps/?lvl=14&amp;sty=h&amp;cp=36.7166~42.078&amp;sp=point.36.7166_42.078","Maplink3")</f>
        <v>Maplink3</v>
      </c>
    </row>
    <row r="2762" customFormat="false" ht="15" hidden="false" customHeight="true" outlineLevel="0" collapsed="false">
      <c r="A2762" s="15" t="n">
        <v>18238</v>
      </c>
      <c r="B2762" s="16" t="s">
        <v>27</v>
      </c>
      <c r="C2762" s="16" t="s">
        <v>5242</v>
      </c>
      <c r="D2762" s="16" t="s">
        <v>5318</v>
      </c>
      <c r="E2762" s="17" t="s">
        <v>5319</v>
      </c>
      <c r="F2762" s="16" t="n">
        <v>36.57670695</v>
      </c>
      <c r="G2762" s="16" t="n">
        <v>42.38176222</v>
      </c>
      <c r="H2762" s="18" t="n">
        <v>43</v>
      </c>
      <c r="I2762" s="18" t="n">
        <v>258</v>
      </c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 t="n">
        <v>43</v>
      </c>
      <c r="W2762" s="19"/>
      <c r="X2762" s="19"/>
      <c r="Y2762" s="19"/>
      <c r="Z2762" s="19"/>
      <c r="AA2762" s="19"/>
      <c r="AB2762" s="19"/>
      <c r="AC2762" s="19" t="n">
        <v>43</v>
      </c>
      <c r="AD2762" s="19"/>
      <c r="AE2762" s="19"/>
      <c r="AF2762" s="19"/>
      <c r="AG2762" s="19"/>
      <c r="AH2762" s="19"/>
      <c r="AI2762" s="19"/>
      <c r="AJ2762" s="19"/>
      <c r="AK2762" s="19"/>
      <c r="AL2762" s="19"/>
      <c r="AM2762" s="19"/>
      <c r="AN2762" s="19"/>
      <c r="AO2762" s="19" t="n">
        <v>20</v>
      </c>
      <c r="AP2762" s="19" t="n">
        <v>23</v>
      </c>
      <c r="AQ2762" s="19"/>
      <c r="AR2762" s="19"/>
      <c r="AS2762" s="20" t="str">
        <f aca="false">HYPERLINK("http://www.openstreetmap.org/?mlat=36.5767&amp;mlon=42.3818&amp;zoom=12#map=12/36.5767/42.3818","Maplink1")</f>
        <v>Maplink1</v>
      </c>
      <c r="AT2762" s="20" t="str">
        <f aca="false">HYPERLINK("https://www.google.iq/maps/search/+36.5767,42.3818/@36.5767,42.3818,14z?hl=en","Maplink2")</f>
        <v>Maplink2</v>
      </c>
      <c r="AU2762" s="20" t="str">
        <f aca="false">HYPERLINK("http://www.bing.com/maps/?lvl=14&amp;sty=h&amp;cp=36.5767~42.3818&amp;sp=point.36.5767_42.3818","Maplink3")</f>
        <v>Maplink3</v>
      </c>
    </row>
    <row r="2763" customFormat="false" ht="15" hidden="false" customHeight="true" outlineLevel="0" collapsed="false">
      <c r="A2763" s="15" t="n">
        <v>25689</v>
      </c>
      <c r="B2763" s="16" t="s">
        <v>27</v>
      </c>
      <c r="C2763" s="16" t="s">
        <v>5242</v>
      </c>
      <c r="D2763" s="16" t="s">
        <v>5320</v>
      </c>
      <c r="E2763" s="17" t="s">
        <v>5321</v>
      </c>
      <c r="F2763" s="16" t="n">
        <v>36.57845793</v>
      </c>
      <c r="G2763" s="16" t="n">
        <v>42.64486974</v>
      </c>
      <c r="H2763" s="18" t="n">
        <v>4</v>
      </c>
      <c r="I2763" s="18" t="n">
        <v>24</v>
      </c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 t="n">
        <v>4</v>
      </c>
      <c r="W2763" s="19"/>
      <c r="X2763" s="19"/>
      <c r="Y2763" s="19"/>
      <c r="Z2763" s="19"/>
      <c r="AA2763" s="19"/>
      <c r="AB2763" s="19"/>
      <c r="AC2763" s="19" t="n">
        <v>4</v>
      </c>
      <c r="AD2763" s="19"/>
      <c r="AE2763" s="19"/>
      <c r="AF2763" s="19"/>
      <c r="AG2763" s="19"/>
      <c r="AH2763" s="19"/>
      <c r="AI2763" s="19"/>
      <c r="AJ2763" s="19"/>
      <c r="AK2763" s="19"/>
      <c r="AL2763" s="19"/>
      <c r="AM2763" s="19"/>
      <c r="AN2763" s="19" t="n">
        <v>4</v>
      </c>
      <c r="AO2763" s="19"/>
      <c r="AP2763" s="19"/>
      <c r="AQ2763" s="19"/>
      <c r="AR2763" s="19"/>
      <c r="AS2763" s="20" t="str">
        <f aca="false">HYPERLINK("http://www.openstreetmap.org/?mlat=36.5785&amp;mlon=42.6449&amp;zoom=12#map=12/36.5785/42.6449","Maplink1")</f>
        <v>Maplink1</v>
      </c>
      <c r="AT2763" s="20" t="str">
        <f aca="false">HYPERLINK("https://www.google.iq/maps/search/+36.5785,42.6449/@36.5785,42.6449,14z?hl=en","Maplink2")</f>
        <v>Maplink2</v>
      </c>
      <c r="AU2763" s="20" t="str">
        <f aca="false">HYPERLINK("http://www.bing.com/maps/?lvl=14&amp;sty=h&amp;cp=36.5785~42.6449&amp;sp=point.36.5785_42.6449","Maplink3")</f>
        <v>Maplink3</v>
      </c>
    </row>
    <row r="2764" customFormat="false" ht="15" hidden="false" customHeight="true" outlineLevel="0" collapsed="false">
      <c r="A2764" s="15" t="n">
        <v>17932</v>
      </c>
      <c r="B2764" s="16" t="s">
        <v>27</v>
      </c>
      <c r="C2764" s="16" t="s">
        <v>5242</v>
      </c>
      <c r="D2764" s="16" t="s">
        <v>5322</v>
      </c>
      <c r="E2764" s="17" t="s">
        <v>5323</v>
      </c>
      <c r="F2764" s="16" t="n">
        <v>36.5398036</v>
      </c>
      <c r="G2764" s="16" t="n">
        <v>42.74606855</v>
      </c>
      <c r="H2764" s="18" t="n">
        <v>460</v>
      </c>
      <c r="I2764" s="18" t="n">
        <v>2760</v>
      </c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 t="n">
        <v>460</v>
      </c>
      <c r="W2764" s="19"/>
      <c r="X2764" s="19"/>
      <c r="Y2764" s="19"/>
      <c r="Z2764" s="19"/>
      <c r="AA2764" s="19"/>
      <c r="AB2764" s="19"/>
      <c r="AC2764" s="19" t="n">
        <v>460</v>
      </c>
      <c r="AD2764" s="19"/>
      <c r="AE2764" s="19"/>
      <c r="AF2764" s="19"/>
      <c r="AG2764" s="19"/>
      <c r="AH2764" s="19"/>
      <c r="AI2764" s="19"/>
      <c r="AJ2764" s="19"/>
      <c r="AK2764" s="19"/>
      <c r="AL2764" s="19"/>
      <c r="AM2764" s="19"/>
      <c r="AN2764" s="19"/>
      <c r="AO2764" s="19"/>
      <c r="AP2764" s="19" t="n">
        <v>460</v>
      </c>
      <c r="AQ2764" s="19"/>
      <c r="AR2764" s="19"/>
      <c r="AS2764" s="20" t="str">
        <f aca="false">HYPERLINK("http://www.openstreetmap.org/?mlat=36.5398&amp;mlon=42.7461&amp;zoom=12#map=12/36.5398/42.7461","Maplink1")</f>
        <v>Maplink1</v>
      </c>
      <c r="AT2764" s="20" t="str">
        <f aca="false">HYPERLINK("https://www.google.iq/maps/search/+36.5398,42.7461/@36.5398,42.7461,14z?hl=en","Maplink2")</f>
        <v>Maplink2</v>
      </c>
      <c r="AU2764" s="20" t="str">
        <f aca="false">HYPERLINK("http://www.bing.com/maps/?lvl=14&amp;sty=h&amp;cp=36.5398~42.7461&amp;sp=point.36.5398_42.7461","Maplink3")</f>
        <v>Maplink3</v>
      </c>
    </row>
    <row r="2765" customFormat="false" ht="15" hidden="false" customHeight="true" outlineLevel="0" collapsed="false">
      <c r="A2765" s="15" t="n">
        <v>17814</v>
      </c>
      <c r="B2765" s="16" t="s">
        <v>27</v>
      </c>
      <c r="C2765" s="16" t="s">
        <v>5242</v>
      </c>
      <c r="D2765" s="16" t="s">
        <v>5324</v>
      </c>
      <c r="E2765" s="17" t="s">
        <v>5325</v>
      </c>
      <c r="F2765" s="16" t="n">
        <v>36.74845109</v>
      </c>
      <c r="G2765" s="16" t="n">
        <v>42.30442092</v>
      </c>
      <c r="H2765" s="18" t="n">
        <v>50</v>
      </c>
      <c r="I2765" s="18" t="n">
        <v>300</v>
      </c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 t="n">
        <v>50</v>
      </c>
      <c r="W2765" s="19"/>
      <c r="X2765" s="19"/>
      <c r="Y2765" s="19"/>
      <c r="Z2765" s="19"/>
      <c r="AA2765" s="19"/>
      <c r="AB2765" s="19"/>
      <c r="AC2765" s="19" t="n">
        <v>50</v>
      </c>
      <c r="AD2765" s="19"/>
      <c r="AE2765" s="19"/>
      <c r="AF2765" s="19"/>
      <c r="AG2765" s="19"/>
      <c r="AH2765" s="19"/>
      <c r="AI2765" s="19"/>
      <c r="AJ2765" s="19"/>
      <c r="AK2765" s="19"/>
      <c r="AL2765" s="19"/>
      <c r="AM2765" s="19"/>
      <c r="AN2765" s="19"/>
      <c r="AO2765" s="19" t="n">
        <v>50</v>
      </c>
      <c r="AP2765" s="19"/>
      <c r="AQ2765" s="19"/>
      <c r="AR2765" s="19"/>
      <c r="AS2765" s="20" t="str">
        <f aca="false">HYPERLINK("http://www.openstreetmap.org/?mlat=36.7485&amp;mlon=42.3044&amp;zoom=12#map=12/36.7485/42.3044","Maplink1")</f>
        <v>Maplink1</v>
      </c>
      <c r="AT2765" s="20" t="str">
        <f aca="false">HYPERLINK("https://www.google.iq/maps/search/+36.7485,42.3044/@36.7485,42.3044,14z?hl=en","Maplink2")</f>
        <v>Maplink2</v>
      </c>
      <c r="AU2765" s="20" t="str">
        <f aca="false">HYPERLINK("http://www.bing.com/maps/?lvl=14&amp;sty=h&amp;cp=36.7485~42.3044&amp;sp=point.36.7485_42.3044","Maplink3")</f>
        <v>Maplink3</v>
      </c>
    </row>
    <row r="2766" customFormat="false" ht="15" hidden="false" customHeight="true" outlineLevel="0" collapsed="false">
      <c r="A2766" s="15" t="n">
        <v>28433</v>
      </c>
      <c r="B2766" s="16" t="s">
        <v>27</v>
      </c>
      <c r="C2766" s="16" t="s">
        <v>5242</v>
      </c>
      <c r="D2766" s="16" t="s">
        <v>5326</v>
      </c>
      <c r="E2766" s="17" t="s">
        <v>5327</v>
      </c>
      <c r="F2766" s="16" t="n">
        <v>36.4286</v>
      </c>
      <c r="G2766" s="16" t="n">
        <v>42.6762</v>
      </c>
      <c r="H2766" s="18" t="n">
        <v>50</v>
      </c>
      <c r="I2766" s="18" t="n">
        <v>300</v>
      </c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 t="n">
        <v>50</v>
      </c>
      <c r="W2766" s="19"/>
      <c r="X2766" s="19"/>
      <c r="Y2766" s="19"/>
      <c r="Z2766" s="19"/>
      <c r="AA2766" s="19"/>
      <c r="AB2766" s="19"/>
      <c r="AC2766" s="19" t="n">
        <v>50</v>
      </c>
      <c r="AD2766" s="19"/>
      <c r="AE2766" s="19"/>
      <c r="AF2766" s="19"/>
      <c r="AG2766" s="19"/>
      <c r="AH2766" s="19"/>
      <c r="AI2766" s="19"/>
      <c r="AJ2766" s="19"/>
      <c r="AK2766" s="19"/>
      <c r="AL2766" s="19"/>
      <c r="AM2766" s="19"/>
      <c r="AN2766" s="19"/>
      <c r="AO2766" s="19"/>
      <c r="AP2766" s="19" t="n">
        <v>50</v>
      </c>
      <c r="AQ2766" s="19"/>
      <c r="AR2766" s="19"/>
      <c r="AS2766" s="20" t="str">
        <f aca="false">HYPERLINK("http://www.openstreetmap.org/?mlat=36.4286&amp;mlon=42.6762&amp;zoom=12#map=12/36.4286/42.6762","Maplink1")</f>
        <v>Maplink1</v>
      </c>
      <c r="AT2766" s="20" t="str">
        <f aca="false">HYPERLINK("https://www.google.iq/maps/search/+36.4286,42.6762/@36.4286,42.6762,14z?hl=en","Maplink2")</f>
        <v>Maplink2</v>
      </c>
      <c r="AU2766" s="20" t="str">
        <f aca="false">HYPERLINK("http://www.bing.com/maps/?lvl=14&amp;sty=h&amp;cp=36.4286~42.6762&amp;sp=point.36.4286_42.6762","Maplink3")</f>
        <v>Maplink3</v>
      </c>
    </row>
    <row r="2767" customFormat="false" ht="15" hidden="false" customHeight="true" outlineLevel="0" collapsed="false">
      <c r="A2767" s="15" t="n">
        <v>28438</v>
      </c>
      <c r="B2767" s="16" t="s">
        <v>27</v>
      </c>
      <c r="C2767" s="16" t="s">
        <v>5242</v>
      </c>
      <c r="D2767" s="16" t="s">
        <v>5328</v>
      </c>
      <c r="E2767" s="17" t="s">
        <v>5329</v>
      </c>
      <c r="F2767" s="16" t="n">
        <v>36.79691713</v>
      </c>
      <c r="G2767" s="16" t="n">
        <v>42.1805105</v>
      </c>
      <c r="H2767" s="18" t="n">
        <v>38</v>
      </c>
      <c r="I2767" s="18" t="n">
        <v>228</v>
      </c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 t="n">
        <v>38</v>
      </c>
      <c r="W2767" s="19"/>
      <c r="X2767" s="19"/>
      <c r="Y2767" s="19"/>
      <c r="Z2767" s="19"/>
      <c r="AA2767" s="19"/>
      <c r="AB2767" s="19"/>
      <c r="AC2767" s="19" t="n">
        <v>38</v>
      </c>
      <c r="AD2767" s="19"/>
      <c r="AE2767" s="19"/>
      <c r="AF2767" s="19"/>
      <c r="AG2767" s="19"/>
      <c r="AH2767" s="19"/>
      <c r="AI2767" s="19"/>
      <c r="AJ2767" s="19"/>
      <c r="AK2767" s="19"/>
      <c r="AL2767" s="19"/>
      <c r="AM2767" s="19"/>
      <c r="AN2767" s="19"/>
      <c r="AO2767" s="19" t="n">
        <v>38</v>
      </c>
      <c r="AP2767" s="19"/>
      <c r="AQ2767" s="19"/>
      <c r="AR2767" s="19"/>
      <c r="AS2767" s="20" t="str">
        <f aca="false">HYPERLINK("http://www.openstreetmap.org/?mlat=36.7969&amp;mlon=42.1805&amp;zoom=12#map=12/36.7969/42.1805","Maplink1")</f>
        <v>Maplink1</v>
      </c>
      <c r="AT2767" s="20" t="str">
        <f aca="false">HYPERLINK("https://www.google.iq/maps/search/+36.7969,42.1805/@36.7969,42.1805,14z?hl=en","Maplink2")</f>
        <v>Maplink2</v>
      </c>
      <c r="AU2767" s="20" t="str">
        <f aca="false">HYPERLINK("http://www.bing.com/maps/?lvl=14&amp;sty=h&amp;cp=36.7969~42.1805&amp;sp=point.36.7969_42.1805","Maplink3")</f>
        <v>Maplink3</v>
      </c>
    </row>
    <row r="2768" customFormat="false" ht="15" hidden="false" customHeight="true" outlineLevel="0" collapsed="false">
      <c r="A2768" s="15" t="n">
        <v>17614</v>
      </c>
      <c r="B2768" s="16" t="s">
        <v>27</v>
      </c>
      <c r="C2768" s="16" t="s">
        <v>5242</v>
      </c>
      <c r="D2768" s="16" t="s">
        <v>5330</v>
      </c>
      <c r="E2768" s="17" t="s">
        <v>5331</v>
      </c>
      <c r="F2768" s="16" t="n">
        <v>36.75136126</v>
      </c>
      <c r="G2768" s="16" t="n">
        <v>42.17268614</v>
      </c>
      <c r="H2768" s="18" t="n">
        <v>65</v>
      </c>
      <c r="I2768" s="18" t="n">
        <v>390</v>
      </c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 t="n">
        <v>65</v>
      </c>
      <c r="W2768" s="19"/>
      <c r="X2768" s="19"/>
      <c r="Y2768" s="19"/>
      <c r="Z2768" s="19"/>
      <c r="AA2768" s="19"/>
      <c r="AB2768" s="19"/>
      <c r="AC2768" s="19" t="n">
        <v>65</v>
      </c>
      <c r="AD2768" s="19"/>
      <c r="AE2768" s="19"/>
      <c r="AF2768" s="19"/>
      <c r="AG2768" s="19"/>
      <c r="AH2768" s="19"/>
      <c r="AI2768" s="19"/>
      <c r="AJ2768" s="19"/>
      <c r="AK2768" s="19"/>
      <c r="AL2768" s="19"/>
      <c r="AM2768" s="19"/>
      <c r="AN2768" s="19"/>
      <c r="AO2768" s="19" t="n">
        <v>40</v>
      </c>
      <c r="AP2768" s="19" t="n">
        <v>21</v>
      </c>
      <c r="AQ2768" s="19" t="n">
        <v>4</v>
      </c>
      <c r="AR2768" s="19"/>
      <c r="AS2768" s="20" t="str">
        <f aca="false">HYPERLINK("http://www.openstreetmap.org/?mlat=36.7514&amp;mlon=42.1727&amp;zoom=12#map=12/36.7514/42.1727","Maplink1")</f>
        <v>Maplink1</v>
      </c>
      <c r="AT2768" s="20" t="str">
        <f aca="false">HYPERLINK("https://www.google.iq/maps/search/+36.7514,42.1727/@36.7514,42.1727,14z?hl=en","Maplink2")</f>
        <v>Maplink2</v>
      </c>
      <c r="AU2768" s="20" t="str">
        <f aca="false">HYPERLINK("http://www.bing.com/maps/?lvl=14&amp;sty=h&amp;cp=36.7514~42.1727&amp;sp=point.36.7514_42.1727","Maplink3")</f>
        <v>Maplink3</v>
      </c>
    </row>
    <row r="2769" customFormat="false" ht="15" hidden="false" customHeight="true" outlineLevel="0" collapsed="false">
      <c r="A2769" s="15" t="n">
        <v>17942</v>
      </c>
      <c r="B2769" s="16" t="s">
        <v>27</v>
      </c>
      <c r="C2769" s="16" t="s">
        <v>5242</v>
      </c>
      <c r="D2769" s="16" t="s">
        <v>5332</v>
      </c>
      <c r="E2769" s="17" t="s">
        <v>5333</v>
      </c>
      <c r="F2769" s="16" t="n">
        <v>36.54710093</v>
      </c>
      <c r="G2769" s="16" t="n">
        <v>42.65613719</v>
      </c>
      <c r="H2769" s="18" t="n">
        <v>20</v>
      </c>
      <c r="I2769" s="18" t="n">
        <v>120</v>
      </c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 t="n">
        <v>20</v>
      </c>
      <c r="W2769" s="19"/>
      <c r="X2769" s="19"/>
      <c r="Y2769" s="19"/>
      <c r="Z2769" s="19"/>
      <c r="AA2769" s="19"/>
      <c r="AB2769" s="19"/>
      <c r="AC2769" s="19" t="n">
        <v>20</v>
      </c>
      <c r="AD2769" s="19"/>
      <c r="AE2769" s="19"/>
      <c r="AF2769" s="19"/>
      <c r="AG2769" s="19"/>
      <c r="AH2769" s="19"/>
      <c r="AI2769" s="19"/>
      <c r="AJ2769" s="19"/>
      <c r="AK2769" s="19"/>
      <c r="AL2769" s="19"/>
      <c r="AM2769" s="19"/>
      <c r="AN2769" s="19"/>
      <c r="AO2769" s="19" t="n">
        <v>20</v>
      </c>
      <c r="AP2769" s="19"/>
      <c r="AQ2769" s="19"/>
      <c r="AR2769" s="19"/>
      <c r="AS2769" s="20" t="str">
        <f aca="false">HYPERLINK("http://www.openstreetmap.org/?mlat=36.5471&amp;mlon=42.6561&amp;zoom=12#map=12/36.5471/42.6561","Maplink1")</f>
        <v>Maplink1</v>
      </c>
      <c r="AT2769" s="20" t="str">
        <f aca="false">HYPERLINK("https://www.google.iq/maps/search/+36.5471,42.6561/@36.5471,42.6561,14z?hl=en","Maplink2")</f>
        <v>Maplink2</v>
      </c>
      <c r="AU2769" s="20" t="str">
        <f aca="false">HYPERLINK("http://www.bing.com/maps/?lvl=14&amp;sty=h&amp;cp=36.5471~42.6561&amp;sp=point.36.5471_42.6561","Maplink3")</f>
        <v>Maplink3</v>
      </c>
    </row>
    <row r="2770" customFormat="false" ht="15" hidden="false" customHeight="true" outlineLevel="0" collapsed="false">
      <c r="A2770" s="15" t="n">
        <v>28439</v>
      </c>
      <c r="B2770" s="16" t="s">
        <v>27</v>
      </c>
      <c r="C2770" s="16" t="s">
        <v>5242</v>
      </c>
      <c r="D2770" s="16" t="s">
        <v>5334</v>
      </c>
      <c r="E2770" s="17" t="s">
        <v>5335</v>
      </c>
      <c r="F2770" s="16" t="n">
        <v>36.7463545</v>
      </c>
      <c r="G2770" s="16" t="n">
        <v>42.19946533</v>
      </c>
      <c r="H2770" s="18" t="n">
        <v>22</v>
      </c>
      <c r="I2770" s="18" t="n">
        <v>132</v>
      </c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 t="n">
        <v>22</v>
      </c>
      <c r="W2770" s="19"/>
      <c r="X2770" s="19"/>
      <c r="Y2770" s="19"/>
      <c r="Z2770" s="19"/>
      <c r="AA2770" s="19"/>
      <c r="AB2770" s="19"/>
      <c r="AC2770" s="19" t="n">
        <v>22</v>
      </c>
      <c r="AD2770" s="19"/>
      <c r="AE2770" s="19"/>
      <c r="AF2770" s="19"/>
      <c r="AG2770" s="19"/>
      <c r="AH2770" s="19"/>
      <c r="AI2770" s="19"/>
      <c r="AJ2770" s="19"/>
      <c r="AK2770" s="19"/>
      <c r="AL2770" s="19"/>
      <c r="AM2770" s="19"/>
      <c r="AN2770" s="19"/>
      <c r="AO2770" s="19" t="n">
        <v>21</v>
      </c>
      <c r="AP2770" s="19"/>
      <c r="AQ2770" s="19" t="n">
        <v>1</v>
      </c>
      <c r="AR2770" s="19"/>
      <c r="AS2770" s="20" t="str">
        <f aca="false">HYPERLINK("http://www.openstreetmap.org/?mlat=36.7464&amp;mlon=42.1995&amp;zoom=12#map=12/36.7464/42.1995","Maplink1")</f>
        <v>Maplink1</v>
      </c>
      <c r="AT2770" s="20" t="str">
        <f aca="false">HYPERLINK("https://www.google.iq/maps/search/+36.7464,42.1995/@36.7464,42.1995,14z?hl=en","Maplink2")</f>
        <v>Maplink2</v>
      </c>
      <c r="AU2770" s="20" t="str">
        <f aca="false">HYPERLINK("http://www.bing.com/maps/?lvl=14&amp;sty=h&amp;cp=36.7464~42.1995&amp;sp=point.36.7464_42.1995","Maplink3")</f>
        <v>Maplink3</v>
      </c>
    </row>
    <row r="2771" customFormat="false" ht="15" hidden="false" customHeight="true" outlineLevel="0" collapsed="false">
      <c r="A2771" s="15" t="n">
        <v>28444</v>
      </c>
      <c r="B2771" s="16" t="s">
        <v>27</v>
      </c>
      <c r="C2771" s="16" t="s">
        <v>5242</v>
      </c>
      <c r="D2771" s="16" t="s">
        <v>5336</v>
      </c>
      <c r="E2771" s="17" t="s">
        <v>5337</v>
      </c>
      <c r="F2771" s="16" t="n">
        <v>36.71669083</v>
      </c>
      <c r="G2771" s="16" t="n">
        <v>42.35230019</v>
      </c>
      <c r="H2771" s="18" t="n">
        <v>19</v>
      </c>
      <c r="I2771" s="18" t="n">
        <v>114</v>
      </c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 t="n">
        <v>19</v>
      </c>
      <c r="W2771" s="19"/>
      <c r="X2771" s="19"/>
      <c r="Y2771" s="19"/>
      <c r="Z2771" s="19"/>
      <c r="AA2771" s="19"/>
      <c r="AB2771" s="19"/>
      <c r="AC2771" s="19" t="n">
        <v>19</v>
      </c>
      <c r="AD2771" s="19"/>
      <c r="AE2771" s="19"/>
      <c r="AF2771" s="19"/>
      <c r="AG2771" s="19"/>
      <c r="AH2771" s="19"/>
      <c r="AI2771" s="19"/>
      <c r="AJ2771" s="19"/>
      <c r="AK2771" s="19"/>
      <c r="AL2771" s="19"/>
      <c r="AM2771" s="19"/>
      <c r="AN2771" s="19"/>
      <c r="AO2771" s="19" t="n">
        <v>16</v>
      </c>
      <c r="AP2771" s="19" t="n">
        <v>1</v>
      </c>
      <c r="AQ2771" s="19" t="n">
        <v>2</v>
      </c>
      <c r="AR2771" s="19"/>
      <c r="AS2771" s="20" t="str">
        <f aca="false">HYPERLINK("http://www.openstreetmap.org/?mlat=36.7167&amp;mlon=42.3523&amp;zoom=12#map=12/36.7167/42.3523","Maplink1")</f>
        <v>Maplink1</v>
      </c>
      <c r="AT2771" s="20" t="str">
        <f aca="false">HYPERLINK("https://www.google.iq/maps/search/+36.7167,42.3523/@36.7167,42.3523,14z?hl=en","Maplink2")</f>
        <v>Maplink2</v>
      </c>
      <c r="AU2771" s="20" t="str">
        <f aca="false">HYPERLINK("http://www.bing.com/maps/?lvl=14&amp;sty=h&amp;cp=36.7167~42.3523&amp;sp=point.36.7167_42.3523","Maplink3")</f>
        <v>Maplink3</v>
      </c>
    </row>
    <row r="2772" customFormat="false" ht="15" hidden="false" customHeight="true" outlineLevel="0" collapsed="false">
      <c r="A2772" s="15" t="n">
        <v>17933</v>
      </c>
      <c r="B2772" s="16" t="s">
        <v>27</v>
      </c>
      <c r="C2772" s="16" t="s">
        <v>5242</v>
      </c>
      <c r="D2772" s="16" t="s">
        <v>5338</v>
      </c>
      <c r="E2772" s="17" t="s">
        <v>5339</v>
      </c>
      <c r="F2772" s="16" t="n">
        <v>36.509771</v>
      </c>
      <c r="G2772" s="16" t="n">
        <v>42.671863</v>
      </c>
      <c r="H2772" s="18" t="n">
        <v>20</v>
      </c>
      <c r="I2772" s="18" t="n">
        <v>120</v>
      </c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 t="n">
        <v>20</v>
      </c>
      <c r="W2772" s="19"/>
      <c r="X2772" s="19"/>
      <c r="Y2772" s="19"/>
      <c r="Z2772" s="19"/>
      <c r="AA2772" s="19"/>
      <c r="AB2772" s="19"/>
      <c r="AC2772" s="19" t="n">
        <v>20</v>
      </c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  <c r="AN2772" s="19"/>
      <c r="AO2772" s="19"/>
      <c r="AP2772" s="19" t="n">
        <v>20</v>
      </c>
      <c r="AQ2772" s="19"/>
      <c r="AR2772" s="19"/>
      <c r="AS2772" s="20" t="str">
        <f aca="false">HYPERLINK("http://www.openstreetmap.org/?mlat=36.5098&amp;mlon=42.6719&amp;zoom=12#map=12/36.5098/42.6719","Maplink1")</f>
        <v>Maplink1</v>
      </c>
      <c r="AT2772" s="20" t="str">
        <f aca="false">HYPERLINK("https://www.google.iq/maps/search/+36.5098,42.6719/@36.5098,42.6719,14z?hl=en","Maplink2")</f>
        <v>Maplink2</v>
      </c>
      <c r="AU2772" s="20" t="str">
        <f aca="false">HYPERLINK("http://www.bing.com/maps/?lvl=14&amp;sty=h&amp;cp=36.5098~42.6719&amp;sp=point.36.5098_42.6719","Maplink3")</f>
        <v>Maplink3</v>
      </c>
    </row>
    <row r="2773" customFormat="false" ht="15" hidden="false" customHeight="true" outlineLevel="0" collapsed="false">
      <c r="A2773" s="15" t="n">
        <v>25856</v>
      </c>
      <c r="B2773" s="16" t="s">
        <v>27</v>
      </c>
      <c r="C2773" s="16" t="s">
        <v>5242</v>
      </c>
      <c r="D2773" s="16" t="s">
        <v>5340</v>
      </c>
      <c r="E2773" s="17" t="s">
        <v>97</v>
      </c>
      <c r="F2773" s="16" t="n">
        <v>36.3886</v>
      </c>
      <c r="G2773" s="16" t="n">
        <v>42.464</v>
      </c>
      <c r="H2773" s="18" t="n">
        <v>20</v>
      </c>
      <c r="I2773" s="18" t="n">
        <v>120</v>
      </c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 t="n">
        <v>20</v>
      </c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9"/>
      <c r="AH2773" s="19" t="n">
        <v>20</v>
      </c>
      <c r="AI2773" s="19"/>
      <c r="AJ2773" s="19"/>
      <c r="AK2773" s="19"/>
      <c r="AL2773" s="19"/>
      <c r="AM2773" s="19"/>
      <c r="AN2773" s="19"/>
      <c r="AO2773" s="19" t="n">
        <v>20</v>
      </c>
      <c r="AP2773" s="19"/>
      <c r="AQ2773" s="19"/>
      <c r="AR2773" s="19"/>
      <c r="AS2773" s="20" t="str">
        <f aca="false">HYPERLINK("http://www.openstreetmap.org/?mlat=36.3886&amp;mlon=42.464&amp;zoom=12#map=12/36.3886/42.464","Maplink1")</f>
        <v>Maplink1</v>
      </c>
      <c r="AT2773" s="20" t="str">
        <f aca="false">HYPERLINK("https://www.google.iq/maps/search/+36.3886,42.464/@36.3886,42.464,14z?hl=en","Maplink2")</f>
        <v>Maplink2</v>
      </c>
      <c r="AU2773" s="20" t="str">
        <f aca="false">HYPERLINK("http://www.bing.com/maps/?lvl=14&amp;sty=h&amp;cp=36.3886~42.464&amp;sp=point.36.3886_42.464","Maplink3")</f>
        <v>Maplink3</v>
      </c>
    </row>
    <row r="2774" customFormat="false" ht="15" hidden="false" customHeight="true" outlineLevel="0" collapsed="false">
      <c r="A2774" s="15" t="n">
        <v>25740</v>
      </c>
      <c r="B2774" s="16" t="s">
        <v>27</v>
      </c>
      <c r="C2774" s="16" t="s">
        <v>5242</v>
      </c>
      <c r="D2774" s="16" t="s">
        <v>5341</v>
      </c>
      <c r="E2774" s="17" t="s">
        <v>5342</v>
      </c>
      <c r="F2774" s="16" t="n">
        <v>36.3627</v>
      </c>
      <c r="G2774" s="16" t="n">
        <v>42.6933</v>
      </c>
      <c r="H2774" s="18" t="n">
        <v>80</v>
      </c>
      <c r="I2774" s="18" t="n">
        <v>480</v>
      </c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 t="n">
        <v>80</v>
      </c>
      <c r="W2774" s="19"/>
      <c r="X2774" s="19"/>
      <c r="Y2774" s="19"/>
      <c r="Z2774" s="19"/>
      <c r="AA2774" s="19"/>
      <c r="AB2774" s="19"/>
      <c r="AC2774" s="19" t="n">
        <v>33</v>
      </c>
      <c r="AD2774" s="19"/>
      <c r="AE2774" s="19"/>
      <c r="AF2774" s="19"/>
      <c r="AG2774" s="19"/>
      <c r="AH2774" s="19"/>
      <c r="AI2774" s="19" t="n">
        <v>15</v>
      </c>
      <c r="AJ2774" s="19" t="n">
        <v>15</v>
      </c>
      <c r="AK2774" s="19" t="n">
        <v>17</v>
      </c>
      <c r="AL2774" s="19"/>
      <c r="AM2774" s="19"/>
      <c r="AN2774" s="19"/>
      <c r="AO2774" s="19" t="n">
        <v>80</v>
      </c>
      <c r="AP2774" s="19"/>
      <c r="AQ2774" s="19"/>
      <c r="AR2774" s="19"/>
      <c r="AS2774" s="20" t="str">
        <f aca="false">HYPERLINK("http://www.openstreetmap.org/?mlat=36.3627&amp;mlon=42.6933&amp;zoom=12#map=12/36.3627/42.6933","Maplink1")</f>
        <v>Maplink1</v>
      </c>
      <c r="AT2774" s="20" t="str">
        <f aca="false">HYPERLINK("https://www.google.iq/maps/search/+36.3627,42.6933/@36.3627,42.6933,14z?hl=en","Maplink2")</f>
        <v>Maplink2</v>
      </c>
      <c r="AU2774" s="20" t="str">
        <f aca="false">HYPERLINK("http://www.bing.com/maps/?lvl=14&amp;sty=h&amp;cp=36.3627~42.6933&amp;sp=point.36.3627_42.6933","Maplink3")</f>
        <v>Maplink3</v>
      </c>
    </row>
    <row r="2775" customFormat="false" ht="15" hidden="false" customHeight="true" outlineLevel="0" collapsed="false">
      <c r="A2775" s="15" t="n">
        <v>17590</v>
      </c>
      <c r="B2775" s="16" t="s">
        <v>27</v>
      </c>
      <c r="C2775" s="16" t="s">
        <v>5343</v>
      </c>
      <c r="D2775" s="16" t="s">
        <v>5344</v>
      </c>
      <c r="E2775" s="17" t="s">
        <v>5345</v>
      </c>
      <c r="F2775" s="16" t="n">
        <v>36.67549907</v>
      </c>
      <c r="G2775" s="16" t="n">
        <v>43.19475537</v>
      </c>
      <c r="H2775" s="18" t="n">
        <v>18</v>
      </c>
      <c r="I2775" s="18" t="n">
        <v>108</v>
      </c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 t="n">
        <v>18</v>
      </c>
      <c r="W2775" s="19"/>
      <c r="X2775" s="19"/>
      <c r="Y2775" s="19"/>
      <c r="Z2775" s="19"/>
      <c r="AA2775" s="19"/>
      <c r="AB2775" s="19"/>
      <c r="AC2775" s="19" t="n">
        <v>18</v>
      </c>
      <c r="AD2775" s="19"/>
      <c r="AE2775" s="19"/>
      <c r="AF2775" s="19"/>
      <c r="AG2775" s="19"/>
      <c r="AH2775" s="19"/>
      <c r="AI2775" s="19"/>
      <c r="AJ2775" s="19"/>
      <c r="AK2775" s="19"/>
      <c r="AL2775" s="19"/>
      <c r="AM2775" s="19"/>
      <c r="AN2775" s="19" t="n">
        <v>18</v>
      </c>
      <c r="AO2775" s="19"/>
      <c r="AP2775" s="19"/>
      <c r="AQ2775" s="19"/>
      <c r="AR2775" s="19"/>
      <c r="AS2775" s="20" t="str">
        <f aca="false">HYPERLINK("http://www.openstreetmap.org/?mlat=36.6755&amp;mlon=43.1948&amp;zoom=12#map=12/36.6755/43.1948","Maplink1")</f>
        <v>Maplink1</v>
      </c>
      <c r="AT2775" s="20" t="str">
        <f aca="false">HYPERLINK("https://www.google.iq/maps/search/+36.6755,43.1948/@36.6755,43.1948,14z?hl=en","Maplink2")</f>
        <v>Maplink2</v>
      </c>
      <c r="AU2775" s="20" t="str">
        <f aca="false">HYPERLINK("http://www.bing.com/maps/?lvl=14&amp;sty=h&amp;cp=36.6755~43.1948&amp;sp=point.36.6755_43.1948","Maplink3")</f>
        <v>Maplink3</v>
      </c>
    </row>
    <row r="2776" customFormat="false" ht="15" hidden="false" customHeight="true" outlineLevel="0" collapsed="false">
      <c r="A2776" s="15" t="n">
        <v>24600</v>
      </c>
      <c r="B2776" s="16" t="s">
        <v>27</v>
      </c>
      <c r="C2776" s="16" t="s">
        <v>5343</v>
      </c>
      <c r="D2776" s="16" t="s">
        <v>5346</v>
      </c>
      <c r="E2776" s="17" t="s">
        <v>5347</v>
      </c>
      <c r="F2776" s="16" t="n">
        <v>36.446542</v>
      </c>
      <c r="G2776" s="16" t="n">
        <v>43.102503</v>
      </c>
      <c r="H2776" s="18" t="n">
        <v>28</v>
      </c>
      <c r="I2776" s="18" t="n">
        <v>168</v>
      </c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 t="n">
        <v>28</v>
      </c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9"/>
      <c r="AH2776" s="19"/>
      <c r="AI2776" s="19" t="n">
        <v>13</v>
      </c>
      <c r="AJ2776" s="19" t="n">
        <v>15</v>
      </c>
      <c r="AK2776" s="19"/>
      <c r="AL2776" s="19"/>
      <c r="AM2776" s="19"/>
      <c r="AN2776" s="19"/>
      <c r="AO2776" s="19" t="n">
        <v>28</v>
      </c>
      <c r="AP2776" s="19"/>
      <c r="AQ2776" s="19"/>
      <c r="AR2776" s="19"/>
      <c r="AS2776" s="20" t="str">
        <f aca="false">HYPERLINK("http://www.openstreetmap.org/?mlat=36.4465&amp;mlon=43.1025&amp;zoom=12#map=12/36.4465/43.1025","Maplink1")</f>
        <v>Maplink1</v>
      </c>
      <c r="AT2776" s="20" t="str">
        <f aca="false">HYPERLINK("https://www.google.iq/maps/search/+36.4465,43.1025/@36.4465,43.1025,14z?hl=en","Maplink2")</f>
        <v>Maplink2</v>
      </c>
      <c r="AU2776" s="20" t="str">
        <f aca="false">HYPERLINK("http://www.bing.com/maps/?lvl=14&amp;sty=h&amp;cp=36.4465~43.1025&amp;sp=point.36.4465_43.1025","Maplink3")</f>
        <v>Maplink3</v>
      </c>
    </row>
    <row r="2777" customFormat="false" ht="15" hidden="false" customHeight="true" outlineLevel="0" collapsed="false">
      <c r="A2777" s="15" t="n">
        <v>24682</v>
      </c>
      <c r="B2777" s="16" t="s">
        <v>27</v>
      </c>
      <c r="C2777" s="16" t="s">
        <v>5343</v>
      </c>
      <c r="D2777" s="16" t="s">
        <v>5348</v>
      </c>
      <c r="E2777" s="17" t="s">
        <v>5349</v>
      </c>
      <c r="F2777" s="16" t="n">
        <v>36.401285</v>
      </c>
      <c r="G2777" s="16" t="n">
        <v>43.044269</v>
      </c>
      <c r="H2777" s="18" t="n">
        <v>251</v>
      </c>
      <c r="I2777" s="18" t="n">
        <v>1506</v>
      </c>
      <c r="J2777" s="19"/>
      <c r="K2777" s="19"/>
      <c r="L2777" s="19"/>
      <c r="M2777" s="19"/>
      <c r="N2777" s="19"/>
      <c r="O2777" s="19"/>
      <c r="P2777" s="19"/>
      <c r="Q2777" s="19"/>
      <c r="R2777" s="19" t="n">
        <v>12</v>
      </c>
      <c r="S2777" s="19"/>
      <c r="T2777" s="19"/>
      <c r="U2777" s="19"/>
      <c r="V2777" s="19" t="n">
        <v>140</v>
      </c>
      <c r="W2777" s="19"/>
      <c r="X2777" s="19" t="n">
        <v>99</v>
      </c>
      <c r="Y2777" s="19"/>
      <c r="Z2777" s="19"/>
      <c r="AA2777" s="19"/>
      <c r="AB2777" s="19"/>
      <c r="AC2777" s="19" t="n">
        <v>23</v>
      </c>
      <c r="AD2777" s="19"/>
      <c r="AE2777" s="19"/>
      <c r="AF2777" s="19"/>
      <c r="AG2777" s="19" t="n">
        <v>10</v>
      </c>
      <c r="AH2777" s="19"/>
      <c r="AI2777" s="19" t="n">
        <v>15</v>
      </c>
      <c r="AJ2777" s="19" t="n">
        <v>142</v>
      </c>
      <c r="AK2777" s="19" t="n">
        <v>61</v>
      </c>
      <c r="AL2777" s="19"/>
      <c r="AM2777" s="19"/>
      <c r="AN2777" s="19" t="n">
        <v>45</v>
      </c>
      <c r="AO2777" s="19" t="n">
        <v>30</v>
      </c>
      <c r="AP2777" s="19" t="n">
        <v>157</v>
      </c>
      <c r="AQ2777" s="19" t="n">
        <v>19</v>
      </c>
      <c r="AR2777" s="19"/>
      <c r="AS2777" s="20" t="str">
        <f aca="false">HYPERLINK("http://www.openstreetmap.org/?mlat=36.4013&amp;mlon=43.0443&amp;zoom=12#map=12/36.4013/43.0443","Maplink1")</f>
        <v>Maplink1</v>
      </c>
      <c r="AT2777" s="20" t="str">
        <f aca="false">HYPERLINK("https://www.google.iq/maps/search/+36.4013,43.0443/@36.4013,43.0443,14z?hl=en","Maplink2")</f>
        <v>Maplink2</v>
      </c>
      <c r="AU2777" s="20" t="str">
        <f aca="false">HYPERLINK("http://www.bing.com/maps/?lvl=14&amp;sty=h&amp;cp=36.4013~43.0443&amp;sp=point.36.4013_43.0443","Maplink3")</f>
        <v>Maplink3</v>
      </c>
    </row>
    <row r="2778" customFormat="false" ht="15" hidden="false" customHeight="true" outlineLevel="0" collapsed="false">
      <c r="A2778" s="15" t="n">
        <v>17134</v>
      </c>
      <c r="B2778" s="16" t="s">
        <v>27</v>
      </c>
      <c r="C2778" s="16" t="s">
        <v>5343</v>
      </c>
      <c r="D2778" s="16" t="s">
        <v>5350</v>
      </c>
      <c r="E2778" s="17" t="s">
        <v>5351</v>
      </c>
      <c r="F2778" s="16" t="n">
        <v>36.73429381</v>
      </c>
      <c r="G2778" s="16" t="n">
        <v>43.0957489</v>
      </c>
      <c r="H2778" s="18" t="n">
        <v>490</v>
      </c>
      <c r="I2778" s="18" t="n">
        <v>2940</v>
      </c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 t="n">
        <v>490</v>
      </c>
      <c r="W2778" s="19"/>
      <c r="X2778" s="19"/>
      <c r="Y2778" s="19"/>
      <c r="Z2778" s="19"/>
      <c r="AA2778" s="19"/>
      <c r="AB2778" s="19"/>
      <c r="AC2778" s="19" t="n">
        <v>35</v>
      </c>
      <c r="AD2778" s="19"/>
      <c r="AE2778" s="19"/>
      <c r="AF2778" s="19"/>
      <c r="AG2778" s="19" t="n">
        <v>14</v>
      </c>
      <c r="AH2778" s="19" t="n">
        <v>366</v>
      </c>
      <c r="AI2778" s="19"/>
      <c r="AJ2778" s="19" t="n">
        <v>75</v>
      </c>
      <c r="AK2778" s="19"/>
      <c r="AL2778" s="19"/>
      <c r="AM2778" s="19" t="n">
        <v>65</v>
      </c>
      <c r="AN2778" s="19" t="n">
        <v>425</v>
      </c>
      <c r="AO2778" s="19"/>
      <c r="AP2778" s="19"/>
      <c r="AQ2778" s="19"/>
      <c r="AR2778" s="19"/>
      <c r="AS2778" s="20" t="str">
        <f aca="false">HYPERLINK("http://www.openstreetmap.org/?mlat=36.7343&amp;mlon=43.0957&amp;zoom=12#map=12/36.7343/43.0957","Maplink1")</f>
        <v>Maplink1</v>
      </c>
      <c r="AT2778" s="20" t="str">
        <f aca="false">HYPERLINK("https://www.google.iq/maps/search/+36.7343,43.0957/@36.7343,43.0957,14z?hl=en","Maplink2")</f>
        <v>Maplink2</v>
      </c>
      <c r="AU2778" s="20" t="str">
        <f aca="false">HYPERLINK("http://www.bing.com/maps/?lvl=14&amp;sty=h&amp;cp=36.7343~43.0957&amp;sp=point.36.7343_43.0957","Maplink3")</f>
        <v>Maplink3</v>
      </c>
    </row>
    <row r="2779" customFormat="false" ht="15" hidden="false" customHeight="true" outlineLevel="0" collapsed="false">
      <c r="A2779" s="15" t="n">
        <v>21603</v>
      </c>
      <c r="B2779" s="16" t="s">
        <v>27</v>
      </c>
      <c r="C2779" s="16" t="s">
        <v>5343</v>
      </c>
      <c r="D2779" s="16" t="s">
        <v>5352</v>
      </c>
      <c r="E2779" s="17" t="s">
        <v>5353</v>
      </c>
      <c r="F2779" s="16" t="n">
        <v>36.430375</v>
      </c>
      <c r="G2779" s="16" t="n">
        <v>43.157959</v>
      </c>
      <c r="H2779" s="18" t="n">
        <v>204</v>
      </c>
      <c r="I2779" s="18" t="n">
        <v>1224</v>
      </c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 t="n">
        <v>60</v>
      </c>
      <c r="W2779" s="19"/>
      <c r="X2779" s="19" t="n">
        <v>144</v>
      </c>
      <c r="Y2779" s="19"/>
      <c r="Z2779" s="19"/>
      <c r="AA2779" s="19"/>
      <c r="AB2779" s="19"/>
      <c r="AC2779" s="19" t="n">
        <v>10</v>
      </c>
      <c r="AD2779" s="19"/>
      <c r="AE2779" s="19" t="n">
        <v>5</v>
      </c>
      <c r="AF2779" s="19"/>
      <c r="AG2779" s="19"/>
      <c r="AH2779" s="19"/>
      <c r="AI2779" s="19" t="n">
        <v>21</v>
      </c>
      <c r="AJ2779" s="19" t="n">
        <v>131</v>
      </c>
      <c r="AK2779" s="19" t="n">
        <v>37</v>
      </c>
      <c r="AL2779" s="19"/>
      <c r="AM2779" s="19"/>
      <c r="AN2779" s="19"/>
      <c r="AO2779" s="19" t="n">
        <v>33</v>
      </c>
      <c r="AP2779" s="19" t="n">
        <v>171</v>
      </c>
      <c r="AQ2779" s="19"/>
      <c r="AR2779" s="19"/>
      <c r="AS2779" s="20" t="str">
        <f aca="false">HYPERLINK("http://www.openstreetmap.org/?mlat=36.4304&amp;mlon=43.158&amp;zoom=12#map=12/36.4304/43.158","Maplink1")</f>
        <v>Maplink1</v>
      </c>
      <c r="AT2779" s="20" t="str">
        <f aca="false">HYPERLINK("https://www.google.iq/maps/search/+36.4304,43.158/@36.4304,43.158,14z?hl=en","Maplink2")</f>
        <v>Maplink2</v>
      </c>
      <c r="AU2779" s="20" t="str">
        <f aca="false">HYPERLINK("http://www.bing.com/maps/?lvl=14&amp;sty=h&amp;cp=36.4304~43.158&amp;sp=point.36.4304_43.158","Maplink3")</f>
        <v>Maplink3</v>
      </c>
    </row>
    <row r="2780" customFormat="false" ht="15" hidden="false" customHeight="true" outlineLevel="0" collapsed="false">
      <c r="A2780" s="15" t="n">
        <v>17077</v>
      </c>
      <c r="B2780" s="16" t="s">
        <v>27</v>
      </c>
      <c r="C2780" s="16" t="s">
        <v>5343</v>
      </c>
      <c r="D2780" s="16" t="s">
        <v>5354</v>
      </c>
      <c r="E2780" s="17" t="s">
        <v>5355</v>
      </c>
      <c r="F2780" s="16" t="n">
        <v>36.73769381</v>
      </c>
      <c r="G2780" s="16" t="n">
        <v>43.04015884</v>
      </c>
      <c r="H2780" s="18" t="n">
        <v>42</v>
      </c>
      <c r="I2780" s="18" t="n">
        <v>252</v>
      </c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 t="n">
        <v>42</v>
      </c>
      <c r="W2780" s="19"/>
      <c r="X2780" s="19"/>
      <c r="Y2780" s="19"/>
      <c r="Z2780" s="19"/>
      <c r="AA2780" s="19"/>
      <c r="AB2780" s="19"/>
      <c r="AC2780" s="19" t="n">
        <v>42</v>
      </c>
      <c r="AD2780" s="19"/>
      <c r="AE2780" s="19"/>
      <c r="AF2780" s="19"/>
      <c r="AG2780" s="19"/>
      <c r="AH2780" s="19"/>
      <c r="AI2780" s="19"/>
      <c r="AJ2780" s="19"/>
      <c r="AK2780" s="19"/>
      <c r="AL2780" s="19"/>
      <c r="AM2780" s="19" t="n">
        <v>6</v>
      </c>
      <c r="AN2780" s="19" t="n">
        <v>36</v>
      </c>
      <c r="AO2780" s="19"/>
      <c r="AP2780" s="19"/>
      <c r="AQ2780" s="19"/>
      <c r="AR2780" s="19"/>
      <c r="AS2780" s="20" t="str">
        <f aca="false">HYPERLINK("http://www.openstreetmap.org/?mlat=36.7377&amp;mlon=43.0402&amp;zoom=12#map=12/36.7377/43.0402","Maplink1")</f>
        <v>Maplink1</v>
      </c>
      <c r="AT2780" s="20" t="str">
        <f aca="false">HYPERLINK("https://www.google.iq/maps/search/+36.7377,43.0402/@36.7377,43.0402,14z?hl=en","Maplink2")</f>
        <v>Maplink2</v>
      </c>
      <c r="AU2780" s="20" t="str">
        <f aca="false">HYPERLINK("http://www.bing.com/maps/?lvl=14&amp;sty=h&amp;cp=36.7377~43.0402&amp;sp=point.36.7377_43.0402","Maplink3")</f>
        <v>Maplink3</v>
      </c>
    </row>
    <row r="2781" customFormat="false" ht="15" hidden="false" customHeight="true" outlineLevel="0" collapsed="false">
      <c r="A2781" s="15" t="n">
        <v>17569</v>
      </c>
      <c r="B2781" s="16" t="s">
        <v>27</v>
      </c>
      <c r="C2781" s="16" t="s">
        <v>5343</v>
      </c>
      <c r="D2781" s="16" t="s">
        <v>5356</v>
      </c>
      <c r="E2781" s="17" t="s">
        <v>5357</v>
      </c>
      <c r="F2781" s="16" t="n">
        <v>36.70008038</v>
      </c>
      <c r="G2781" s="16" t="n">
        <v>43.15315213</v>
      </c>
      <c r="H2781" s="18" t="n">
        <v>127</v>
      </c>
      <c r="I2781" s="18" t="n">
        <v>762</v>
      </c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 t="n">
        <v>127</v>
      </c>
      <c r="W2781" s="19"/>
      <c r="X2781" s="19"/>
      <c r="Y2781" s="19"/>
      <c r="Z2781" s="19"/>
      <c r="AA2781" s="19"/>
      <c r="AB2781" s="19"/>
      <c r="AC2781" s="19" t="n">
        <v>63</v>
      </c>
      <c r="AD2781" s="19"/>
      <c r="AE2781" s="19"/>
      <c r="AF2781" s="19"/>
      <c r="AG2781" s="19"/>
      <c r="AH2781" s="19"/>
      <c r="AI2781" s="19"/>
      <c r="AJ2781" s="19" t="n">
        <v>64</v>
      </c>
      <c r="AK2781" s="19"/>
      <c r="AL2781" s="19"/>
      <c r="AM2781" s="19"/>
      <c r="AN2781" s="19" t="n">
        <v>127</v>
      </c>
      <c r="AO2781" s="19"/>
      <c r="AP2781" s="19"/>
      <c r="AQ2781" s="19"/>
      <c r="AR2781" s="19"/>
      <c r="AS2781" s="20" t="str">
        <f aca="false">HYPERLINK("http://www.openstreetmap.org/?mlat=36.7001&amp;mlon=43.1532&amp;zoom=12#map=12/36.7001/43.1532","Maplink1")</f>
        <v>Maplink1</v>
      </c>
      <c r="AT2781" s="20" t="str">
        <f aca="false">HYPERLINK("https://www.google.iq/maps/search/+36.7001,43.1532/@36.7001,43.1532,14z?hl=en","Maplink2")</f>
        <v>Maplink2</v>
      </c>
      <c r="AU2781" s="20" t="str">
        <f aca="false">HYPERLINK("http://www.bing.com/maps/?lvl=14&amp;sty=h&amp;cp=36.7001~43.1532&amp;sp=point.36.7001_43.1532","Maplink3")</f>
        <v>Maplink3</v>
      </c>
    </row>
    <row r="2782" customFormat="false" ht="15" hidden="false" customHeight="true" outlineLevel="0" collapsed="false">
      <c r="A2782" s="15" t="n">
        <v>24684</v>
      </c>
      <c r="B2782" s="16" t="s">
        <v>27</v>
      </c>
      <c r="C2782" s="16" t="s">
        <v>5343</v>
      </c>
      <c r="D2782" s="16" t="s">
        <v>5358</v>
      </c>
      <c r="E2782" s="17" t="s">
        <v>5359</v>
      </c>
      <c r="F2782" s="16" t="n">
        <v>36.66124231</v>
      </c>
      <c r="G2782" s="16" t="n">
        <v>43.24212875</v>
      </c>
      <c r="H2782" s="18" t="n">
        <v>28</v>
      </c>
      <c r="I2782" s="18" t="n">
        <v>168</v>
      </c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 t="n">
        <v>28</v>
      </c>
      <c r="W2782" s="19"/>
      <c r="X2782" s="19"/>
      <c r="Y2782" s="19"/>
      <c r="Z2782" s="19"/>
      <c r="AA2782" s="19"/>
      <c r="AB2782" s="19"/>
      <c r="AC2782" s="19" t="n">
        <v>28</v>
      </c>
      <c r="AD2782" s="19"/>
      <c r="AE2782" s="19"/>
      <c r="AF2782" s="19"/>
      <c r="AG2782" s="19"/>
      <c r="AH2782" s="19"/>
      <c r="AI2782" s="19"/>
      <c r="AJ2782" s="19"/>
      <c r="AK2782" s="19"/>
      <c r="AL2782" s="19"/>
      <c r="AM2782" s="19" t="n">
        <v>9</v>
      </c>
      <c r="AN2782" s="19" t="n">
        <v>19</v>
      </c>
      <c r="AO2782" s="19"/>
      <c r="AP2782" s="19"/>
      <c r="AQ2782" s="19"/>
      <c r="AR2782" s="19"/>
      <c r="AS2782" s="20" t="str">
        <f aca="false">HYPERLINK("http://www.openstreetmap.org/?mlat=36.6612&amp;mlon=43.2421&amp;zoom=12#map=12/36.6612/43.2421","Maplink1")</f>
        <v>Maplink1</v>
      </c>
      <c r="AT2782" s="20" t="str">
        <f aca="false">HYPERLINK("https://www.google.iq/maps/search/+36.6612,43.2421/@36.6612,43.2421,14z?hl=en","Maplink2")</f>
        <v>Maplink2</v>
      </c>
      <c r="AU2782" s="20" t="str">
        <f aca="false">HYPERLINK("http://www.bing.com/maps/?lvl=14&amp;sty=h&amp;cp=36.6612~43.2421&amp;sp=point.36.6612_43.2421","Maplink3")</f>
        <v>Maplink3</v>
      </c>
    </row>
    <row r="2783" customFormat="false" ht="15" hidden="false" customHeight="true" outlineLevel="0" collapsed="false">
      <c r="A2783" s="15" t="n">
        <v>17570</v>
      </c>
      <c r="B2783" s="16" t="s">
        <v>27</v>
      </c>
      <c r="C2783" s="16" t="s">
        <v>5343</v>
      </c>
      <c r="D2783" s="16" t="s">
        <v>5360</v>
      </c>
      <c r="E2783" s="17" t="s">
        <v>5361</v>
      </c>
      <c r="F2783" s="16" t="n">
        <v>36.73798129</v>
      </c>
      <c r="G2783" s="16" t="n">
        <v>43.12605383</v>
      </c>
      <c r="H2783" s="18" t="n">
        <v>499</v>
      </c>
      <c r="I2783" s="18" t="n">
        <v>2994</v>
      </c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 t="n">
        <v>499</v>
      </c>
      <c r="W2783" s="19"/>
      <c r="X2783" s="19"/>
      <c r="Y2783" s="19"/>
      <c r="Z2783" s="19"/>
      <c r="AA2783" s="19"/>
      <c r="AB2783" s="19"/>
      <c r="AC2783" s="19" t="n">
        <v>290</v>
      </c>
      <c r="AD2783" s="19"/>
      <c r="AE2783" s="19"/>
      <c r="AF2783" s="19"/>
      <c r="AG2783" s="19" t="n">
        <v>9</v>
      </c>
      <c r="AH2783" s="19"/>
      <c r="AI2783" s="19" t="n">
        <v>6</v>
      </c>
      <c r="AJ2783" s="19" t="n">
        <v>194</v>
      </c>
      <c r="AK2783" s="19"/>
      <c r="AL2783" s="19"/>
      <c r="AM2783" s="19"/>
      <c r="AN2783" s="19" t="n">
        <v>499</v>
      </c>
      <c r="AO2783" s="19"/>
      <c r="AP2783" s="19"/>
      <c r="AQ2783" s="19"/>
      <c r="AR2783" s="19"/>
      <c r="AS2783" s="20" t="str">
        <f aca="false">HYPERLINK("http://www.openstreetmap.org/?mlat=36.738&amp;mlon=43.1261&amp;zoom=12#map=12/36.738/43.1261","Maplink1")</f>
        <v>Maplink1</v>
      </c>
      <c r="AT2783" s="20" t="str">
        <f aca="false">HYPERLINK("https://www.google.iq/maps/search/+36.738,43.1261/@36.738,43.1261,14z?hl=en","Maplink2")</f>
        <v>Maplink2</v>
      </c>
      <c r="AU2783" s="20" t="str">
        <f aca="false">HYPERLINK("http://www.bing.com/maps/?lvl=14&amp;sty=h&amp;cp=36.738~43.1261&amp;sp=point.36.738_43.1261","Maplink3")</f>
        <v>Maplink3</v>
      </c>
    </row>
    <row r="2784" customFormat="false" ht="15" hidden="false" customHeight="true" outlineLevel="0" collapsed="false">
      <c r="A2784" s="15" t="n">
        <v>17080</v>
      </c>
      <c r="B2784" s="16" t="s">
        <v>27</v>
      </c>
      <c r="C2784" s="16" t="s">
        <v>5343</v>
      </c>
      <c r="D2784" s="16" t="s">
        <v>5362</v>
      </c>
      <c r="E2784" s="17" t="s">
        <v>5363</v>
      </c>
      <c r="F2784" s="16" t="n">
        <v>36.73904095</v>
      </c>
      <c r="G2784" s="16" t="n">
        <v>43.00472978</v>
      </c>
      <c r="H2784" s="18" t="n">
        <v>16</v>
      </c>
      <c r="I2784" s="18" t="n">
        <v>96</v>
      </c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 t="n">
        <v>16</v>
      </c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9"/>
      <c r="AH2784" s="19"/>
      <c r="AI2784" s="19"/>
      <c r="AJ2784" s="19" t="n">
        <v>16</v>
      </c>
      <c r="AK2784" s="19"/>
      <c r="AL2784" s="19"/>
      <c r="AM2784" s="19"/>
      <c r="AN2784" s="19" t="n">
        <v>16</v>
      </c>
      <c r="AO2784" s="19"/>
      <c r="AP2784" s="19"/>
      <c r="AQ2784" s="19"/>
      <c r="AR2784" s="19"/>
      <c r="AS2784" s="20" t="str">
        <f aca="false">HYPERLINK("http://www.openstreetmap.org/?mlat=36.739&amp;mlon=43.0047&amp;zoom=12#map=12/36.739/43.0047","Maplink1")</f>
        <v>Maplink1</v>
      </c>
      <c r="AT2784" s="20" t="str">
        <f aca="false">HYPERLINK("https://www.google.iq/maps/search/+36.739,43.0047/@36.739,43.0047,14z?hl=en","Maplink2")</f>
        <v>Maplink2</v>
      </c>
      <c r="AU2784" s="20" t="str">
        <f aca="false">HYPERLINK("http://www.bing.com/maps/?lvl=14&amp;sty=h&amp;cp=36.739~43.0047&amp;sp=point.36.739_43.0047","Maplink3")</f>
        <v>Maplink3</v>
      </c>
    </row>
    <row r="2785" customFormat="false" ht="15" hidden="false" customHeight="true" outlineLevel="0" collapsed="false">
      <c r="A2785" s="15" t="n">
        <v>25500</v>
      </c>
      <c r="B2785" s="16" t="s">
        <v>27</v>
      </c>
      <c r="C2785" s="16" t="s">
        <v>5343</v>
      </c>
      <c r="D2785" s="16" t="s">
        <v>5364</v>
      </c>
      <c r="E2785" s="17" t="s">
        <v>5365</v>
      </c>
      <c r="F2785" s="16" t="n">
        <v>36.74625342</v>
      </c>
      <c r="G2785" s="16" t="n">
        <v>42.96313178</v>
      </c>
      <c r="H2785" s="18" t="n">
        <v>1</v>
      </c>
      <c r="I2785" s="18" t="n">
        <v>6</v>
      </c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 t="n">
        <v>1</v>
      </c>
      <c r="W2785" s="19"/>
      <c r="X2785" s="19"/>
      <c r="Y2785" s="19"/>
      <c r="Z2785" s="19"/>
      <c r="AA2785" s="19"/>
      <c r="AB2785" s="19"/>
      <c r="AC2785" s="19" t="n">
        <v>1</v>
      </c>
      <c r="AD2785" s="19"/>
      <c r="AE2785" s="19"/>
      <c r="AF2785" s="19"/>
      <c r="AG2785" s="19"/>
      <c r="AH2785" s="19"/>
      <c r="AI2785" s="19"/>
      <c r="AJ2785" s="19"/>
      <c r="AK2785" s="19"/>
      <c r="AL2785" s="19"/>
      <c r="AM2785" s="19"/>
      <c r="AN2785" s="19" t="n">
        <v>1</v>
      </c>
      <c r="AO2785" s="19"/>
      <c r="AP2785" s="19"/>
      <c r="AQ2785" s="19"/>
      <c r="AR2785" s="19"/>
      <c r="AS2785" s="20" t="str">
        <f aca="false">HYPERLINK("http://www.openstreetmap.org/?mlat=36.7463&amp;mlon=42.9631&amp;zoom=12#map=12/36.7463/42.9631","Maplink1")</f>
        <v>Maplink1</v>
      </c>
      <c r="AT2785" s="20" t="str">
        <f aca="false">HYPERLINK("https://www.google.iq/maps/search/+36.7463,42.9631/@36.7463,42.9631,14z?hl=en","Maplink2")</f>
        <v>Maplink2</v>
      </c>
      <c r="AU2785" s="20" t="str">
        <f aca="false">HYPERLINK("http://www.bing.com/maps/?lvl=14&amp;sty=h&amp;cp=36.7463~42.9631&amp;sp=point.36.7463_42.9631","Maplink3")</f>
        <v>Maplink3</v>
      </c>
    </row>
    <row r="2786" customFormat="false" ht="15" hidden="false" customHeight="true" outlineLevel="0" collapsed="false">
      <c r="A2786" s="15" t="n">
        <v>24683</v>
      </c>
      <c r="B2786" s="16" t="s">
        <v>27</v>
      </c>
      <c r="C2786" s="16" t="s">
        <v>5343</v>
      </c>
      <c r="D2786" s="16" t="s">
        <v>5366</v>
      </c>
      <c r="E2786" s="17" t="s">
        <v>5367</v>
      </c>
      <c r="F2786" s="16" t="n">
        <v>36.65682982</v>
      </c>
      <c r="G2786" s="16" t="n">
        <v>43.21761686</v>
      </c>
      <c r="H2786" s="18" t="n">
        <v>16</v>
      </c>
      <c r="I2786" s="18" t="n">
        <v>96</v>
      </c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 t="n">
        <v>16</v>
      </c>
      <c r="W2786" s="19"/>
      <c r="X2786" s="19"/>
      <c r="Y2786" s="19"/>
      <c r="Z2786" s="19"/>
      <c r="AA2786" s="19"/>
      <c r="AB2786" s="19"/>
      <c r="AC2786" s="19" t="n">
        <v>16</v>
      </c>
      <c r="AD2786" s="19"/>
      <c r="AE2786" s="19"/>
      <c r="AF2786" s="19"/>
      <c r="AG2786" s="19"/>
      <c r="AH2786" s="19"/>
      <c r="AI2786" s="19"/>
      <c r="AJ2786" s="19"/>
      <c r="AK2786" s="19"/>
      <c r="AL2786" s="19"/>
      <c r="AM2786" s="19"/>
      <c r="AN2786" s="19" t="n">
        <v>16</v>
      </c>
      <c r="AO2786" s="19"/>
      <c r="AP2786" s="19"/>
      <c r="AQ2786" s="19"/>
      <c r="AR2786" s="19"/>
      <c r="AS2786" s="20" t="str">
        <f aca="false">HYPERLINK("http://www.openstreetmap.org/?mlat=36.6568&amp;mlon=43.2176&amp;zoom=12#map=12/36.6568/43.2176","Maplink1")</f>
        <v>Maplink1</v>
      </c>
      <c r="AT2786" s="20" t="str">
        <f aca="false">HYPERLINK("https://www.google.iq/maps/search/+36.6568,43.2176/@36.6568,43.2176,14z?hl=en","Maplink2")</f>
        <v>Maplink2</v>
      </c>
      <c r="AU2786" s="20" t="str">
        <f aca="false">HYPERLINK("http://www.bing.com/maps/?lvl=14&amp;sty=h&amp;cp=36.6568~43.2176&amp;sp=point.36.6568_43.2176","Maplink3")</f>
        <v>Maplink3</v>
      </c>
    </row>
    <row r="2787" customFormat="false" ht="15" hidden="false" customHeight="true" outlineLevel="0" collapsed="false">
      <c r="A2787" s="15" t="n">
        <v>17949</v>
      </c>
      <c r="B2787" s="16" t="s">
        <v>27</v>
      </c>
      <c r="C2787" s="16" t="s">
        <v>5343</v>
      </c>
      <c r="D2787" s="16" t="s">
        <v>5368</v>
      </c>
      <c r="E2787" s="17" t="s">
        <v>5369</v>
      </c>
      <c r="F2787" s="16" t="n">
        <v>36.67897676</v>
      </c>
      <c r="G2787" s="16" t="n">
        <v>43.0128095</v>
      </c>
      <c r="H2787" s="18" t="n">
        <v>70</v>
      </c>
      <c r="I2787" s="18" t="n">
        <v>420</v>
      </c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 t="n">
        <v>70</v>
      </c>
      <c r="W2787" s="19"/>
      <c r="X2787" s="19"/>
      <c r="Y2787" s="19"/>
      <c r="Z2787" s="19"/>
      <c r="AA2787" s="19"/>
      <c r="AB2787" s="19"/>
      <c r="AC2787" s="19" t="n">
        <v>30</v>
      </c>
      <c r="AD2787" s="19"/>
      <c r="AE2787" s="19"/>
      <c r="AF2787" s="19"/>
      <c r="AG2787" s="19"/>
      <c r="AH2787" s="19"/>
      <c r="AI2787" s="19" t="n">
        <v>15</v>
      </c>
      <c r="AJ2787" s="19" t="n">
        <v>25</v>
      </c>
      <c r="AK2787" s="19"/>
      <c r="AL2787" s="19"/>
      <c r="AM2787" s="19"/>
      <c r="AN2787" s="19" t="n">
        <v>70</v>
      </c>
      <c r="AO2787" s="19"/>
      <c r="AP2787" s="19"/>
      <c r="AQ2787" s="19"/>
      <c r="AR2787" s="19"/>
      <c r="AS2787" s="20" t="str">
        <f aca="false">HYPERLINK("http://www.openstreetmap.org/?mlat=36.679&amp;mlon=43.0128&amp;zoom=12#map=12/36.679/43.0128","Maplink1")</f>
        <v>Maplink1</v>
      </c>
      <c r="AT2787" s="20" t="str">
        <f aca="false">HYPERLINK("https://www.google.iq/maps/search/+36.679,43.0128/@36.679,43.0128,14z?hl=en","Maplink2")</f>
        <v>Maplink2</v>
      </c>
      <c r="AU2787" s="20" t="str">
        <f aca="false">HYPERLINK("http://www.bing.com/maps/?lvl=14&amp;sty=h&amp;cp=36.679~43.0128&amp;sp=point.36.679_43.0128","Maplink3")</f>
        <v>Maplink3</v>
      </c>
    </row>
    <row r="2788" customFormat="false" ht="15" hidden="false" customHeight="true" outlineLevel="0" collapsed="false">
      <c r="A2788" s="15" t="n">
        <v>21604</v>
      </c>
      <c r="B2788" s="16" t="s">
        <v>27</v>
      </c>
      <c r="C2788" s="16" t="s">
        <v>5343</v>
      </c>
      <c r="D2788" s="16" t="s">
        <v>5370</v>
      </c>
      <c r="E2788" s="17" t="s">
        <v>5371</v>
      </c>
      <c r="F2788" s="16" t="n">
        <v>36.64617138</v>
      </c>
      <c r="G2788" s="16" t="n">
        <v>43.11607718</v>
      </c>
      <c r="H2788" s="18" t="n">
        <v>8</v>
      </c>
      <c r="I2788" s="18" t="n">
        <v>48</v>
      </c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 t="n">
        <v>8</v>
      </c>
      <c r="W2788" s="19"/>
      <c r="X2788" s="19"/>
      <c r="Y2788" s="19"/>
      <c r="Z2788" s="19"/>
      <c r="AA2788" s="19"/>
      <c r="AB2788" s="19"/>
      <c r="AC2788" s="19" t="n">
        <v>8</v>
      </c>
      <c r="AD2788" s="19"/>
      <c r="AE2788" s="19"/>
      <c r="AF2788" s="19"/>
      <c r="AG2788" s="19"/>
      <c r="AH2788" s="19"/>
      <c r="AI2788" s="19"/>
      <c r="AJ2788" s="19"/>
      <c r="AK2788" s="19"/>
      <c r="AL2788" s="19"/>
      <c r="AM2788" s="19"/>
      <c r="AN2788" s="19" t="n">
        <v>8</v>
      </c>
      <c r="AO2788" s="19"/>
      <c r="AP2788" s="19"/>
      <c r="AQ2788" s="19"/>
      <c r="AR2788" s="19"/>
      <c r="AS2788" s="20" t="str">
        <f aca="false">HYPERLINK("http://www.openstreetmap.org/?mlat=36.6462&amp;mlon=43.1161&amp;zoom=12#map=12/36.6462/43.1161","Maplink1")</f>
        <v>Maplink1</v>
      </c>
      <c r="AT2788" s="20" t="str">
        <f aca="false">HYPERLINK("https://www.google.iq/maps/search/+36.6462,43.1161/@36.6462,43.1161,14z?hl=en","Maplink2")</f>
        <v>Maplink2</v>
      </c>
      <c r="AU2788" s="20" t="str">
        <f aca="false">HYPERLINK("http://www.bing.com/maps/?lvl=14&amp;sty=h&amp;cp=36.6462~43.1161&amp;sp=point.36.6462_43.1161","Maplink3")</f>
        <v>Maplink3</v>
      </c>
    </row>
    <row r="2789" customFormat="false" ht="15" hidden="false" customHeight="true" outlineLevel="0" collapsed="false">
      <c r="A2789" s="15" t="n">
        <v>24797</v>
      </c>
      <c r="B2789" s="16" t="s">
        <v>27</v>
      </c>
      <c r="C2789" s="16" t="s">
        <v>5343</v>
      </c>
      <c r="D2789" s="16" t="s">
        <v>5372</v>
      </c>
      <c r="E2789" s="17" t="s">
        <v>5373</v>
      </c>
      <c r="F2789" s="16" t="n">
        <v>36.645556</v>
      </c>
      <c r="G2789" s="16" t="n">
        <v>43.236944</v>
      </c>
      <c r="H2789" s="18" t="n">
        <v>1215</v>
      </c>
      <c r="I2789" s="18" t="n">
        <v>7290</v>
      </c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 t="n">
        <v>1215</v>
      </c>
      <c r="W2789" s="19"/>
      <c r="X2789" s="19"/>
      <c r="Y2789" s="19"/>
      <c r="Z2789" s="19"/>
      <c r="AA2789" s="19"/>
      <c r="AB2789" s="19" t="n">
        <v>1215</v>
      </c>
      <c r="AC2789" s="19"/>
      <c r="AD2789" s="19"/>
      <c r="AE2789" s="19"/>
      <c r="AF2789" s="19"/>
      <c r="AG2789" s="19"/>
      <c r="AH2789" s="19"/>
      <c r="AI2789" s="19"/>
      <c r="AJ2789" s="19"/>
      <c r="AK2789" s="19"/>
      <c r="AL2789" s="19"/>
      <c r="AM2789" s="19"/>
      <c r="AN2789" s="19" t="n">
        <v>86</v>
      </c>
      <c r="AO2789" s="19"/>
      <c r="AP2789" s="19" t="n">
        <v>866</v>
      </c>
      <c r="AQ2789" s="19" t="n">
        <v>263</v>
      </c>
      <c r="AR2789" s="19"/>
      <c r="AS2789" s="20" t="str">
        <f aca="false">HYPERLINK("http://www.openstreetmap.org/?mlat=36.6456&amp;mlon=43.2369&amp;zoom=12#map=12/36.6456/43.2369","Maplink1")</f>
        <v>Maplink1</v>
      </c>
      <c r="AT2789" s="20" t="str">
        <f aca="false">HYPERLINK("https://www.google.iq/maps/search/+36.6456,43.2369/@36.6456,43.2369,14z?hl=en","Maplink2")</f>
        <v>Maplink2</v>
      </c>
      <c r="AU2789" s="20" t="str">
        <f aca="false">HYPERLINK("http://www.bing.com/maps/?lvl=14&amp;sty=h&amp;cp=36.6456~43.2369&amp;sp=point.36.6456_43.2369","Maplink3")</f>
        <v>Maplink3</v>
      </c>
    </row>
    <row r="2790" customFormat="false" ht="15" hidden="false" customHeight="true" outlineLevel="0" collapsed="false">
      <c r="A2790" s="15" t="n">
        <v>18055</v>
      </c>
      <c r="B2790" s="16" t="s">
        <v>27</v>
      </c>
      <c r="C2790" s="16" t="s">
        <v>5343</v>
      </c>
      <c r="D2790" s="16" t="s">
        <v>5374</v>
      </c>
      <c r="E2790" s="17" t="s">
        <v>5375</v>
      </c>
      <c r="F2790" s="16" t="n">
        <v>36.65998488</v>
      </c>
      <c r="G2790" s="16" t="n">
        <v>43.04834986</v>
      </c>
      <c r="H2790" s="18" t="n">
        <v>126</v>
      </c>
      <c r="I2790" s="18" t="n">
        <v>756</v>
      </c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 t="n">
        <v>126</v>
      </c>
      <c r="W2790" s="19"/>
      <c r="X2790" s="19"/>
      <c r="Y2790" s="19"/>
      <c r="Z2790" s="19"/>
      <c r="AA2790" s="19"/>
      <c r="AB2790" s="19"/>
      <c r="AC2790" s="19" t="n">
        <v>44</v>
      </c>
      <c r="AD2790" s="19"/>
      <c r="AE2790" s="19"/>
      <c r="AF2790" s="19"/>
      <c r="AG2790" s="19"/>
      <c r="AH2790" s="19"/>
      <c r="AI2790" s="19"/>
      <c r="AJ2790" s="19" t="n">
        <v>82</v>
      </c>
      <c r="AK2790" s="19"/>
      <c r="AL2790" s="19"/>
      <c r="AM2790" s="19"/>
      <c r="AN2790" s="19" t="n">
        <v>126</v>
      </c>
      <c r="AO2790" s="19"/>
      <c r="AP2790" s="19"/>
      <c r="AQ2790" s="19"/>
      <c r="AR2790" s="19"/>
      <c r="AS2790" s="20" t="str">
        <f aca="false">HYPERLINK("http://www.openstreetmap.org/?mlat=36.66&amp;mlon=43.0483&amp;zoom=12#map=12/36.66/43.0483","Maplink1")</f>
        <v>Maplink1</v>
      </c>
      <c r="AT2790" s="20" t="str">
        <f aca="false">HYPERLINK("https://www.google.iq/maps/search/+36.66,43.0483/@36.66,43.0483,14z?hl=en","Maplink2")</f>
        <v>Maplink2</v>
      </c>
      <c r="AU2790" s="20" t="str">
        <f aca="false">HYPERLINK("http://www.bing.com/maps/?lvl=14&amp;sty=h&amp;cp=36.66~43.0483&amp;sp=point.36.66_43.0483","Maplink3")</f>
        <v>Maplink3</v>
      </c>
    </row>
    <row r="2791" customFormat="false" ht="15" hidden="false" customHeight="true" outlineLevel="0" collapsed="false">
      <c r="A2791" s="15" t="n">
        <v>23606</v>
      </c>
      <c r="B2791" s="16" t="s">
        <v>27</v>
      </c>
      <c r="C2791" s="16" t="s">
        <v>5343</v>
      </c>
      <c r="D2791" s="16" t="s">
        <v>5376</v>
      </c>
      <c r="E2791" s="17" t="s">
        <v>5377</v>
      </c>
      <c r="F2791" s="16" t="n">
        <v>36.460661</v>
      </c>
      <c r="G2791" s="16" t="n">
        <v>42.985285</v>
      </c>
      <c r="H2791" s="18" t="n">
        <v>95</v>
      </c>
      <c r="I2791" s="18" t="n">
        <v>570</v>
      </c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 t="n">
        <v>95</v>
      </c>
      <c r="W2791" s="19"/>
      <c r="X2791" s="19"/>
      <c r="Y2791" s="19"/>
      <c r="Z2791" s="19"/>
      <c r="AA2791" s="19"/>
      <c r="AB2791" s="19"/>
      <c r="AC2791" s="19"/>
      <c r="AD2791" s="19"/>
      <c r="AE2791" s="19"/>
      <c r="AF2791" s="19"/>
      <c r="AG2791" s="19"/>
      <c r="AH2791" s="19"/>
      <c r="AI2791" s="19"/>
      <c r="AJ2791" s="19" t="n">
        <v>95</v>
      </c>
      <c r="AK2791" s="19"/>
      <c r="AL2791" s="19"/>
      <c r="AM2791" s="19"/>
      <c r="AN2791" s="19"/>
      <c r="AO2791" s="19" t="n">
        <v>95</v>
      </c>
      <c r="AP2791" s="19"/>
      <c r="AQ2791" s="19"/>
      <c r="AR2791" s="19"/>
      <c r="AS2791" s="20" t="str">
        <f aca="false">HYPERLINK("http://www.openstreetmap.org/?mlat=36.4607&amp;mlon=42.9853&amp;zoom=12#map=12/36.4607/42.9853","Maplink1")</f>
        <v>Maplink1</v>
      </c>
      <c r="AT2791" s="20" t="str">
        <f aca="false">HYPERLINK("https://www.google.iq/maps/search/+36.4607,42.9853/@36.4607,42.9853,14z?hl=en","Maplink2")</f>
        <v>Maplink2</v>
      </c>
      <c r="AU2791" s="20" t="str">
        <f aca="false">HYPERLINK("http://www.bing.com/maps/?lvl=14&amp;sty=h&amp;cp=36.4607~42.9853&amp;sp=point.36.4607_42.9853","Maplink3")</f>
        <v>Maplink3</v>
      </c>
    </row>
    <row r="2792" customFormat="false" ht="15" hidden="false" customHeight="true" outlineLevel="0" collapsed="false">
      <c r="A2792" s="15" t="n">
        <v>24703</v>
      </c>
      <c r="B2792" s="16" t="s">
        <v>27</v>
      </c>
      <c r="C2792" s="16" t="s">
        <v>5343</v>
      </c>
      <c r="D2792" s="16" t="s">
        <v>5378</v>
      </c>
      <c r="E2792" s="17" t="s">
        <v>5379</v>
      </c>
      <c r="F2792" s="16" t="n">
        <v>36.7163444</v>
      </c>
      <c r="G2792" s="16" t="n">
        <v>42.95584294</v>
      </c>
      <c r="H2792" s="18" t="n">
        <v>135</v>
      </c>
      <c r="I2792" s="18" t="n">
        <v>810</v>
      </c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 t="n">
        <v>135</v>
      </c>
      <c r="W2792" s="19"/>
      <c r="X2792" s="19"/>
      <c r="Y2792" s="19"/>
      <c r="Z2792" s="19"/>
      <c r="AA2792" s="19"/>
      <c r="AB2792" s="19"/>
      <c r="AC2792" s="19" t="n">
        <v>120</v>
      </c>
      <c r="AD2792" s="19"/>
      <c r="AE2792" s="19"/>
      <c r="AF2792" s="19"/>
      <c r="AG2792" s="19"/>
      <c r="AH2792" s="19" t="n">
        <v>10</v>
      </c>
      <c r="AI2792" s="19"/>
      <c r="AJ2792" s="19" t="n">
        <v>5</v>
      </c>
      <c r="AK2792" s="19"/>
      <c r="AL2792" s="19"/>
      <c r="AM2792" s="19" t="n">
        <v>5</v>
      </c>
      <c r="AN2792" s="19" t="n">
        <v>130</v>
      </c>
      <c r="AO2792" s="19"/>
      <c r="AP2792" s="19"/>
      <c r="AQ2792" s="19"/>
      <c r="AR2792" s="19"/>
      <c r="AS2792" s="20" t="str">
        <f aca="false">HYPERLINK("http://www.openstreetmap.org/?mlat=36.7163&amp;mlon=42.9558&amp;zoom=12#map=12/36.7163/42.9558","Maplink1")</f>
        <v>Maplink1</v>
      </c>
      <c r="AT2792" s="20" t="str">
        <f aca="false">HYPERLINK("https://www.google.iq/maps/search/+36.7163,42.9558/@36.7163,42.9558,14z?hl=en","Maplink2")</f>
        <v>Maplink2</v>
      </c>
      <c r="AU2792" s="20" t="str">
        <f aca="false">HYPERLINK("http://www.bing.com/maps/?lvl=14&amp;sty=h&amp;cp=36.7163~42.9558&amp;sp=point.36.7163_42.9558","Maplink3")</f>
        <v>Maplink3</v>
      </c>
    </row>
    <row r="2793" customFormat="false" ht="15" hidden="false" customHeight="true" outlineLevel="0" collapsed="false">
      <c r="A2793" s="15" t="n">
        <v>17830</v>
      </c>
      <c r="B2793" s="16" t="s">
        <v>27</v>
      </c>
      <c r="C2793" s="16" t="s">
        <v>5343</v>
      </c>
      <c r="D2793" s="16" t="s">
        <v>5380</v>
      </c>
      <c r="E2793" s="17" t="s">
        <v>5381</v>
      </c>
      <c r="F2793" s="16" t="n">
        <v>36.70039669</v>
      </c>
      <c r="G2793" s="16" t="n">
        <v>43.21174327</v>
      </c>
      <c r="H2793" s="18" t="n">
        <v>44</v>
      </c>
      <c r="I2793" s="18" t="n">
        <v>264</v>
      </c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 t="n">
        <v>44</v>
      </c>
      <c r="W2793" s="19"/>
      <c r="X2793" s="19"/>
      <c r="Y2793" s="19"/>
      <c r="Z2793" s="19"/>
      <c r="AA2793" s="19"/>
      <c r="AB2793" s="19"/>
      <c r="AC2793" s="19" t="n">
        <v>36</v>
      </c>
      <c r="AD2793" s="19"/>
      <c r="AE2793" s="19"/>
      <c r="AF2793" s="19"/>
      <c r="AG2793" s="19"/>
      <c r="AH2793" s="19"/>
      <c r="AI2793" s="19"/>
      <c r="AJ2793" s="19" t="n">
        <v>8</v>
      </c>
      <c r="AK2793" s="19"/>
      <c r="AL2793" s="19"/>
      <c r="AM2793" s="19"/>
      <c r="AN2793" s="19" t="n">
        <v>44</v>
      </c>
      <c r="AO2793" s="19"/>
      <c r="AP2793" s="19"/>
      <c r="AQ2793" s="19"/>
      <c r="AR2793" s="19"/>
      <c r="AS2793" s="20" t="str">
        <f aca="false">HYPERLINK("http://www.openstreetmap.org/?mlat=36.7004&amp;mlon=43.2117&amp;zoom=12#map=12/36.7004/43.2117","Maplink1")</f>
        <v>Maplink1</v>
      </c>
      <c r="AT2793" s="20" t="str">
        <f aca="false">HYPERLINK("https://www.google.iq/maps/search/+36.7004,43.2117/@36.7004,43.2117,14z?hl=en","Maplink2")</f>
        <v>Maplink2</v>
      </c>
      <c r="AU2793" s="20" t="str">
        <f aca="false">HYPERLINK("http://www.bing.com/maps/?lvl=14&amp;sty=h&amp;cp=36.7004~43.2117&amp;sp=point.36.7004_43.2117","Maplink3")</f>
        <v>Maplink3</v>
      </c>
    </row>
    <row r="2794" customFormat="false" ht="15" hidden="false" customHeight="true" outlineLevel="0" collapsed="false">
      <c r="A2794" s="15" t="n">
        <v>26019</v>
      </c>
      <c r="B2794" s="16" t="s">
        <v>27</v>
      </c>
      <c r="C2794" s="16" t="s">
        <v>5343</v>
      </c>
      <c r="D2794" s="16" t="s">
        <v>5382</v>
      </c>
      <c r="E2794" s="17" t="s">
        <v>5383</v>
      </c>
      <c r="F2794" s="16" t="n">
        <v>36.6327268</v>
      </c>
      <c r="G2794" s="16" t="n">
        <v>43.25358117</v>
      </c>
      <c r="H2794" s="18" t="n">
        <v>37</v>
      </c>
      <c r="I2794" s="18" t="n">
        <v>222</v>
      </c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 t="n">
        <v>37</v>
      </c>
      <c r="W2794" s="19"/>
      <c r="X2794" s="19"/>
      <c r="Y2794" s="19"/>
      <c r="Z2794" s="19"/>
      <c r="AA2794" s="19"/>
      <c r="AB2794" s="19"/>
      <c r="AC2794" s="19" t="n">
        <v>17</v>
      </c>
      <c r="AD2794" s="19"/>
      <c r="AE2794" s="19"/>
      <c r="AF2794" s="19"/>
      <c r="AG2794" s="19"/>
      <c r="AH2794" s="19"/>
      <c r="AI2794" s="19"/>
      <c r="AJ2794" s="19" t="n">
        <v>20</v>
      </c>
      <c r="AK2794" s="19"/>
      <c r="AL2794" s="19"/>
      <c r="AM2794" s="19"/>
      <c r="AN2794" s="19" t="n">
        <v>33</v>
      </c>
      <c r="AO2794" s="19"/>
      <c r="AP2794" s="19" t="n">
        <v>4</v>
      </c>
      <c r="AQ2794" s="19"/>
      <c r="AR2794" s="19"/>
      <c r="AS2794" s="20" t="str">
        <f aca="false">HYPERLINK("http://www.openstreetmap.org/?mlat=36.6327&amp;mlon=43.2536&amp;zoom=12#map=12/36.6327/43.2536","Maplink1")</f>
        <v>Maplink1</v>
      </c>
      <c r="AT2794" s="20" t="str">
        <f aca="false">HYPERLINK("https://www.google.iq/maps/search/+36.6327,43.2536/@36.6327,43.2536,14z?hl=en","Maplink2")</f>
        <v>Maplink2</v>
      </c>
      <c r="AU2794" s="20" t="str">
        <f aca="false">HYPERLINK("http://www.bing.com/maps/?lvl=14&amp;sty=h&amp;cp=36.6327~43.2536&amp;sp=point.36.6327_43.2536","Maplink3")</f>
        <v>Maplink3</v>
      </c>
    </row>
    <row r="2795" customFormat="false" ht="15" hidden="false" customHeight="true" outlineLevel="0" collapsed="false">
      <c r="A2795" s="15" t="n">
        <v>25278</v>
      </c>
      <c r="B2795" s="16" t="s">
        <v>27</v>
      </c>
      <c r="C2795" s="16" t="s">
        <v>5343</v>
      </c>
      <c r="D2795" s="16" t="s">
        <v>5384</v>
      </c>
      <c r="E2795" s="17" t="s">
        <v>5385</v>
      </c>
      <c r="F2795" s="16" t="n">
        <v>36.698232</v>
      </c>
      <c r="G2795" s="16" t="n">
        <v>43.22285975</v>
      </c>
      <c r="H2795" s="18" t="n">
        <v>15</v>
      </c>
      <c r="I2795" s="18" t="n">
        <v>90</v>
      </c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 t="n">
        <v>15</v>
      </c>
      <c r="W2795" s="19"/>
      <c r="X2795" s="19"/>
      <c r="Y2795" s="19"/>
      <c r="Z2795" s="19"/>
      <c r="AA2795" s="19"/>
      <c r="AB2795" s="19"/>
      <c r="AC2795" s="19" t="n">
        <v>12</v>
      </c>
      <c r="AD2795" s="19"/>
      <c r="AE2795" s="19"/>
      <c r="AF2795" s="19"/>
      <c r="AG2795" s="19"/>
      <c r="AH2795" s="19"/>
      <c r="AI2795" s="19"/>
      <c r="AJ2795" s="19" t="n">
        <v>3</v>
      </c>
      <c r="AK2795" s="19"/>
      <c r="AL2795" s="19"/>
      <c r="AM2795" s="19"/>
      <c r="AN2795" s="19" t="n">
        <v>15</v>
      </c>
      <c r="AO2795" s="19"/>
      <c r="AP2795" s="19"/>
      <c r="AQ2795" s="19"/>
      <c r="AR2795" s="19"/>
      <c r="AS2795" s="20" t="str">
        <f aca="false">HYPERLINK("http://www.openstreetmap.org/?mlat=36.6982&amp;mlon=43.2229&amp;zoom=12#map=12/36.6982/43.2229","Maplink1")</f>
        <v>Maplink1</v>
      </c>
      <c r="AT2795" s="20" t="str">
        <f aca="false">HYPERLINK("https://www.google.iq/maps/search/+36.6982,43.2229/@36.6982,43.2229,14z?hl=en","Maplink2")</f>
        <v>Maplink2</v>
      </c>
      <c r="AU2795" s="20" t="str">
        <f aca="false">HYPERLINK("http://www.bing.com/maps/?lvl=14&amp;sty=h&amp;cp=36.6982~43.2229&amp;sp=point.36.6982_43.2229","Maplink3")</f>
        <v>Maplink3</v>
      </c>
    </row>
    <row r="2796" customFormat="false" ht="15" hidden="false" customHeight="true" outlineLevel="0" collapsed="false">
      <c r="A2796" s="15" t="n">
        <v>24637</v>
      </c>
      <c r="B2796" s="16" t="s">
        <v>27</v>
      </c>
      <c r="C2796" s="16" t="s">
        <v>5343</v>
      </c>
      <c r="D2796" s="16" t="s">
        <v>5386</v>
      </c>
      <c r="E2796" s="17" t="s">
        <v>5387</v>
      </c>
      <c r="F2796" s="16" t="n">
        <v>36.59633645</v>
      </c>
      <c r="G2796" s="16" t="n">
        <v>43.21224204</v>
      </c>
      <c r="H2796" s="18" t="n">
        <v>201</v>
      </c>
      <c r="I2796" s="18" t="n">
        <v>1206</v>
      </c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 t="n">
        <v>201</v>
      </c>
      <c r="W2796" s="19"/>
      <c r="X2796" s="19"/>
      <c r="Y2796" s="19"/>
      <c r="Z2796" s="19"/>
      <c r="AA2796" s="19"/>
      <c r="AB2796" s="19"/>
      <c r="AC2796" s="19" t="n">
        <v>148</v>
      </c>
      <c r="AD2796" s="19"/>
      <c r="AE2796" s="19"/>
      <c r="AF2796" s="19"/>
      <c r="AG2796" s="19"/>
      <c r="AH2796" s="19"/>
      <c r="AI2796" s="19"/>
      <c r="AJ2796" s="19" t="n">
        <v>53</v>
      </c>
      <c r="AK2796" s="19"/>
      <c r="AL2796" s="19"/>
      <c r="AM2796" s="19"/>
      <c r="AN2796" s="19" t="n">
        <v>60</v>
      </c>
      <c r="AO2796" s="19" t="n">
        <v>80</v>
      </c>
      <c r="AP2796" s="19" t="n">
        <v>61</v>
      </c>
      <c r="AQ2796" s="19"/>
      <c r="AR2796" s="19"/>
      <c r="AS2796" s="20" t="str">
        <f aca="false">HYPERLINK("http://www.openstreetmap.org/?mlat=36.5963&amp;mlon=43.2122&amp;zoom=12#map=12/36.5963/43.2122","Maplink1")</f>
        <v>Maplink1</v>
      </c>
      <c r="AT2796" s="20" t="str">
        <f aca="false">HYPERLINK("https://www.google.iq/maps/search/+36.5963,43.2122/@36.5963,43.2122,14z?hl=en","Maplink2")</f>
        <v>Maplink2</v>
      </c>
      <c r="AU2796" s="20" t="str">
        <f aca="false">HYPERLINK("http://www.bing.com/maps/?lvl=14&amp;sty=h&amp;cp=36.5963~43.2122&amp;sp=point.36.5963_43.2122","Maplink3")</f>
        <v>Maplink3</v>
      </c>
    </row>
    <row r="2797" customFormat="false" ht="15" hidden="false" customHeight="true" outlineLevel="0" collapsed="false">
      <c r="A2797" s="15" t="n">
        <v>17602</v>
      </c>
      <c r="B2797" s="16" t="s">
        <v>27</v>
      </c>
      <c r="C2797" s="16" t="s">
        <v>5343</v>
      </c>
      <c r="D2797" s="16" t="s">
        <v>5388</v>
      </c>
      <c r="E2797" s="17" t="s">
        <v>5389</v>
      </c>
      <c r="F2797" s="16" t="n">
        <v>36.69683804</v>
      </c>
      <c r="G2797" s="16" t="n">
        <v>43.01560001</v>
      </c>
      <c r="H2797" s="18" t="n">
        <v>22</v>
      </c>
      <c r="I2797" s="18" t="n">
        <v>132</v>
      </c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 t="n">
        <v>22</v>
      </c>
      <c r="W2797" s="19"/>
      <c r="X2797" s="19"/>
      <c r="Y2797" s="19"/>
      <c r="Z2797" s="19"/>
      <c r="AA2797" s="19"/>
      <c r="AB2797" s="19"/>
      <c r="AC2797" s="19" t="n">
        <v>22</v>
      </c>
      <c r="AD2797" s="19"/>
      <c r="AE2797" s="19"/>
      <c r="AF2797" s="19"/>
      <c r="AG2797" s="19"/>
      <c r="AH2797" s="19"/>
      <c r="AI2797" s="19"/>
      <c r="AJ2797" s="19"/>
      <c r="AK2797" s="19"/>
      <c r="AL2797" s="19"/>
      <c r="AM2797" s="19" t="n">
        <v>15</v>
      </c>
      <c r="AN2797" s="19" t="n">
        <v>7</v>
      </c>
      <c r="AO2797" s="19"/>
      <c r="AP2797" s="19"/>
      <c r="AQ2797" s="19"/>
      <c r="AR2797" s="19"/>
      <c r="AS2797" s="20" t="str">
        <f aca="false">HYPERLINK("http://www.openstreetmap.org/?mlat=36.6968&amp;mlon=43.0156&amp;zoom=12#map=12/36.6968/43.0156","Maplink1")</f>
        <v>Maplink1</v>
      </c>
      <c r="AT2797" s="20" t="str">
        <f aca="false">HYPERLINK("https://www.google.iq/maps/search/+36.6968,43.0156/@36.6968,43.0156,14z?hl=en","Maplink2")</f>
        <v>Maplink2</v>
      </c>
      <c r="AU2797" s="20" t="str">
        <f aca="false">HYPERLINK("http://www.bing.com/maps/?lvl=14&amp;sty=h&amp;cp=36.6968~43.0156&amp;sp=point.36.6968_43.0156","Maplink3")</f>
        <v>Maplink3</v>
      </c>
    </row>
    <row r="2798" customFormat="false" ht="15" hidden="false" customHeight="true" outlineLevel="0" collapsed="false">
      <c r="A2798" s="15" t="n">
        <v>18379</v>
      </c>
      <c r="B2798" s="16" t="s">
        <v>27</v>
      </c>
      <c r="C2798" s="16" t="s">
        <v>5343</v>
      </c>
      <c r="D2798" s="16" t="s">
        <v>5390</v>
      </c>
      <c r="E2798" s="17" t="s">
        <v>5391</v>
      </c>
      <c r="F2798" s="16" t="n">
        <v>36.67435557</v>
      </c>
      <c r="G2798" s="16" t="n">
        <v>43.21740707</v>
      </c>
      <c r="H2798" s="18" t="n">
        <v>7</v>
      </c>
      <c r="I2798" s="18" t="n">
        <v>42</v>
      </c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 t="n">
        <v>7</v>
      </c>
      <c r="W2798" s="19"/>
      <c r="X2798" s="19"/>
      <c r="Y2798" s="19"/>
      <c r="Z2798" s="19"/>
      <c r="AA2798" s="19"/>
      <c r="AB2798" s="19"/>
      <c r="AC2798" s="19" t="n">
        <v>7</v>
      </c>
      <c r="AD2798" s="19"/>
      <c r="AE2798" s="19"/>
      <c r="AF2798" s="19"/>
      <c r="AG2798" s="19"/>
      <c r="AH2798" s="19"/>
      <c r="AI2798" s="19"/>
      <c r="AJ2798" s="19"/>
      <c r="AK2798" s="19"/>
      <c r="AL2798" s="19"/>
      <c r="AM2798" s="19"/>
      <c r="AN2798" s="19" t="n">
        <v>7</v>
      </c>
      <c r="AO2798" s="19"/>
      <c r="AP2798" s="19"/>
      <c r="AQ2798" s="19"/>
      <c r="AR2798" s="19"/>
      <c r="AS2798" s="20" t="str">
        <f aca="false">HYPERLINK("http://www.openstreetmap.org/?mlat=36.6744&amp;mlon=43.2174&amp;zoom=12#map=12/36.6744/43.2174","Maplink1")</f>
        <v>Maplink1</v>
      </c>
      <c r="AT2798" s="20" t="str">
        <f aca="false">HYPERLINK("https://www.google.iq/maps/search/+36.6744,43.2174/@36.6744,43.2174,14z?hl=en","Maplink2")</f>
        <v>Maplink2</v>
      </c>
      <c r="AU2798" s="20" t="str">
        <f aca="false">HYPERLINK("http://www.bing.com/maps/?lvl=14&amp;sty=h&amp;cp=36.6744~43.2174&amp;sp=point.36.6744_43.2174","Maplink3")</f>
        <v>Maplink3</v>
      </c>
    </row>
    <row r="2799" customFormat="false" ht="15" hidden="false" customHeight="true" outlineLevel="0" collapsed="false">
      <c r="A2799" s="15" t="n">
        <v>24685</v>
      </c>
      <c r="B2799" s="16" t="s">
        <v>27</v>
      </c>
      <c r="C2799" s="16" t="s">
        <v>5343</v>
      </c>
      <c r="D2799" s="16" t="s">
        <v>5392</v>
      </c>
      <c r="E2799" s="17" t="s">
        <v>5393</v>
      </c>
      <c r="F2799" s="16" t="n">
        <v>36.64268757</v>
      </c>
      <c r="G2799" s="16" t="n">
        <v>43.23398649</v>
      </c>
      <c r="H2799" s="18" t="n">
        <v>11</v>
      </c>
      <c r="I2799" s="18" t="n">
        <v>66</v>
      </c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 t="n">
        <v>11</v>
      </c>
      <c r="W2799" s="19"/>
      <c r="X2799" s="19"/>
      <c r="Y2799" s="19"/>
      <c r="Z2799" s="19"/>
      <c r="AA2799" s="19"/>
      <c r="AB2799" s="19"/>
      <c r="AC2799" s="19" t="n">
        <v>10</v>
      </c>
      <c r="AD2799" s="19"/>
      <c r="AE2799" s="19"/>
      <c r="AF2799" s="19"/>
      <c r="AG2799" s="19"/>
      <c r="AH2799" s="19" t="n">
        <v>1</v>
      </c>
      <c r="AI2799" s="19"/>
      <c r="AJ2799" s="19"/>
      <c r="AK2799" s="19"/>
      <c r="AL2799" s="19"/>
      <c r="AM2799" s="19"/>
      <c r="AN2799" s="19" t="n">
        <v>11</v>
      </c>
      <c r="AO2799" s="19"/>
      <c r="AP2799" s="19"/>
      <c r="AQ2799" s="19"/>
      <c r="AR2799" s="19"/>
      <c r="AS2799" s="20" t="str">
        <f aca="false">HYPERLINK("http://www.openstreetmap.org/?mlat=36.6427&amp;mlon=43.234&amp;zoom=12#map=12/36.6427/43.234","Maplink1")</f>
        <v>Maplink1</v>
      </c>
      <c r="AT2799" s="20" t="str">
        <f aca="false">HYPERLINK("https://www.google.iq/maps/search/+36.6427,43.234/@36.6427,43.234,14z?hl=en","Maplink2")</f>
        <v>Maplink2</v>
      </c>
      <c r="AU2799" s="20" t="str">
        <f aca="false">HYPERLINK("http://www.bing.com/maps/?lvl=14&amp;sty=h&amp;cp=36.6427~43.234&amp;sp=point.36.6427_43.234","Maplink3")</f>
        <v>Maplink3</v>
      </c>
    </row>
    <row r="2800" customFormat="false" ht="15" hidden="false" customHeight="true" outlineLevel="0" collapsed="false">
      <c r="A2800" s="15" t="n">
        <v>17564</v>
      </c>
      <c r="B2800" s="16" t="s">
        <v>27</v>
      </c>
      <c r="C2800" s="16" t="s">
        <v>5343</v>
      </c>
      <c r="D2800" s="16" t="s">
        <v>5394</v>
      </c>
      <c r="E2800" s="17" t="s">
        <v>5395</v>
      </c>
      <c r="F2800" s="16" t="n">
        <v>36.69540872</v>
      </c>
      <c r="G2800" s="16" t="n">
        <v>43.22255932</v>
      </c>
      <c r="H2800" s="18" t="n">
        <v>9</v>
      </c>
      <c r="I2800" s="18" t="n">
        <v>54</v>
      </c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 t="n">
        <v>9</v>
      </c>
      <c r="W2800" s="19"/>
      <c r="X2800" s="19"/>
      <c r="Y2800" s="19"/>
      <c r="Z2800" s="19"/>
      <c r="AA2800" s="19"/>
      <c r="AB2800" s="19"/>
      <c r="AC2800" s="19" t="n">
        <v>9</v>
      </c>
      <c r="AD2800" s="19"/>
      <c r="AE2800" s="19"/>
      <c r="AF2800" s="19"/>
      <c r="AG2800" s="19"/>
      <c r="AH2800" s="19"/>
      <c r="AI2800" s="19"/>
      <c r="AJ2800" s="19"/>
      <c r="AK2800" s="19"/>
      <c r="AL2800" s="19"/>
      <c r="AM2800" s="19"/>
      <c r="AN2800" s="19" t="n">
        <v>9</v>
      </c>
      <c r="AO2800" s="19"/>
      <c r="AP2800" s="19"/>
      <c r="AQ2800" s="19"/>
      <c r="AR2800" s="19"/>
      <c r="AS2800" s="20" t="str">
        <f aca="false">HYPERLINK("http://www.openstreetmap.org/?mlat=36.6954&amp;mlon=43.2226&amp;zoom=12#map=12/36.6954/43.2226","Maplink1")</f>
        <v>Maplink1</v>
      </c>
      <c r="AT2800" s="20" t="str">
        <f aca="false">HYPERLINK("https://www.google.iq/maps/search/+36.6954,43.2226/@36.6954,43.2226,14z?hl=en","Maplink2")</f>
        <v>Maplink2</v>
      </c>
      <c r="AU2800" s="20" t="str">
        <f aca="false">HYPERLINK("http://www.bing.com/maps/?lvl=14&amp;sty=h&amp;cp=36.6954~43.2226&amp;sp=point.36.6954_43.2226","Maplink3")</f>
        <v>Maplink3</v>
      </c>
    </row>
    <row r="2801" customFormat="false" ht="15" hidden="false" customHeight="true" outlineLevel="0" collapsed="false">
      <c r="A2801" s="15" t="n">
        <v>17849</v>
      </c>
      <c r="B2801" s="16" t="s">
        <v>27</v>
      </c>
      <c r="C2801" s="16" t="s">
        <v>5343</v>
      </c>
      <c r="D2801" s="16" t="s">
        <v>5396</v>
      </c>
      <c r="E2801" s="17" t="s">
        <v>5397</v>
      </c>
      <c r="F2801" s="16" t="n">
        <v>36.62</v>
      </c>
      <c r="G2801" s="16" t="n">
        <v>43.17</v>
      </c>
      <c r="H2801" s="18" t="n">
        <v>2</v>
      </c>
      <c r="I2801" s="18" t="n">
        <v>12</v>
      </c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 t="n">
        <v>2</v>
      </c>
      <c r="W2801" s="19"/>
      <c r="X2801" s="19"/>
      <c r="Y2801" s="19"/>
      <c r="Z2801" s="19"/>
      <c r="AA2801" s="19"/>
      <c r="AB2801" s="19"/>
      <c r="AC2801" s="19" t="n">
        <v>2</v>
      </c>
      <c r="AD2801" s="19"/>
      <c r="AE2801" s="19"/>
      <c r="AF2801" s="19"/>
      <c r="AG2801" s="19"/>
      <c r="AH2801" s="19"/>
      <c r="AI2801" s="19"/>
      <c r="AJ2801" s="19"/>
      <c r="AK2801" s="19"/>
      <c r="AL2801" s="19"/>
      <c r="AM2801" s="19"/>
      <c r="AN2801" s="19" t="n">
        <v>2</v>
      </c>
      <c r="AO2801" s="19"/>
      <c r="AP2801" s="19"/>
      <c r="AQ2801" s="19"/>
      <c r="AR2801" s="19"/>
      <c r="AS2801" s="20" t="str">
        <f aca="false">HYPERLINK("http://www.openstreetmap.org/?mlat=36.62&amp;mlon=43.17&amp;zoom=12#map=12/36.62/43.17","Maplink1")</f>
        <v>Maplink1</v>
      </c>
      <c r="AT2801" s="20" t="str">
        <f aca="false">HYPERLINK("https://www.google.iq/maps/search/+36.62,43.17/@36.62,43.17,14z?hl=en","Maplink2")</f>
        <v>Maplink2</v>
      </c>
      <c r="AU2801" s="20" t="str">
        <f aca="false">HYPERLINK("http://www.bing.com/maps/?lvl=14&amp;sty=h&amp;cp=36.62~43.17&amp;sp=point.36.62_43.17","Maplink3")</f>
        <v>Maplink3</v>
      </c>
    </row>
    <row r="2802" customFormat="false" ht="15" hidden="false" customHeight="true" outlineLevel="0" collapsed="false">
      <c r="A2802" s="15" t="n">
        <v>18046</v>
      </c>
      <c r="B2802" s="16" t="s">
        <v>27</v>
      </c>
      <c r="C2802" s="16" t="s">
        <v>5343</v>
      </c>
      <c r="D2802" s="16" t="s">
        <v>3507</v>
      </c>
      <c r="E2802" s="17" t="s">
        <v>5398</v>
      </c>
      <c r="F2802" s="16" t="n">
        <v>36.61512855</v>
      </c>
      <c r="G2802" s="16" t="n">
        <v>42.98922177</v>
      </c>
      <c r="H2802" s="18" t="n">
        <v>148</v>
      </c>
      <c r="I2802" s="18" t="n">
        <v>888</v>
      </c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 t="n">
        <v>148</v>
      </c>
      <c r="W2802" s="19"/>
      <c r="X2802" s="19"/>
      <c r="Y2802" s="19"/>
      <c r="Z2802" s="19"/>
      <c r="AA2802" s="19"/>
      <c r="AB2802" s="19"/>
      <c r="AC2802" s="19" t="n">
        <v>120</v>
      </c>
      <c r="AD2802" s="19"/>
      <c r="AE2802" s="19"/>
      <c r="AF2802" s="19"/>
      <c r="AG2802" s="19"/>
      <c r="AH2802" s="19" t="n">
        <v>13</v>
      </c>
      <c r="AI2802" s="19"/>
      <c r="AJ2802" s="19" t="n">
        <v>15</v>
      </c>
      <c r="AK2802" s="19"/>
      <c r="AL2802" s="19"/>
      <c r="AM2802" s="19"/>
      <c r="AN2802" s="19" t="n">
        <v>148</v>
      </c>
      <c r="AO2802" s="19"/>
      <c r="AP2802" s="19"/>
      <c r="AQ2802" s="19"/>
      <c r="AR2802" s="19"/>
      <c r="AS2802" s="20" t="str">
        <f aca="false">HYPERLINK("http://www.openstreetmap.org/?mlat=36.6151&amp;mlon=42.9892&amp;zoom=12#map=12/36.6151/42.9892","Maplink1")</f>
        <v>Maplink1</v>
      </c>
      <c r="AT2802" s="20" t="str">
        <f aca="false">HYPERLINK("https://www.google.iq/maps/search/+36.6151,42.9892/@36.6151,42.9892,14z?hl=en","Maplink2")</f>
        <v>Maplink2</v>
      </c>
      <c r="AU2802" s="20" t="str">
        <f aca="false">HYPERLINK("http://www.bing.com/maps/?lvl=14&amp;sty=h&amp;cp=36.6151~42.9892&amp;sp=point.36.6151_42.9892","Maplink3")</f>
        <v>Maplink3</v>
      </c>
    </row>
    <row r="2803" customFormat="false" ht="15" hidden="false" customHeight="true" outlineLevel="0" collapsed="false">
      <c r="A2803" s="15" t="n">
        <v>29703</v>
      </c>
      <c r="B2803" s="16" t="s">
        <v>27</v>
      </c>
      <c r="C2803" s="16" t="s">
        <v>5343</v>
      </c>
      <c r="D2803" s="16" t="s">
        <v>5399</v>
      </c>
      <c r="E2803" s="17" t="s">
        <v>5400</v>
      </c>
      <c r="F2803" s="16" t="n">
        <v>36.47013</v>
      </c>
      <c r="G2803" s="16" t="n">
        <v>43.1865</v>
      </c>
      <c r="H2803" s="18" t="n">
        <v>15</v>
      </c>
      <c r="I2803" s="18" t="n">
        <v>90</v>
      </c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 t="n">
        <v>15</v>
      </c>
      <c r="W2803" s="19"/>
      <c r="X2803" s="19"/>
      <c r="Y2803" s="19"/>
      <c r="Z2803" s="19"/>
      <c r="AA2803" s="19"/>
      <c r="AB2803" s="19"/>
      <c r="AC2803" s="19" t="n">
        <v>15</v>
      </c>
      <c r="AD2803" s="19"/>
      <c r="AE2803" s="19"/>
      <c r="AF2803" s="19"/>
      <c r="AG2803" s="19"/>
      <c r="AH2803" s="19"/>
      <c r="AI2803" s="19"/>
      <c r="AJ2803" s="19"/>
      <c r="AK2803" s="19"/>
      <c r="AL2803" s="19"/>
      <c r="AM2803" s="19"/>
      <c r="AN2803" s="19"/>
      <c r="AO2803" s="19"/>
      <c r="AP2803" s="19"/>
      <c r="AQ2803" s="19"/>
      <c r="AR2803" s="19" t="n">
        <v>15</v>
      </c>
      <c r="AS2803" s="20" t="str">
        <f aca="false">HYPERLINK("http://www.openstreetmap.org/?mlat=36.4701&amp;mlon=43.1865&amp;zoom=12#map=12/36.4701/43.1865","Maplink1")</f>
        <v>Maplink1</v>
      </c>
      <c r="AT2803" s="20" t="str">
        <f aca="false">HYPERLINK("https://www.google.iq/maps/search/+36.4701,43.1865/@36.4701,43.1865,14z?hl=en","Maplink2")</f>
        <v>Maplink2</v>
      </c>
      <c r="AU2803" s="20" t="str">
        <f aca="false">HYPERLINK("http://www.bing.com/maps/?lvl=14&amp;sty=h&amp;cp=36.4701~43.1865&amp;sp=point.36.4701_43.1865","Maplink3")</f>
        <v>Maplink3</v>
      </c>
    </row>
    <row r="2804" customFormat="false" ht="15" hidden="false" customHeight="true" outlineLevel="0" collapsed="false">
      <c r="A2804" s="15" t="n">
        <v>18380</v>
      </c>
      <c r="B2804" s="16" t="s">
        <v>27</v>
      </c>
      <c r="C2804" s="16" t="s">
        <v>5343</v>
      </c>
      <c r="D2804" s="16" t="s">
        <v>5401</v>
      </c>
      <c r="E2804" s="17" t="s">
        <v>5402</v>
      </c>
      <c r="F2804" s="16" t="n">
        <v>36.69879136</v>
      </c>
      <c r="G2804" s="16" t="n">
        <v>43.21848803</v>
      </c>
      <c r="H2804" s="18" t="n">
        <v>62</v>
      </c>
      <c r="I2804" s="18" t="n">
        <v>372</v>
      </c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 t="n">
        <v>62</v>
      </c>
      <c r="W2804" s="19"/>
      <c r="X2804" s="19"/>
      <c r="Y2804" s="19"/>
      <c r="Z2804" s="19"/>
      <c r="AA2804" s="19"/>
      <c r="AB2804" s="19"/>
      <c r="AC2804" s="19" t="n">
        <v>37</v>
      </c>
      <c r="AD2804" s="19"/>
      <c r="AE2804" s="19"/>
      <c r="AF2804" s="19"/>
      <c r="AG2804" s="19"/>
      <c r="AH2804" s="19"/>
      <c r="AI2804" s="19"/>
      <c r="AJ2804" s="19" t="n">
        <v>25</v>
      </c>
      <c r="AK2804" s="19"/>
      <c r="AL2804" s="19"/>
      <c r="AM2804" s="19"/>
      <c r="AN2804" s="19" t="n">
        <v>62</v>
      </c>
      <c r="AO2804" s="19"/>
      <c r="AP2804" s="19"/>
      <c r="AQ2804" s="19"/>
      <c r="AR2804" s="19"/>
      <c r="AS2804" s="20" t="str">
        <f aca="false">HYPERLINK("http://www.openstreetmap.org/?mlat=36.6988&amp;mlon=43.2185&amp;zoom=12#map=12/36.6988/43.2185","Maplink1")</f>
        <v>Maplink1</v>
      </c>
      <c r="AT2804" s="20" t="str">
        <f aca="false">HYPERLINK("https://www.google.iq/maps/search/+36.6988,43.2185/@36.6988,43.2185,14z?hl=en","Maplink2")</f>
        <v>Maplink2</v>
      </c>
      <c r="AU2804" s="20" t="str">
        <f aca="false">HYPERLINK("http://www.bing.com/maps/?lvl=14&amp;sty=h&amp;cp=36.6988~43.2185&amp;sp=point.36.6988_43.2185","Maplink3")</f>
        <v>Maplink3</v>
      </c>
    </row>
    <row r="2805" customFormat="false" ht="15" hidden="false" customHeight="true" outlineLevel="0" collapsed="false">
      <c r="A2805" s="15" t="n">
        <v>25368</v>
      </c>
      <c r="B2805" s="16" t="s">
        <v>27</v>
      </c>
      <c r="C2805" s="16" t="s">
        <v>5343</v>
      </c>
      <c r="D2805" s="16" t="s">
        <v>5403</v>
      </c>
      <c r="E2805" s="17" t="s">
        <v>5404</v>
      </c>
      <c r="F2805" s="16" t="n">
        <v>36.62495462</v>
      </c>
      <c r="G2805" s="16" t="n">
        <v>42.98473126</v>
      </c>
      <c r="H2805" s="18" t="n">
        <v>29</v>
      </c>
      <c r="I2805" s="18" t="n">
        <v>174</v>
      </c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 t="n">
        <v>29</v>
      </c>
      <c r="W2805" s="19"/>
      <c r="X2805" s="19"/>
      <c r="Y2805" s="19"/>
      <c r="Z2805" s="19"/>
      <c r="AA2805" s="19"/>
      <c r="AB2805" s="19"/>
      <c r="AC2805" s="19" t="n">
        <v>29</v>
      </c>
      <c r="AD2805" s="19"/>
      <c r="AE2805" s="19"/>
      <c r="AF2805" s="19"/>
      <c r="AG2805" s="19"/>
      <c r="AH2805" s="19"/>
      <c r="AI2805" s="19"/>
      <c r="AJ2805" s="19"/>
      <c r="AK2805" s="19"/>
      <c r="AL2805" s="19"/>
      <c r="AM2805" s="19"/>
      <c r="AN2805" s="19" t="n">
        <v>29</v>
      </c>
      <c r="AO2805" s="19"/>
      <c r="AP2805" s="19"/>
      <c r="AQ2805" s="19"/>
      <c r="AR2805" s="19"/>
      <c r="AS2805" s="20" t="str">
        <f aca="false">HYPERLINK("http://www.openstreetmap.org/?mlat=36.625&amp;mlon=42.9847&amp;zoom=12#map=12/36.625/42.9847","Maplink1")</f>
        <v>Maplink1</v>
      </c>
      <c r="AT2805" s="20" t="str">
        <f aca="false">HYPERLINK("https://www.google.iq/maps/search/+36.625,42.9847/@36.625,42.9847,14z?hl=en","Maplink2")</f>
        <v>Maplink2</v>
      </c>
      <c r="AU2805" s="20" t="str">
        <f aca="false">HYPERLINK("http://www.bing.com/maps/?lvl=14&amp;sty=h&amp;cp=36.625~42.9847&amp;sp=point.36.625_42.9847","Maplink3")</f>
        <v>Maplink3</v>
      </c>
    </row>
    <row r="2806" customFormat="false" ht="15" hidden="false" customHeight="true" outlineLevel="0" collapsed="false">
      <c r="A2806" s="15" t="n">
        <v>17551</v>
      </c>
      <c r="B2806" s="16" t="s">
        <v>27</v>
      </c>
      <c r="C2806" s="16" t="s">
        <v>5343</v>
      </c>
      <c r="D2806" s="16" t="s">
        <v>5405</v>
      </c>
      <c r="E2806" s="17" t="s">
        <v>5406</v>
      </c>
      <c r="F2806" s="16" t="n">
        <v>36.63344886</v>
      </c>
      <c r="G2806" s="16" t="n">
        <v>43.14684349</v>
      </c>
      <c r="H2806" s="18" t="n">
        <v>11</v>
      </c>
      <c r="I2806" s="18" t="n">
        <v>66</v>
      </c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 t="n">
        <v>11</v>
      </c>
      <c r="W2806" s="19"/>
      <c r="X2806" s="19"/>
      <c r="Y2806" s="19"/>
      <c r="Z2806" s="19"/>
      <c r="AA2806" s="19"/>
      <c r="AB2806" s="19"/>
      <c r="AC2806" s="19" t="n">
        <v>11</v>
      </c>
      <c r="AD2806" s="19"/>
      <c r="AE2806" s="19"/>
      <c r="AF2806" s="19"/>
      <c r="AG2806" s="19"/>
      <c r="AH2806" s="19"/>
      <c r="AI2806" s="19"/>
      <c r="AJ2806" s="19"/>
      <c r="AK2806" s="19"/>
      <c r="AL2806" s="19"/>
      <c r="AM2806" s="19"/>
      <c r="AN2806" s="19" t="n">
        <v>11</v>
      </c>
      <c r="AO2806" s="19"/>
      <c r="AP2806" s="19"/>
      <c r="AQ2806" s="19"/>
      <c r="AR2806" s="19"/>
      <c r="AS2806" s="20" t="str">
        <f aca="false">HYPERLINK("http://www.openstreetmap.org/?mlat=36.6334&amp;mlon=43.1468&amp;zoom=12#map=12/36.6334/43.1468","Maplink1")</f>
        <v>Maplink1</v>
      </c>
      <c r="AT2806" s="20" t="str">
        <f aca="false">HYPERLINK("https://www.google.iq/maps/search/+36.6334,43.1468/@36.6334,43.1468,14z?hl=en","Maplink2")</f>
        <v>Maplink2</v>
      </c>
      <c r="AU2806" s="20" t="str">
        <f aca="false">HYPERLINK("http://www.bing.com/maps/?lvl=14&amp;sty=h&amp;cp=36.6334~43.1468&amp;sp=point.36.6334_43.1468","Maplink3")</f>
        <v>Maplink3</v>
      </c>
    </row>
    <row r="2807" customFormat="false" ht="15" hidden="false" customHeight="true" outlineLevel="0" collapsed="false">
      <c r="A2807" s="15" t="n">
        <v>26017</v>
      </c>
      <c r="B2807" s="16" t="s">
        <v>27</v>
      </c>
      <c r="C2807" s="16" t="s">
        <v>5343</v>
      </c>
      <c r="D2807" s="16" t="s">
        <v>5407</v>
      </c>
      <c r="E2807" s="17" t="s">
        <v>5408</v>
      </c>
      <c r="F2807" s="16" t="n">
        <v>36.6247493</v>
      </c>
      <c r="G2807" s="16" t="n">
        <v>43.22231775</v>
      </c>
      <c r="H2807" s="18" t="n">
        <v>45</v>
      </c>
      <c r="I2807" s="18" t="n">
        <v>270</v>
      </c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 t="n">
        <v>45</v>
      </c>
      <c r="W2807" s="19"/>
      <c r="X2807" s="19"/>
      <c r="Y2807" s="19"/>
      <c r="Z2807" s="19"/>
      <c r="AA2807" s="19"/>
      <c r="AB2807" s="19"/>
      <c r="AC2807" s="19" t="n">
        <v>40</v>
      </c>
      <c r="AD2807" s="19"/>
      <c r="AE2807" s="19"/>
      <c r="AF2807" s="19"/>
      <c r="AG2807" s="19"/>
      <c r="AH2807" s="19"/>
      <c r="AI2807" s="19"/>
      <c r="AJ2807" s="19" t="n">
        <v>5</v>
      </c>
      <c r="AK2807" s="19"/>
      <c r="AL2807" s="19"/>
      <c r="AM2807" s="19" t="n">
        <v>4</v>
      </c>
      <c r="AN2807" s="19" t="n">
        <v>26</v>
      </c>
      <c r="AO2807" s="19"/>
      <c r="AP2807" s="19" t="n">
        <v>15</v>
      </c>
      <c r="AQ2807" s="19"/>
      <c r="AR2807" s="19"/>
      <c r="AS2807" s="20" t="str">
        <f aca="false">HYPERLINK("http://www.openstreetmap.org/?mlat=36.6247&amp;mlon=43.2223&amp;zoom=12#map=12/36.6247/43.2223","Maplink1")</f>
        <v>Maplink1</v>
      </c>
      <c r="AT2807" s="20" t="str">
        <f aca="false">HYPERLINK("https://www.google.iq/maps/search/+36.6247,43.2223/@36.6247,43.2223,14z?hl=en","Maplink2")</f>
        <v>Maplink2</v>
      </c>
      <c r="AU2807" s="20" t="str">
        <f aca="false">HYPERLINK("http://www.bing.com/maps/?lvl=14&amp;sty=h&amp;cp=36.6247~43.2223&amp;sp=point.36.6247_43.2223","Maplink3")</f>
        <v>Maplink3</v>
      </c>
    </row>
    <row r="2808" customFormat="false" ht="15" hidden="false" customHeight="true" outlineLevel="0" collapsed="false">
      <c r="A2808" s="15" t="n">
        <v>26018</v>
      </c>
      <c r="B2808" s="16" t="s">
        <v>27</v>
      </c>
      <c r="C2808" s="16" t="s">
        <v>5343</v>
      </c>
      <c r="D2808" s="16" t="s">
        <v>5409</v>
      </c>
      <c r="E2808" s="17" t="s">
        <v>5410</v>
      </c>
      <c r="F2808" s="16" t="n">
        <v>36.61428025</v>
      </c>
      <c r="G2808" s="16" t="n">
        <v>43.22213438</v>
      </c>
      <c r="H2808" s="18" t="n">
        <v>61</v>
      </c>
      <c r="I2808" s="18" t="n">
        <v>366</v>
      </c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 t="n">
        <v>61</v>
      </c>
      <c r="W2808" s="19"/>
      <c r="X2808" s="19"/>
      <c r="Y2808" s="19"/>
      <c r="Z2808" s="19"/>
      <c r="AA2808" s="19"/>
      <c r="AB2808" s="19"/>
      <c r="AC2808" s="19" t="n">
        <v>29</v>
      </c>
      <c r="AD2808" s="19"/>
      <c r="AE2808" s="19"/>
      <c r="AF2808" s="19"/>
      <c r="AG2808" s="19"/>
      <c r="AH2808" s="19"/>
      <c r="AI2808" s="19" t="n">
        <v>5</v>
      </c>
      <c r="AJ2808" s="19" t="n">
        <v>27</v>
      </c>
      <c r="AK2808" s="19"/>
      <c r="AL2808" s="19"/>
      <c r="AM2808" s="19"/>
      <c r="AN2808" s="19" t="n">
        <v>30</v>
      </c>
      <c r="AO2808" s="19"/>
      <c r="AP2808" s="19" t="n">
        <v>31</v>
      </c>
      <c r="AQ2808" s="19"/>
      <c r="AR2808" s="19"/>
      <c r="AS2808" s="20" t="str">
        <f aca="false">HYPERLINK("http://www.openstreetmap.org/?mlat=36.6143&amp;mlon=43.2221&amp;zoom=12#map=12/36.6143/43.2221","Maplink1")</f>
        <v>Maplink1</v>
      </c>
      <c r="AT2808" s="20" t="str">
        <f aca="false">HYPERLINK("https://www.google.iq/maps/search/+36.6143,43.2221/@36.6143,43.2221,14z?hl=en","Maplink2")</f>
        <v>Maplink2</v>
      </c>
      <c r="AU2808" s="20" t="str">
        <f aca="false">HYPERLINK("http://www.bing.com/maps/?lvl=14&amp;sty=h&amp;cp=36.6143~43.2221&amp;sp=point.36.6143_43.2221","Maplink3")</f>
        <v>Maplink3</v>
      </c>
    </row>
    <row r="2809" customFormat="false" ht="15" hidden="false" customHeight="true" outlineLevel="0" collapsed="false">
      <c r="A2809" s="15" t="n">
        <v>25277</v>
      </c>
      <c r="B2809" s="16" t="s">
        <v>27</v>
      </c>
      <c r="C2809" s="16" t="s">
        <v>5343</v>
      </c>
      <c r="D2809" s="16" t="s">
        <v>5411</v>
      </c>
      <c r="E2809" s="17" t="s">
        <v>5412</v>
      </c>
      <c r="F2809" s="16" t="n">
        <v>36.68901747</v>
      </c>
      <c r="G2809" s="16" t="n">
        <v>43.09459976</v>
      </c>
      <c r="H2809" s="18" t="n">
        <v>78</v>
      </c>
      <c r="I2809" s="18" t="n">
        <v>468</v>
      </c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 t="n">
        <v>78</v>
      </c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9"/>
      <c r="AH2809" s="19" t="n">
        <v>78</v>
      </c>
      <c r="AI2809" s="19"/>
      <c r="AJ2809" s="19"/>
      <c r="AK2809" s="19"/>
      <c r="AL2809" s="19"/>
      <c r="AM2809" s="19"/>
      <c r="AN2809" s="19" t="n">
        <v>78</v>
      </c>
      <c r="AO2809" s="19"/>
      <c r="AP2809" s="19"/>
      <c r="AQ2809" s="19"/>
      <c r="AR2809" s="19"/>
      <c r="AS2809" s="20" t="str">
        <f aca="false">HYPERLINK("http://www.openstreetmap.org/?mlat=36.689&amp;mlon=43.0946&amp;zoom=12#map=12/36.689/43.0946","Maplink1")</f>
        <v>Maplink1</v>
      </c>
      <c r="AT2809" s="20" t="str">
        <f aca="false">HYPERLINK("https://www.google.iq/maps/search/+36.689,43.0946/@36.689,43.0946,14z?hl=en","Maplink2")</f>
        <v>Maplink2</v>
      </c>
      <c r="AU2809" s="20" t="str">
        <f aca="false">HYPERLINK("http://www.bing.com/maps/?lvl=14&amp;sty=h&amp;cp=36.689~43.0946&amp;sp=point.36.689_43.0946","Maplink3")</f>
        <v>Maplink3</v>
      </c>
    </row>
    <row r="2810" customFormat="false" ht="15" hidden="false" customHeight="true" outlineLevel="0" collapsed="false">
      <c r="A2810" s="15" t="n">
        <v>22365</v>
      </c>
      <c r="B2810" s="16" t="s">
        <v>27</v>
      </c>
      <c r="C2810" s="16" t="s">
        <v>5343</v>
      </c>
      <c r="D2810" s="16" t="s">
        <v>5413</v>
      </c>
      <c r="E2810" s="17" t="s">
        <v>5414</v>
      </c>
      <c r="F2810" s="16" t="n">
        <v>36.69180418</v>
      </c>
      <c r="G2810" s="16" t="n">
        <v>43.16537336</v>
      </c>
      <c r="H2810" s="18" t="n">
        <v>270</v>
      </c>
      <c r="I2810" s="18" t="n">
        <v>1620</v>
      </c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 t="n">
        <v>270</v>
      </c>
      <c r="W2810" s="19"/>
      <c r="X2810" s="19"/>
      <c r="Y2810" s="19"/>
      <c r="Z2810" s="19"/>
      <c r="AA2810" s="19"/>
      <c r="AB2810" s="19"/>
      <c r="AC2810" s="19" t="n">
        <v>137</v>
      </c>
      <c r="AD2810" s="19"/>
      <c r="AE2810" s="19"/>
      <c r="AF2810" s="19" t="n">
        <v>1</v>
      </c>
      <c r="AG2810" s="19"/>
      <c r="AH2810" s="19" t="n">
        <v>20</v>
      </c>
      <c r="AI2810" s="19" t="n">
        <v>1</v>
      </c>
      <c r="AJ2810" s="19" t="n">
        <v>111</v>
      </c>
      <c r="AK2810" s="19"/>
      <c r="AL2810" s="19"/>
      <c r="AM2810" s="19"/>
      <c r="AN2810" s="19" t="n">
        <v>270</v>
      </c>
      <c r="AO2810" s="19"/>
      <c r="AP2810" s="19"/>
      <c r="AQ2810" s="19"/>
      <c r="AR2810" s="19"/>
      <c r="AS2810" s="20" t="str">
        <f aca="false">HYPERLINK("http://www.openstreetmap.org/?mlat=36.6918&amp;mlon=43.1654&amp;zoom=12#map=12/36.6918/43.1654","Maplink1")</f>
        <v>Maplink1</v>
      </c>
      <c r="AT2810" s="20" t="str">
        <f aca="false">HYPERLINK("https://www.google.iq/maps/search/+36.6918,43.1654/@36.6918,43.1654,14z?hl=en","Maplink2")</f>
        <v>Maplink2</v>
      </c>
      <c r="AU2810" s="20" t="str">
        <f aca="false">HYPERLINK("http://www.bing.com/maps/?lvl=14&amp;sty=h&amp;cp=36.6918~43.1654&amp;sp=point.36.6918_43.1654","Maplink3")</f>
        <v>Maplink3</v>
      </c>
    </row>
    <row r="2811" customFormat="false" ht="15" hidden="false" customHeight="true" outlineLevel="0" collapsed="false">
      <c r="A2811" s="15" t="n">
        <v>16978</v>
      </c>
      <c r="B2811" s="16" t="s">
        <v>27</v>
      </c>
      <c r="C2811" s="16" t="s">
        <v>5343</v>
      </c>
      <c r="D2811" s="16" t="s">
        <v>5415</v>
      </c>
      <c r="E2811" s="17" t="s">
        <v>5416</v>
      </c>
      <c r="F2811" s="16" t="n">
        <v>36.69642748</v>
      </c>
      <c r="G2811" s="16" t="n">
        <v>43.21928193</v>
      </c>
      <c r="H2811" s="18" t="n">
        <v>24</v>
      </c>
      <c r="I2811" s="18" t="n">
        <v>144</v>
      </c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 t="n">
        <v>24</v>
      </c>
      <c r="W2811" s="19"/>
      <c r="X2811" s="19"/>
      <c r="Y2811" s="19"/>
      <c r="Z2811" s="19"/>
      <c r="AA2811" s="19"/>
      <c r="AB2811" s="19"/>
      <c r="AC2811" s="19" t="n">
        <v>18</v>
      </c>
      <c r="AD2811" s="19"/>
      <c r="AE2811" s="19"/>
      <c r="AF2811" s="19" t="n">
        <v>3</v>
      </c>
      <c r="AG2811" s="19"/>
      <c r="AH2811" s="19"/>
      <c r="AI2811" s="19"/>
      <c r="AJ2811" s="19" t="n">
        <v>3</v>
      </c>
      <c r="AK2811" s="19"/>
      <c r="AL2811" s="19"/>
      <c r="AM2811" s="19"/>
      <c r="AN2811" s="19" t="n">
        <v>24</v>
      </c>
      <c r="AO2811" s="19"/>
      <c r="AP2811" s="19"/>
      <c r="AQ2811" s="19"/>
      <c r="AR2811" s="19"/>
      <c r="AS2811" s="20" t="str">
        <f aca="false">HYPERLINK("http://www.openstreetmap.org/?mlat=36.6964&amp;mlon=43.2193&amp;zoom=12#map=12/36.6964/43.2193","Maplink1")</f>
        <v>Maplink1</v>
      </c>
      <c r="AT2811" s="20" t="str">
        <f aca="false">HYPERLINK("https://www.google.iq/maps/search/+36.6964,43.2193/@36.6964,43.2193,14z?hl=en","Maplink2")</f>
        <v>Maplink2</v>
      </c>
      <c r="AU2811" s="20" t="str">
        <f aca="false">HYPERLINK("http://www.bing.com/maps/?lvl=14&amp;sty=h&amp;cp=36.6964~43.2193&amp;sp=point.36.6964_43.2193","Maplink3")</f>
        <v>Maplink3</v>
      </c>
    </row>
    <row r="2812" customFormat="false" ht="15" hidden="false" customHeight="true" outlineLevel="0" collapsed="false">
      <c r="A2812" s="15" t="n">
        <v>17931</v>
      </c>
      <c r="B2812" s="16" t="s">
        <v>27</v>
      </c>
      <c r="C2812" s="16" t="s">
        <v>5343</v>
      </c>
      <c r="D2812" s="16" t="s">
        <v>5417</v>
      </c>
      <c r="E2812" s="17" t="s">
        <v>5418</v>
      </c>
      <c r="F2812" s="16" t="n">
        <v>36.61065095</v>
      </c>
      <c r="G2812" s="16" t="n">
        <v>42.98327307</v>
      </c>
      <c r="H2812" s="18" t="n">
        <v>170</v>
      </c>
      <c r="I2812" s="18" t="n">
        <v>1020</v>
      </c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 t="n">
        <v>170</v>
      </c>
      <c r="W2812" s="19"/>
      <c r="X2812" s="19"/>
      <c r="Y2812" s="19"/>
      <c r="Z2812" s="19"/>
      <c r="AA2812" s="19"/>
      <c r="AB2812" s="19"/>
      <c r="AC2812" s="19" t="n">
        <v>160</v>
      </c>
      <c r="AD2812" s="19"/>
      <c r="AE2812" s="19"/>
      <c r="AF2812" s="19"/>
      <c r="AG2812" s="19"/>
      <c r="AH2812" s="19"/>
      <c r="AI2812" s="19"/>
      <c r="AJ2812" s="19" t="n">
        <v>10</v>
      </c>
      <c r="AK2812" s="19"/>
      <c r="AL2812" s="19"/>
      <c r="AM2812" s="19" t="n">
        <v>110</v>
      </c>
      <c r="AN2812" s="19" t="n">
        <v>60</v>
      </c>
      <c r="AO2812" s="19"/>
      <c r="AP2812" s="19"/>
      <c r="AQ2812" s="19"/>
      <c r="AR2812" s="19"/>
      <c r="AS2812" s="20" t="str">
        <f aca="false">HYPERLINK("http://www.openstreetmap.org/?mlat=36.6107&amp;mlon=42.9833&amp;zoom=12#map=12/36.6107/42.9833","Maplink1")</f>
        <v>Maplink1</v>
      </c>
      <c r="AT2812" s="20" t="str">
        <f aca="false">HYPERLINK("https://www.google.iq/maps/search/+36.6107,42.9833/@36.6107,42.9833,14z?hl=en","Maplink2")</f>
        <v>Maplink2</v>
      </c>
      <c r="AU2812" s="20" t="str">
        <f aca="false">HYPERLINK("http://www.bing.com/maps/?lvl=14&amp;sty=h&amp;cp=36.6107~42.9833&amp;sp=point.36.6107_42.9833","Maplink3")</f>
        <v>Maplink3</v>
      </c>
    </row>
    <row r="2813" customFormat="false" ht="15" hidden="false" customHeight="true" outlineLevel="0" collapsed="false">
      <c r="A2813" s="15" t="n">
        <v>17946</v>
      </c>
      <c r="B2813" s="16" t="s">
        <v>27</v>
      </c>
      <c r="C2813" s="16" t="s">
        <v>5343</v>
      </c>
      <c r="D2813" s="16" t="s">
        <v>5419</v>
      </c>
      <c r="E2813" s="17" t="s">
        <v>5420</v>
      </c>
      <c r="F2813" s="16" t="n">
        <v>36.46521</v>
      </c>
      <c r="G2813" s="16" t="n">
        <v>43.18268</v>
      </c>
      <c r="H2813" s="18" t="n">
        <v>30</v>
      </c>
      <c r="I2813" s="18" t="n">
        <v>180</v>
      </c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 t="n">
        <v>30</v>
      </c>
      <c r="W2813" s="19"/>
      <c r="X2813" s="19"/>
      <c r="Y2813" s="19"/>
      <c r="Z2813" s="19"/>
      <c r="AA2813" s="19"/>
      <c r="AB2813" s="19"/>
      <c r="AC2813" s="19" t="n">
        <v>30</v>
      </c>
      <c r="AD2813" s="19"/>
      <c r="AE2813" s="19"/>
      <c r="AF2813" s="19"/>
      <c r="AG2813" s="19"/>
      <c r="AH2813" s="19"/>
      <c r="AI2813" s="19"/>
      <c r="AJ2813" s="19"/>
      <c r="AK2813" s="19"/>
      <c r="AL2813" s="19"/>
      <c r="AM2813" s="19"/>
      <c r="AN2813" s="19"/>
      <c r="AO2813" s="19"/>
      <c r="AP2813" s="19"/>
      <c r="AQ2813" s="19"/>
      <c r="AR2813" s="19" t="n">
        <v>30</v>
      </c>
      <c r="AS2813" s="20" t="str">
        <f aca="false">HYPERLINK("http://www.openstreetmap.org/?mlat=36.4652&amp;mlon=43.1827&amp;zoom=12#map=12/36.4652/43.1827","Maplink1")</f>
        <v>Maplink1</v>
      </c>
      <c r="AT2813" s="20" t="str">
        <f aca="false">HYPERLINK("https://www.google.iq/maps/search/+36.4652,43.1827/@36.4652,43.1827,14z?hl=en","Maplink2")</f>
        <v>Maplink2</v>
      </c>
      <c r="AU2813" s="20" t="str">
        <f aca="false">HYPERLINK("http://www.bing.com/maps/?lvl=14&amp;sty=h&amp;cp=36.4652~43.1827&amp;sp=point.36.4652_43.1827","Maplink3")</f>
        <v>Maplink3</v>
      </c>
    </row>
    <row r="2814" customFormat="false" ht="15" hidden="false" customHeight="true" outlineLevel="0" collapsed="false">
      <c r="A2814" s="15" t="n">
        <v>17133</v>
      </c>
      <c r="B2814" s="16" t="s">
        <v>27</v>
      </c>
      <c r="C2814" s="16" t="s">
        <v>5343</v>
      </c>
      <c r="D2814" s="16" t="s">
        <v>5421</v>
      </c>
      <c r="E2814" s="17" t="s">
        <v>5422</v>
      </c>
      <c r="F2814" s="16" t="n">
        <v>36.53245674</v>
      </c>
      <c r="G2814" s="16" t="n">
        <v>42.7592298</v>
      </c>
      <c r="H2814" s="18" t="n">
        <v>119</v>
      </c>
      <c r="I2814" s="18" t="n">
        <v>714</v>
      </c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 t="n">
        <v>119</v>
      </c>
      <c r="W2814" s="19"/>
      <c r="X2814" s="19"/>
      <c r="Y2814" s="19"/>
      <c r="Z2814" s="19"/>
      <c r="AA2814" s="19"/>
      <c r="AB2814" s="19"/>
      <c r="AC2814" s="19" t="n">
        <v>100</v>
      </c>
      <c r="AD2814" s="19"/>
      <c r="AE2814" s="19"/>
      <c r="AF2814" s="19"/>
      <c r="AG2814" s="19"/>
      <c r="AH2814" s="19" t="n">
        <v>19</v>
      </c>
      <c r="AI2814" s="19"/>
      <c r="AJ2814" s="19"/>
      <c r="AK2814" s="19"/>
      <c r="AL2814" s="19"/>
      <c r="AM2814" s="19"/>
      <c r="AN2814" s="19"/>
      <c r="AO2814" s="19"/>
      <c r="AP2814" s="19" t="n">
        <v>109</v>
      </c>
      <c r="AQ2814" s="19" t="n">
        <v>10</v>
      </c>
      <c r="AR2814" s="19"/>
      <c r="AS2814" s="20" t="str">
        <f aca="false">HYPERLINK("http://www.openstreetmap.org/?mlat=36.5325&amp;mlon=42.7592&amp;zoom=12#map=12/36.5325/42.7592","Maplink1")</f>
        <v>Maplink1</v>
      </c>
      <c r="AT2814" s="20" t="str">
        <f aca="false">HYPERLINK("https://www.google.iq/maps/search/+36.5325,42.7592/@36.5325,42.7592,14z?hl=en","Maplink2")</f>
        <v>Maplink2</v>
      </c>
      <c r="AU2814" s="20" t="str">
        <f aca="false">HYPERLINK("http://www.bing.com/maps/?lvl=14&amp;sty=h&amp;cp=36.5325~42.7592&amp;sp=point.36.5325_42.7592","Maplink3")</f>
        <v>Maplink3</v>
      </c>
    </row>
    <row r="2815" customFormat="false" ht="15" hidden="false" customHeight="true" outlineLevel="0" collapsed="false">
      <c r="A2815" s="15" t="n">
        <v>24207</v>
      </c>
      <c r="B2815" s="16" t="s">
        <v>28</v>
      </c>
      <c r="C2815" s="16" t="s">
        <v>5423</v>
      </c>
      <c r="D2815" s="16" t="s">
        <v>5424</v>
      </c>
      <c r="E2815" s="17" t="s">
        <v>5425</v>
      </c>
      <c r="F2815" s="16" t="n">
        <v>32.11601407</v>
      </c>
      <c r="G2815" s="16" t="n">
        <v>45.11411316</v>
      </c>
      <c r="H2815" s="18" t="n">
        <v>40</v>
      </c>
      <c r="I2815" s="18" t="n">
        <v>240</v>
      </c>
      <c r="J2815" s="19"/>
      <c r="K2815" s="19"/>
      <c r="L2815" s="19"/>
      <c r="M2815" s="19"/>
      <c r="N2815" s="19"/>
      <c r="O2815" s="19"/>
      <c r="P2815" s="19"/>
      <c r="Q2815" s="19"/>
      <c r="R2815" s="19" t="n">
        <v>34</v>
      </c>
      <c r="S2815" s="19"/>
      <c r="T2815" s="19"/>
      <c r="U2815" s="19"/>
      <c r="V2815" s="19" t="n">
        <v>6</v>
      </c>
      <c r="W2815" s="19"/>
      <c r="X2815" s="19"/>
      <c r="Y2815" s="19"/>
      <c r="Z2815" s="19"/>
      <c r="AA2815" s="19"/>
      <c r="AB2815" s="19"/>
      <c r="AC2815" s="19" t="n">
        <v>18</v>
      </c>
      <c r="AD2815" s="19"/>
      <c r="AE2815" s="19"/>
      <c r="AF2815" s="19"/>
      <c r="AG2815" s="19" t="n">
        <v>3</v>
      </c>
      <c r="AH2815" s="19" t="n">
        <v>19</v>
      </c>
      <c r="AI2815" s="19"/>
      <c r="AJ2815" s="19"/>
      <c r="AK2815" s="19"/>
      <c r="AL2815" s="19" t="n">
        <v>8</v>
      </c>
      <c r="AM2815" s="19" t="n">
        <v>26</v>
      </c>
      <c r="AN2815" s="19" t="n">
        <v>6</v>
      </c>
      <c r="AO2815" s="19"/>
      <c r="AP2815" s="19"/>
      <c r="AQ2815" s="19"/>
      <c r="AR2815" s="19"/>
      <c r="AS2815" s="20" t="str">
        <f aca="false">HYPERLINK("http://www.openstreetmap.org/?mlat=32.116&amp;mlon=45.1141&amp;zoom=12#map=12/32.116/45.1141","Maplink1")</f>
        <v>Maplink1</v>
      </c>
      <c r="AT2815" s="20" t="str">
        <f aca="false">HYPERLINK("https://www.google.iq/maps/search/+32.116,45.1141/@32.116,45.1141,14z?hl=en","Maplink2")</f>
        <v>Maplink2</v>
      </c>
      <c r="AU2815" s="20" t="str">
        <f aca="false">HYPERLINK("http://www.bing.com/maps/?lvl=14&amp;sty=h&amp;cp=32.116~45.1141&amp;sp=point.32.116_45.1141","Maplink3")</f>
        <v>Maplink3</v>
      </c>
    </row>
    <row r="2816" customFormat="false" ht="15" hidden="false" customHeight="true" outlineLevel="0" collapsed="false">
      <c r="A2816" s="15" t="n">
        <v>2576</v>
      </c>
      <c r="B2816" s="16" t="s">
        <v>28</v>
      </c>
      <c r="C2816" s="16" t="s">
        <v>5423</v>
      </c>
      <c r="D2816" s="16" t="s">
        <v>5426</v>
      </c>
      <c r="E2816" s="17" t="s">
        <v>5427</v>
      </c>
      <c r="F2816" s="16" t="n">
        <v>31.970758</v>
      </c>
      <c r="G2816" s="16" t="n">
        <v>45.407781</v>
      </c>
      <c r="H2816" s="18" t="n">
        <v>16</v>
      </c>
      <c r="I2816" s="18" t="n">
        <v>96</v>
      </c>
      <c r="J2816" s="19"/>
      <c r="K2816" s="19"/>
      <c r="L2816" s="19"/>
      <c r="M2816" s="19"/>
      <c r="N2816" s="19"/>
      <c r="O2816" s="19"/>
      <c r="P2816" s="19"/>
      <c r="Q2816" s="19"/>
      <c r="R2816" s="19" t="n">
        <v>16</v>
      </c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 t="n">
        <v>9</v>
      </c>
      <c r="AD2816" s="19"/>
      <c r="AE2816" s="19"/>
      <c r="AF2816" s="19"/>
      <c r="AG2816" s="19"/>
      <c r="AH2816" s="19" t="n">
        <v>7</v>
      </c>
      <c r="AI2816" s="19"/>
      <c r="AJ2816" s="19"/>
      <c r="AK2816" s="19"/>
      <c r="AL2816" s="19"/>
      <c r="AM2816" s="19"/>
      <c r="AN2816" s="19" t="n">
        <v>16</v>
      </c>
      <c r="AO2816" s="19"/>
      <c r="AP2816" s="19"/>
      <c r="AQ2816" s="19"/>
      <c r="AR2816" s="19"/>
      <c r="AS2816" s="20" t="str">
        <f aca="false">HYPERLINK("http://www.openstreetmap.org/?mlat=31.9708&amp;mlon=45.4078&amp;zoom=12#map=12/31.9708/45.4078","Maplink1")</f>
        <v>Maplink1</v>
      </c>
      <c r="AT2816" s="20" t="str">
        <f aca="false">HYPERLINK("https://www.google.iq/maps/search/+31.9708,45.4078/@31.9708,45.4078,14z?hl=en","Maplink2")</f>
        <v>Maplink2</v>
      </c>
      <c r="AU2816" s="20" t="str">
        <f aca="false">HYPERLINK("http://www.bing.com/maps/?lvl=14&amp;sty=h&amp;cp=31.9708~45.4078&amp;sp=point.31.9708_45.4078","Maplink3")</f>
        <v>Maplink3</v>
      </c>
    </row>
    <row r="2817" customFormat="false" ht="15" hidden="false" customHeight="true" outlineLevel="0" collapsed="false">
      <c r="A2817" s="15" t="n">
        <v>2647</v>
      </c>
      <c r="B2817" s="16" t="s">
        <v>28</v>
      </c>
      <c r="C2817" s="16" t="s">
        <v>5423</v>
      </c>
      <c r="D2817" s="16" t="s">
        <v>5428</v>
      </c>
      <c r="E2817" s="17" t="s">
        <v>5429</v>
      </c>
      <c r="F2817" s="16" t="n">
        <v>31.973203</v>
      </c>
      <c r="G2817" s="16" t="n">
        <v>45.410553</v>
      </c>
      <c r="H2817" s="18" t="n">
        <v>10</v>
      </c>
      <c r="I2817" s="18" t="n">
        <v>60</v>
      </c>
      <c r="J2817" s="19"/>
      <c r="K2817" s="19"/>
      <c r="L2817" s="19"/>
      <c r="M2817" s="19"/>
      <c r="N2817" s="19"/>
      <c r="O2817" s="19"/>
      <c r="P2817" s="19"/>
      <c r="Q2817" s="19"/>
      <c r="R2817" s="19" t="n">
        <v>9</v>
      </c>
      <c r="S2817" s="19"/>
      <c r="T2817" s="19"/>
      <c r="U2817" s="19"/>
      <c r="V2817" s="19" t="n">
        <v>1</v>
      </c>
      <c r="W2817" s="19"/>
      <c r="X2817" s="19"/>
      <c r="Y2817" s="19"/>
      <c r="Z2817" s="19"/>
      <c r="AA2817" s="19"/>
      <c r="AB2817" s="19"/>
      <c r="AC2817" s="19" t="n">
        <v>6</v>
      </c>
      <c r="AD2817" s="19"/>
      <c r="AE2817" s="19"/>
      <c r="AF2817" s="19"/>
      <c r="AG2817" s="19"/>
      <c r="AH2817" s="19" t="n">
        <v>4</v>
      </c>
      <c r="AI2817" s="19"/>
      <c r="AJ2817" s="19"/>
      <c r="AK2817" s="19"/>
      <c r="AL2817" s="19"/>
      <c r="AM2817" s="19"/>
      <c r="AN2817" s="19" t="n">
        <v>10</v>
      </c>
      <c r="AO2817" s="19"/>
      <c r="AP2817" s="19"/>
      <c r="AQ2817" s="19"/>
      <c r="AR2817" s="19"/>
      <c r="AS2817" s="20" t="str">
        <f aca="false">HYPERLINK("http://www.openstreetmap.org/?mlat=31.9732&amp;mlon=45.4106&amp;zoom=12#map=12/31.9732/45.4106","Maplink1")</f>
        <v>Maplink1</v>
      </c>
      <c r="AT2817" s="20" t="str">
        <f aca="false">HYPERLINK("https://www.google.iq/maps/search/+31.9732,45.4106/@31.9732,45.4106,14z?hl=en","Maplink2")</f>
        <v>Maplink2</v>
      </c>
      <c r="AU2817" s="20" t="str">
        <f aca="false">HYPERLINK("http://www.bing.com/maps/?lvl=14&amp;sty=h&amp;cp=31.9732~45.4106&amp;sp=point.31.9732_45.4106","Maplink3")</f>
        <v>Maplink3</v>
      </c>
    </row>
    <row r="2818" customFormat="false" ht="15" hidden="false" customHeight="true" outlineLevel="0" collapsed="false">
      <c r="A2818" s="15" t="n">
        <v>3205</v>
      </c>
      <c r="B2818" s="16" t="s">
        <v>28</v>
      </c>
      <c r="C2818" s="16" t="s">
        <v>5423</v>
      </c>
      <c r="D2818" s="16" t="s">
        <v>5430</v>
      </c>
      <c r="E2818" s="17" t="s">
        <v>5431</v>
      </c>
      <c r="F2818" s="16" t="n">
        <v>32.05830844</v>
      </c>
      <c r="G2818" s="16" t="n">
        <v>45.1683926</v>
      </c>
      <c r="H2818" s="18" t="n">
        <v>5</v>
      </c>
      <c r="I2818" s="18" t="n">
        <v>30</v>
      </c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 t="n">
        <v>5</v>
      </c>
      <c r="W2818" s="19"/>
      <c r="X2818" s="19"/>
      <c r="Y2818" s="19"/>
      <c r="Z2818" s="19"/>
      <c r="AA2818" s="19"/>
      <c r="AB2818" s="19"/>
      <c r="AC2818" s="19" t="n">
        <v>2</v>
      </c>
      <c r="AD2818" s="19"/>
      <c r="AE2818" s="19"/>
      <c r="AF2818" s="19"/>
      <c r="AG2818" s="19"/>
      <c r="AH2818" s="19" t="n">
        <v>3</v>
      </c>
      <c r="AI2818" s="19"/>
      <c r="AJ2818" s="19"/>
      <c r="AK2818" s="19"/>
      <c r="AL2818" s="19"/>
      <c r="AM2818" s="19"/>
      <c r="AN2818" s="19" t="n">
        <v>5</v>
      </c>
      <c r="AO2818" s="19"/>
      <c r="AP2818" s="19"/>
      <c r="AQ2818" s="19"/>
      <c r="AR2818" s="19"/>
      <c r="AS2818" s="20" t="str">
        <f aca="false">HYPERLINK("http://www.openstreetmap.org/?mlat=32.0583&amp;mlon=45.1684&amp;zoom=12#map=12/32.0583/45.1684","Maplink1")</f>
        <v>Maplink1</v>
      </c>
      <c r="AT2818" s="20" t="str">
        <f aca="false">HYPERLINK("https://www.google.iq/maps/search/+32.0583,45.1684/@32.0583,45.1684,14z?hl=en","Maplink2")</f>
        <v>Maplink2</v>
      </c>
      <c r="AU2818" s="20" t="str">
        <f aca="false">HYPERLINK("http://www.bing.com/maps/?lvl=14&amp;sty=h&amp;cp=32.0583~45.1684&amp;sp=point.32.0583_45.1684","Maplink3")</f>
        <v>Maplink3</v>
      </c>
    </row>
    <row r="2819" customFormat="false" ht="15" hidden="false" customHeight="true" outlineLevel="0" collapsed="false">
      <c r="A2819" s="15" t="n">
        <v>25381</v>
      </c>
      <c r="B2819" s="16" t="s">
        <v>28</v>
      </c>
      <c r="C2819" s="16" t="s">
        <v>5423</v>
      </c>
      <c r="D2819" s="16" t="s">
        <v>5432</v>
      </c>
      <c r="E2819" s="17" t="s">
        <v>5433</v>
      </c>
      <c r="F2819" s="16" t="n">
        <v>32.03937145</v>
      </c>
      <c r="G2819" s="16" t="n">
        <v>45.12158009</v>
      </c>
      <c r="H2819" s="18" t="n">
        <v>4</v>
      </c>
      <c r="I2819" s="18" t="n">
        <v>24</v>
      </c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 t="n">
        <v>4</v>
      </c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9" t="n">
        <v>4</v>
      </c>
      <c r="AH2819" s="19"/>
      <c r="AI2819" s="19"/>
      <c r="AJ2819" s="19"/>
      <c r="AK2819" s="19"/>
      <c r="AL2819" s="19"/>
      <c r="AM2819" s="19"/>
      <c r="AN2819" s="19" t="n">
        <v>4</v>
      </c>
      <c r="AO2819" s="19"/>
      <c r="AP2819" s="19"/>
      <c r="AQ2819" s="19"/>
      <c r="AR2819" s="19"/>
      <c r="AS2819" s="20" t="str">
        <f aca="false">HYPERLINK("http://www.openstreetmap.org/?mlat=32.0394&amp;mlon=45.1216&amp;zoom=12#map=12/32.0394/45.1216","Maplink1")</f>
        <v>Maplink1</v>
      </c>
      <c r="AT2819" s="20" t="str">
        <f aca="false">HYPERLINK("https://www.google.iq/maps/search/+32.0394,45.1216/@32.0394,45.1216,14z?hl=en","Maplink2")</f>
        <v>Maplink2</v>
      </c>
      <c r="AU2819" s="20" t="str">
        <f aca="false">HYPERLINK("http://www.bing.com/maps/?lvl=14&amp;sty=h&amp;cp=32.0394~45.1216&amp;sp=point.32.0394_45.1216","Maplink3")</f>
        <v>Maplink3</v>
      </c>
    </row>
    <row r="2820" customFormat="false" ht="15" hidden="false" customHeight="true" outlineLevel="0" collapsed="false">
      <c r="A2820" s="15" t="n">
        <v>3392</v>
      </c>
      <c r="B2820" s="16" t="s">
        <v>28</v>
      </c>
      <c r="C2820" s="16" t="s">
        <v>5423</v>
      </c>
      <c r="D2820" s="16" t="s">
        <v>5434</v>
      </c>
      <c r="E2820" s="17" t="s">
        <v>5435</v>
      </c>
      <c r="F2820" s="16" t="n">
        <v>32.05352266</v>
      </c>
      <c r="G2820" s="16" t="n">
        <v>45.23125579</v>
      </c>
      <c r="H2820" s="18" t="n">
        <v>30</v>
      </c>
      <c r="I2820" s="18" t="n">
        <v>180</v>
      </c>
      <c r="J2820" s="19" t="n">
        <v>5</v>
      </c>
      <c r="K2820" s="19"/>
      <c r="L2820" s="19"/>
      <c r="M2820" s="19"/>
      <c r="N2820" s="19"/>
      <c r="O2820" s="19"/>
      <c r="P2820" s="19"/>
      <c r="Q2820" s="19"/>
      <c r="R2820" s="19" t="n">
        <v>17</v>
      </c>
      <c r="S2820" s="19"/>
      <c r="T2820" s="19"/>
      <c r="U2820" s="19"/>
      <c r="V2820" s="19" t="n">
        <v>8</v>
      </c>
      <c r="W2820" s="19"/>
      <c r="X2820" s="19"/>
      <c r="Y2820" s="19"/>
      <c r="Z2820" s="19"/>
      <c r="AA2820" s="19"/>
      <c r="AB2820" s="19"/>
      <c r="AC2820" s="19" t="n">
        <v>9</v>
      </c>
      <c r="AD2820" s="19"/>
      <c r="AE2820" s="19"/>
      <c r="AF2820" s="19"/>
      <c r="AG2820" s="19" t="n">
        <v>4</v>
      </c>
      <c r="AH2820" s="19" t="n">
        <v>16</v>
      </c>
      <c r="AI2820" s="19"/>
      <c r="AJ2820" s="19" t="n">
        <v>1</v>
      </c>
      <c r="AK2820" s="19"/>
      <c r="AL2820" s="19"/>
      <c r="AM2820" s="19" t="n">
        <v>17</v>
      </c>
      <c r="AN2820" s="19" t="n">
        <v>8</v>
      </c>
      <c r="AO2820" s="19" t="n">
        <v>5</v>
      </c>
      <c r="AP2820" s="19"/>
      <c r="AQ2820" s="19"/>
      <c r="AR2820" s="19"/>
      <c r="AS2820" s="20" t="str">
        <f aca="false">HYPERLINK("http://www.openstreetmap.org/?mlat=32.0535&amp;mlon=45.2313&amp;zoom=12#map=12/32.0535/45.2313","Maplink1")</f>
        <v>Maplink1</v>
      </c>
      <c r="AT2820" s="20" t="str">
        <f aca="false">HYPERLINK("https://www.google.iq/maps/search/+32.0535,45.2313/@32.0535,45.2313,14z?hl=en","Maplink2")</f>
        <v>Maplink2</v>
      </c>
      <c r="AU2820" s="20" t="str">
        <f aca="false">HYPERLINK("http://www.bing.com/maps/?lvl=14&amp;sty=h&amp;cp=32.0535~45.2313&amp;sp=point.32.0535_45.2313","Maplink3")</f>
        <v>Maplink3</v>
      </c>
    </row>
    <row r="2821" customFormat="false" ht="15" hidden="false" customHeight="true" outlineLevel="0" collapsed="false">
      <c r="A2821" s="15" t="n">
        <v>24601</v>
      </c>
      <c r="B2821" s="16" t="s">
        <v>28</v>
      </c>
      <c r="C2821" s="16" t="s">
        <v>5423</v>
      </c>
      <c r="D2821" s="16" t="s">
        <v>5436</v>
      </c>
      <c r="E2821" s="17" t="s">
        <v>5437</v>
      </c>
      <c r="F2821" s="16" t="n">
        <v>32.15248335</v>
      </c>
      <c r="G2821" s="16" t="n">
        <v>45.00582928</v>
      </c>
      <c r="H2821" s="18" t="n">
        <v>20</v>
      </c>
      <c r="I2821" s="18" t="n">
        <v>120</v>
      </c>
      <c r="J2821" s="19"/>
      <c r="K2821" s="19"/>
      <c r="L2821" s="19" t="n">
        <v>1</v>
      </c>
      <c r="M2821" s="19"/>
      <c r="N2821" s="19"/>
      <c r="O2821" s="19"/>
      <c r="P2821" s="19"/>
      <c r="Q2821" s="19"/>
      <c r="R2821" s="19"/>
      <c r="S2821" s="19"/>
      <c r="T2821" s="19"/>
      <c r="U2821" s="19"/>
      <c r="V2821" s="19" t="n">
        <v>19</v>
      </c>
      <c r="W2821" s="19"/>
      <c r="X2821" s="19"/>
      <c r="Y2821" s="19"/>
      <c r="Z2821" s="19"/>
      <c r="AA2821" s="19"/>
      <c r="AB2821" s="19"/>
      <c r="AC2821" s="19" t="n">
        <v>6</v>
      </c>
      <c r="AD2821" s="19"/>
      <c r="AE2821" s="19"/>
      <c r="AF2821" s="19"/>
      <c r="AG2821" s="19"/>
      <c r="AH2821" s="19" t="n">
        <v>14</v>
      </c>
      <c r="AI2821" s="19"/>
      <c r="AJ2821" s="19"/>
      <c r="AK2821" s="19"/>
      <c r="AL2821" s="19" t="n">
        <v>1</v>
      </c>
      <c r="AM2821" s="19"/>
      <c r="AN2821" s="19" t="n">
        <v>19</v>
      </c>
      <c r="AO2821" s="19"/>
      <c r="AP2821" s="19"/>
      <c r="AQ2821" s="19"/>
      <c r="AR2821" s="19"/>
      <c r="AS2821" s="20" t="str">
        <f aca="false">HYPERLINK("http://www.openstreetmap.org/?mlat=32.1525&amp;mlon=45.0058&amp;zoom=12#map=12/32.1525/45.0058","Maplink1")</f>
        <v>Maplink1</v>
      </c>
      <c r="AT2821" s="20" t="str">
        <f aca="false">HYPERLINK("https://www.google.iq/maps/search/+32.1525,45.0058/@32.1525,45.0058,14z?hl=en","Maplink2")</f>
        <v>Maplink2</v>
      </c>
      <c r="AU2821" s="20" t="str">
        <f aca="false">HYPERLINK("http://www.bing.com/maps/?lvl=14&amp;sty=h&amp;cp=32.1525~45.0058&amp;sp=point.32.1525_45.0058","Maplink3")</f>
        <v>Maplink3</v>
      </c>
    </row>
    <row r="2822" customFormat="false" ht="15" hidden="false" customHeight="true" outlineLevel="0" collapsed="false">
      <c r="A2822" s="15" t="n">
        <v>3116</v>
      </c>
      <c r="B2822" s="16" t="s">
        <v>28</v>
      </c>
      <c r="C2822" s="16" t="s">
        <v>5423</v>
      </c>
      <c r="D2822" s="16" t="s">
        <v>5438</v>
      </c>
      <c r="E2822" s="17" t="s">
        <v>5439</v>
      </c>
      <c r="F2822" s="16" t="n">
        <v>32.05780447</v>
      </c>
      <c r="G2822" s="16" t="n">
        <v>45.16290028</v>
      </c>
      <c r="H2822" s="18" t="n">
        <v>9</v>
      </c>
      <c r="I2822" s="18" t="n">
        <v>54</v>
      </c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 t="n">
        <v>9</v>
      </c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9" t="n">
        <v>6</v>
      </c>
      <c r="AH2822" s="19" t="n">
        <v>3</v>
      </c>
      <c r="AI2822" s="19"/>
      <c r="AJ2822" s="19"/>
      <c r="AK2822" s="19"/>
      <c r="AL2822" s="19"/>
      <c r="AM2822" s="19" t="n">
        <v>2</v>
      </c>
      <c r="AN2822" s="19" t="n">
        <v>7</v>
      </c>
      <c r="AO2822" s="19"/>
      <c r="AP2822" s="19"/>
      <c r="AQ2822" s="19"/>
      <c r="AR2822" s="19"/>
      <c r="AS2822" s="20" t="str">
        <f aca="false">HYPERLINK("http://www.openstreetmap.org/?mlat=32.0578&amp;mlon=45.1629&amp;zoom=12#map=12/32.0578/45.1629","Maplink1")</f>
        <v>Maplink1</v>
      </c>
      <c r="AT2822" s="20" t="str">
        <f aca="false">HYPERLINK("https://www.google.iq/maps/search/+32.0578,45.1629/@32.0578,45.1629,14z?hl=en","Maplink2")</f>
        <v>Maplink2</v>
      </c>
      <c r="AU2822" s="20" t="str">
        <f aca="false">HYPERLINK("http://www.bing.com/maps/?lvl=14&amp;sty=h&amp;cp=32.0578~45.1629&amp;sp=point.32.0578_45.1629","Maplink3")</f>
        <v>Maplink3</v>
      </c>
    </row>
    <row r="2823" customFormat="false" ht="15" hidden="false" customHeight="true" outlineLevel="0" collapsed="false">
      <c r="A2823" s="15" t="n">
        <v>3109</v>
      </c>
      <c r="B2823" s="16" t="s">
        <v>28</v>
      </c>
      <c r="C2823" s="16" t="s">
        <v>5423</v>
      </c>
      <c r="D2823" s="16" t="s">
        <v>5440</v>
      </c>
      <c r="E2823" s="17" t="s">
        <v>4197</v>
      </c>
      <c r="F2823" s="16" t="n">
        <v>32.05533923</v>
      </c>
      <c r="G2823" s="16" t="n">
        <v>45.15208293</v>
      </c>
      <c r="H2823" s="18" t="n">
        <v>5</v>
      </c>
      <c r="I2823" s="18" t="n">
        <v>30</v>
      </c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 t="n">
        <v>5</v>
      </c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9" t="n">
        <v>4</v>
      </c>
      <c r="AH2823" s="19" t="n">
        <v>1</v>
      </c>
      <c r="AI2823" s="19"/>
      <c r="AJ2823" s="19"/>
      <c r="AK2823" s="19"/>
      <c r="AL2823" s="19"/>
      <c r="AM2823" s="19"/>
      <c r="AN2823" s="19" t="n">
        <v>5</v>
      </c>
      <c r="AO2823" s="19"/>
      <c r="AP2823" s="19"/>
      <c r="AQ2823" s="19"/>
      <c r="AR2823" s="19"/>
      <c r="AS2823" s="20" t="str">
        <f aca="false">HYPERLINK("http://www.openstreetmap.org/?mlat=32.0553&amp;mlon=45.1521&amp;zoom=12#map=12/32.0553/45.1521","Maplink1")</f>
        <v>Maplink1</v>
      </c>
      <c r="AT2823" s="20" t="str">
        <f aca="false">HYPERLINK("https://www.google.iq/maps/search/+32.0553,45.1521/@32.0553,45.1521,14z?hl=en","Maplink2")</f>
        <v>Maplink2</v>
      </c>
      <c r="AU2823" s="20" t="str">
        <f aca="false">HYPERLINK("http://www.bing.com/maps/?lvl=14&amp;sty=h&amp;cp=32.0553~45.1521&amp;sp=point.32.0553_45.1521","Maplink3")</f>
        <v>Maplink3</v>
      </c>
    </row>
    <row r="2824" customFormat="false" ht="15" hidden="false" customHeight="true" outlineLevel="0" collapsed="false">
      <c r="A2824" s="15" t="n">
        <v>25504</v>
      </c>
      <c r="B2824" s="16" t="s">
        <v>28</v>
      </c>
      <c r="C2824" s="16" t="s">
        <v>5423</v>
      </c>
      <c r="D2824" s="16" t="s">
        <v>5441</v>
      </c>
      <c r="E2824" s="17" t="s">
        <v>5442</v>
      </c>
      <c r="F2824" s="16" t="n">
        <v>32.05648282</v>
      </c>
      <c r="G2824" s="16" t="n">
        <v>45.1982295</v>
      </c>
      <c r="H2824" s="18" t="n">
        <v>26</v>
      </c>
      <c r="I2824" s="18" t="n">
        <v>156</v>
      </c>
      <c r="J2824" s="19" t="n">
        <v>4</v>
      </c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 t="n">
        <v>22</v>
      </c>
      <c r="W2824" s="19"/>
      <c r="X2824" s="19"/>
      <c r="Y2824" s="19"/>
      <c r="Z2824" s="19"/>
      <c r="AA2824" s="19"/>
      <c r="AB2824" s="19"/>
      <c r="AC2824" s="19" t="n">
        <v>6</v>
      </c>
      <c r="AD2824" s="19"/>
      <c r="AE2824" s="19"/>
      <c r="AF2824" s="19"/>
      <c r="AG2824" s="19" t="n">
        <v>14</v>
      </c>
      <c r="AH2824" s="19" t="n">
        <v>6</v>
      </c>
      <c r="AI2824" s="19"/>
      <c r="AJ2824" s="19"/>
      <c r="AK2824" s="19"/>
      <c r="AL2824" s="19"/>
      <c r="AM2824" s="19" t="n">
        <v>10</v>
      </c>
      <c r="AN2824" s="19" t="n">
        <v>12</v>
      </c>
      <c r="AO2824" s="19" t="n">
        <v>2</v>
      </c>
      <c r="AP2824" s="19" t="n">
        <v>2</v>
      </c>
      <c r="AQ2824" s="19"/>
      <c r="AR2824" s="19"/>
      <c r="AS2824" s="20" t="str">
        <f aca="false">HYPERLINK("http://www.openstreetmap.org/?mlat=32.0565&amp;mlon=45.1982&amp;zoom=12#map=12/32.0565/45.1982","Maplink1")</f>
        <v>Maplink1</v>
      </c>
      <c r="AT2824" s="20" t="str">
        <f aca="false">HYPERLINK("https://www.google.iq/maps/search/+32.0565,45.1982/@32.0565,45.1982,14z?hl=en","Maplink2")</f>
        <v>Maplink2</v>
      </c>
      <c r="AU2824" s="20" t="str">
        <f aca="false">HYPERLINK("http://www.bing.com/maps/?lvl=14&amp;sty=h&amp;cp=32.0565~45.1982&amp;sp=point.32.0565_45.1982","Maplink3")</f>
        <v>Maplink3</v>
      </c>
    </row>
    <row r="2825" customFormat="false" ht="15" hidden="false" customHeight="true" outlineLevel="0" collapsed="false">
      <c r="A2825" s="15" t="n">
        <v>2618</v>
      </c>
      <c r="B2825" s="16" t="s">
        <v>28</v>
      </c>
      <c r="C2825" s="16" t="s">
        <v>5423</v>
      </c>
      <c r="D2825" s="16" t="s">
        <v>5443</v>
      </c>
      <c r="E2825" s="17" t="s">
        <v>5444</v>
      </c>
      <c r="F2825" s="16" t="n">
        <v>31.96886</v>
      </c>
      <c r="G2825" s="16" t="n">
        <v>45.403773</v>
      </c>
      <c r="H2825" s="18" t="n">
        <v>12</v>
      </c>
      <c r="I2825" s="18" t="n">
        <v>72</v>
      </c>
      <c r="J2825" s="19" t="n">
        <v>1</v>
      </c>
      <c r="K2825" s="19"/>
      <c r="L2825" s="19"/>
      <c r="M2825" s="19"/>
      <c r="N2825" s="19"/>
      <c r="O2825" s="19"/>
      <c r="P2825" s="19"/>
      <c r="Q2825" s="19"/>
      <c r="R2825" s="19" t="n">
        <v>6</v>
      </c>
      <c r="S2825" s="19"/>
      <c r="T2825" s="19"/>
      <c r="U2825" s="19"/>
      <c r="V2825" s="19"/>
      <c r="W2825" s="19"/>
      <c r="X2825" s="19" t="n">
        <v>5</v>
      </c>
      <c r="Y2825" s="19"/>
      <c r="Z2825" s="19"/>
      <c r="AA2825" s="19"/>
      <c r="AB2825" s="19"/>
      <c r="AC2825" s="19" t="n">
        <v>9</v>
      </c>
      <c r="AD2825" s="19"/>
      <c r="AE2825" s="19"/>
      <c r="AF2825" s="19"/>
      <c r="AG2825" s="19"/>
      <c r="AH2825" s="19" t="n">
        <v>3</v>
      </c>
      <c r="AI2825" s="19"/>
      <c r="AJ2825" s="19"/>
      <c r="AK2825" s="19"/>
      <c r="AL2825" s="19"/>
      <c r="AM2825" s="19"/>
      <c r="AN2825" s="19" t="n">
        <v>11</v>
      </c>
      <c r="AO2825" s="19"/>
      <c r="AP2825" s="19" t="n">
        <v>1</v>
      </c>
      <c r="AQ2825" s="19"/>
      <c r="AR2825" s="19"/>
      <c r="AS2825" s="20" t="str">
        <f aca="false">HYPERLINK("http://www.openstreetmap.org/?mlat=31.9689&amp;mlon=45.4038&amp;zoom=12#map=12/31.9689/45.4038","Maplink1")</f>
        <v>Maplink1</v>
      </c>
      <c r="AT2825" s="20" t="str">
        <f aca="false">HYPERLINK("https://www.google.iq/maps/search/+31.9689,45.4038/@31.9689,45.4038,14z?hl=en","Maplink2")</f>
        <v>Maplink2</v>
      </c>
      <c r="AU2825" s="20" t="str">
        <f aca="false">HYPERLINK("http://www.bing.com/maps/?lvl=14&amp;sty=h&amp;cp=31.9689~45.4038&amp;sp=point.31.9689_45.4038","Maplink3")</f>
        <v>Maplink3</v>
      </c>
    </row>
    <row r="2826" customFormat="false" ht="15" hidden="false" customHeight="true" outlineLevel="0" collapsed="false">
      <c r="A2826" s="15" t="n">
        <v>3035</v>
      </c>
      <c r="B2826" s="16" t="s">
        <v>28</v>
      </c>
      <c r="C2826" s="16" t="s">
        <v>5423</v>
      </c>
      <c r="D2826" s="16" t="s">
        <v>5445</v>
      </c>
      <c r="E2826" s="17" t="s">
        <v>5446</v>
      </c>
      <c r="F2826" s="16" t="n">
        <v>32.0417082</v>
      </c>
      <c r="G2826" s="16" t="n">
        <v>45.12804799</v>
      </c>
      <c r="H2826" s="18" t="n">
        <v>6</v>
      </c>
      <c r="I2826" s="18" t="n">
        <v>36</v>
      </c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 t="n">
        <v>6</v>
      </c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9" t="n">
        <v>6</v>
      </c>
      <c r="AH2826" s="19"/>
      <c r="AI2826" s="19"/>
      <c r="AJ2826" s="19"/>
      <c r="AK2826" s="19"/>
      <c r="AL2826" s="19"/>
      <c r="AM2826" s="19"/>
      <c r="AN2826" s="19" t="n">
        <v>6</v>
      </c>
      <c r="AO2826" s="19"/>
      <c r="AP2826" s="19"/>
      <c r="AQ2826" s="19"/>
      <c r="AR2826" s="19"/>
      <c r="AS2826" s="20" t="str">
        <f aca="false">HYPERLINK("http://www.openstreetmap.org/?mlat=32.0417&amp;mlon=45.128&amp;zoom=12#map=12/32.0417/45.128","Maplink1")</f>
        <v>Maplink1</v>
      </c>
      <c r="AT2826" s="20" t="str">
        <f aca="false">HYPERLINK("https://www.google.iq/maps/search/+32.0417,45.128/@32.0417,45.128,14z?hl=en","Maplink2")</f>
        <v>Maplink2</v>
      </c>
      <c r="AU2826" s="20" t="str">
        <f aca="false">HYPERLINK("http://www.bing.com/maps/?lvl=14&amp;sty=h&amp;cp=32.0417~45.128&amp;sp=point.32.0417_45.128","Maplink3")</f>
        <v>Maplink3</v>
      </c>
    </row>
    <row r="2827" customFormat="false" ht="15" hidden="false" customHeight="true" outlineLevel="0" collapsed="false">
      <c r="A2827" s="15" t="n">
        <v>24287</v>
      </c>
      <c r="B2827" s="16" t="s">
        <v>28</v>
      </c>
      <c r="C2827" s="16" t="s">
        <v>5423</v>
      </c>
      <c r="D2827" s="16" t="s">
        <v>5447</v>
      </c>
      <c r="E2827" s="17" t="s">
        <v>5448</v>
      </c>
      <c r="F2827" s="16" t="n">
        <v>31.96760149</v>
      </c>
      <c r="G2827" s="16" t="n">
        <v>45.40644913</v>
      </c>
      <c r="H2827" s="18" t="n">
        <v>24</v>
      </c>
      <c r="I2827" s="18" t="n">
        <v>144</v>
      </c>
      <c r="J2827" s="19" t="n">
        <v>2</v>
      </c>
      <c r="K2827" s="19"/>
      <c r="L2827" s="19" t="n">
        <v>1</v>
      </c>
      <c r="M2827" s="19"/>
      <c r="N2827" s="19"/>
      <c r="O2827" s="19"/>
      <c r="P2827" s="19"/>
      <c r="Q2827" s="19"/>
      <c r="R2827" s="19" t="n">
        <v>6</v>
      </c>
      <c r="S2827" s="19"/>
      <c r="T2827" s="19"/>
      <c r="U2827" s="19"/>
      <c r="V2827" s="19" t="n">
        <v>15</v>
      </c>
      <c r="W2827" s="19"/>
      <c r="X2827" s="19"/>
      <c r="Y2827" s="19"/>
      <c r="Z2827" s="19"/>
      <c r="AA2827" s="19"/>
      <c r="AB2827" s="19"/>
      <c r="AC2827" s="19" t="n">
        <v>15</v>
      </c>
      <c r="AD2827" s="19"/>
      <c r="AE2827" s="19"/>
      <c r="AF2827" s="19"/>
      <c r="AG2827" s="19"/>
      <c r="AH2827" s="19" t="n">
        <v>9</v>
      </c>
      <c r="AI2827" s="19"/>
      <c r="AJ2827" s="19"/>
      <c r="AK2827" s="19"/>
      <c r="AL2827" s="19"/>
      <c r="AM2827" s="19" t="n">
        <v>15</v>
      </c>
      <c r="AN2827" s="19" t="n">
        <v>6</v>
      </c>
      <c r="AO2827" s="19" t="n">
        <v>3</v>
      </c>
      <c r="AP2827" s="19"/>
      <c r="AQ2827" s="19"/>
      <c r="AR2827" s="19"/>
      <c r="AS2827" s="20" t="str">
        <f aca="false">HYPERLINK("http://www.openstreetmap.org/?mlat=31.9676&amp;mlon=45.4064&amp;zoom=12#map=12/31.9676/45.4064","Maplink1")</f>
        <v>Maplink1</v>
      </c>
      <c r="AT2827" s="20" t="str">
        <f aca="false">HYPERLINK("https://www.google.iq/maps/search/+31.9676,45.4064/@31.9676,45.4064,14z?hl=en","Maplink2")</f>
        <v>Maplink2</v>
      </c>
      <c r="AU2827" s="20" t="str">
        <f aca="false">HYPERLINK("http://www.bing.com/maps/?lvl=14&amp;sty=h&amp;cp=31.9676~45.4064&amp;sp=point.31.9676_45.4064","Maplink3")</f>
        <v>Maplink3</v>
      </c>
    </row>
    <row r="2828" customFormat="false" ht="15" hidden="false" customHeight="true" outlineLevel="0" collapsed="false">
      <c r="A2828" s="15" t="n">
        <v>22751</v>
      </c>
      <c r="B2828" s="16" t="s">
        <v>28</v>
      </c>
      <c r="C2828" s="16" t="s">
        <v>5423</v>
      </c>
      <c r="D2828" s="16" t="s">
        <v>5449</v>
      </c>
      <c r="E2828" s="17" t="s">
        <v>5450</v>
      </c>
      <c r="F2828" s="16" t="n">
        <v>32.15224707</v>
      </c>
      <c r="G2828" s="16" t="n">
        <v>45.00407771</v>
      </c>
      <c r="H2828" s="18" t="n">
        <v>21</v>
      </c>
      <c r="I2828" s="18" t="n">
        <v>126</v>
      </c>
      <c r="J2828" s="19" t="n">
        <v>1</v>
      </c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 t="n">
        <v>20</v>
      </c>
      <c r="W2828" s="19"/>
      <c r="X2828" s="19"/>
      <c r="Y2828" s="19"/>
      <c r="Z2828" s="19"/>
      <c r="AA2828" s="19"/>
      <c r="AB2828" s="19"/>
      <c r="AC2828" s="19" t="n">
        <v>9</v>
      </c>
      <c r="AD2828" s="19"/>
      <c r="AE2828" s="19"/>
      <c r="AF2828" s="19"/>
      <c r="AG2828" s="19"/>
      <c r="AH2828" s="19" t="n">
        <v>12</v>
      </c>
      <c r="AI2828" s="19"/>
      <c r="AJ2828" s="19"/>
      <c r="AK2828" s="19"/>
      <c r="AL2828" s="19"/>
      <c r="AM2828" s="19" t="n">
        <v>3</v>
      </c>
      <c r="AN2828" s="19" t="n">
        <v>17</v>
      </c>
      <c r="AO2828" s="19" t="n">
        <v>1</v>
      </c>
      <c r="AP2828" s="19"/>
      <c r="AQ2828" s="19"/>
      <c r="AR2828" s="19"/>
      <c r="AS2828" s="20" t="str">
        <f aca="false">HYPERLINK("http://www.openstreetmap.org/?mlat=32.1522&amp;mlon=45.0041&amp;zoom=12#map=12/32.1522/45.0041","Maplink1")</f>
        <v>Maplink1</v>
      </c>
      <c r="AT2828" s="20" t="str">
        <f aca="false">HYPERLINK("https://www.google.iq/maps/search/+32.1522,45.0041/@32.1522,45.0041,14z?hl=en","Maplink2")</f>
        <v>Maplink2</v>
      </c>
      <c r="AU2828" s="20" t="str">
        <f aca="false">HYPERLINK("http://www.bing.com/maps/?lvl=14&amp;sty=h&amp;cp=32.1522~45.0041&amp;sp=point.32.1522_45.0041","Maplink3")</f>
        <v>Maplink3</v>
      </c>
    </row>
    <row r="2829" customFormat="false" ht="15" hidden="false" customHeight="true" outlineLevel="0" collapsed="false">
      <c r="A2829" s="15" t="n">
        <v>24288</v>
      </c>
      <c r="B2829" s="16" t="s">
        <v>28</v>
      </c>
      <c r="C2829" s="16" t="s">
        <v>5423</v>
      </c>
      <c r="D2829" s="16" t="s">
        <v>445</v>
      </c>
      <c r="E2829" s="17" t="s">
        <v>2027</v>
      </c>
      <c r="F2829" s="16" t="n">
        <v>32.06286434</v>
      </c>
      <c r="G2829" s="16" t="n">
        <v>45.23381336</v>
      </c>
      <c r="H2829" s="18" t="n">
        <v>29</v>
      </c>
      <c r="I2829" s="18" t="n">
        <v>174</v>
      </c>
      <c r="J2829" s="19" t="n">
        <v>6</v>
      </c>
      <c r="K2829" s="19"/>
      <c r="L2829" s="19"/>
      <c r="M2829" s="19"/>
      <c r="N2829" s="19"/>
      <c r="O2829" s="19"/>
      <c r="P2829" s="19"/>
      <c r="Q2829" s="19"/>
      <c r="R2829" s="19" t="n">
        <v>6</v>
      </c>
      <c r="S2829" s="19"/>
      <c r="T2829" s="19"/>
      <c r="U2829" s="19"/>
      <c r="V2829" s="19" t="n">
        <v>17</v>
      </c>
      <c r="W2829" s="19"/>
      <c r="X2829" s="19"/>
      <c r="Y2829" s="19"/>
      <c r="Z2829" s="19"/>
      <c r="AA2829" s="19"/>
      <c r="AB2829" s="19"/>
      <c r="AC2829" s="19" t="n">
        <v>6</v>
      </c>
      <c r="AD2829" s="19"/>
      <c r="AE2829" s="19"/>
      <c r="AF2829" s="19"/>
      <c r="AG2829" s="19" t="n">
        <v>7</v>
      </c>
      <c r="AH2829" s="19" t="n">
        <v>14</v>
      </c>
      <c r="AI2829" s="19"/>
      <c r="AJ2829" s="19" t="n">
        <v>2</v>
      </c>
      <c r="AK2829" s="19"/>
      <c r="AL2829" s="19"/>
      <c r="AM2829" s="19" t="n">
        <v>6</v>
      </c>
      <c r="AN2829" s="19" t="n">
        <v>18</v>
      </c>
      <c r="AO2829" s="19" t="n">
        <v>3</v>
      </c>
      <c r="AP2829" s="19" t="n">
        <v>2</v>
      </c>
      <c r="AQ2829" s="19"/>
      <c r="AR2829" s="19"/>
      <c r="AS2829" s="20" t="str">
        <f aca="false">HYPERLINK("http://www.openstreetmap.org/?mlat=32.0629&amp;mlon=45.2338&amp;zoom=12#map=12/32.0629/45.2338","Maplink1")</f>
        <v>Maplink1</v>
      </c>
      <c r="AT2829" s="20" t="str">
        <f aca="false">HYPERLINK("https://www.google.iq/maps/search/+32.0629,45.2338/@32.0629,45.2338,14z?hl=en","Maplink2")</f>
        <v>Maplink2</v>
      </c>
      <c r="AU2829" s="20" t="str">
        <f aca="false">HYPERLINK("http://www.bing.com/maps/?lvl=14&amp;sty=h&amp;cp=32.0629~45.2338&amp;sp=point.32.0629_45.2338","Maplink3")</f>
        <v>Maplink3</v>
      </c>
    </row>
    <row r="2830" customFormat="false" ht="15" hidden="false" customHeight="true" outlineLevel="0" collapsed="false">
      <c r="A2830" s="15" t="n">
        <v>3362</v>
      </c>
      <c r="B2830" s="16" t="s">
        <v>28</v>
      </c>
      <c r="C2830" s="16" t="s">
        <v>5423</v>
      </c>
      <c r="D2830" s="16" t="s">
        <v>299</v>
      </c>
      <c r="E2830" s="17" t="s">
        <v>449</v>
      </c>
      <c r="F2830" s="16" t="n">
        <v>32.06414094</v>
      </c>
      <c r="G2830" s="16" t="n">
        <v>45.23790557</v>
      </c>
      <c r="H2830" s="18" t="n">
        <v>26</v>
      </c>
      <c r="I2830" s="18" t="n">
        <v>156</v>
      </c>
      <c r="J2830" s="19" t="n">
        <v>14</v>
      </c>
      <c r="K2830" s="19"/>
      <c r="L2830" s="19" t="n">
        <v>2</v>
      </c>
      <c r="M2830" s="19"/>
      <c r="N2830" s="19"/>
      <c r="O2830" s="19"/>
      <c r="P2830" s="19"/>
      <c r="Q2830" s="19"/>
      <c r="R2830" s="19" t="n">
        <v>6</v>
      </c>
      <c r="S2830" s="19"/>
      <c r="T2830" s="19"/>
      <c r="U2830" s="19"/>
      <c r="V2830" s="19" t="n">
        <v>4</v>
      </c>
      <c r="W2830" s="19"/>
      <c r="X2830" s="19"/>
      <c r="Y2830" s="19"/>
      <c r="Z2830" s="19"/>
      <c r="AA2830" s="19"/>
      <c r="AB2830" s="19"/>
      <c r="AC2830" s="19" t="n">
        <v>5</v>
      </c>
      <c r="AD2830" s="19"/>
      <c r="AE2830" s="19"/>
      <c r="AF2830" s="19"/>
      <c r="AG2830" s="19"/>
      <c r="AH2830" s="19" t="n">
        <v>21</v>
      </c>
      <c r="AI2830" s="19"/>
      <c r="AJ2830" s="19"/>
      <c r="AK2830" s="19"/>
      <c r="AL2830" s="19"/>
      <c r="AM2830" s="19" t="n">
        <v>9</v>
      </c>
      <c r="AN2830" s="19" t="n">
        <v>11</v>
      </c>
      <c r="AO2830" s="19" t="n">
        <v>4</v>
      </c>
      <c r="AP2830" s="19" t="n">
        <v>2</v>
      </c>
      <c r="AQ2830" s="19"/>
      <c r="AR2830" s="19"/>
      <c r="AS2830" s="20" t="str">
        <f aca="false">HYPERLINK("http://www.openstreetmap.org/?mlat=32.0641&amp;mlon=45.2379&amp;zoom=12#map=12/32.0641/45.2379","Maplink1")</f>
        <v>Maplink1</v>
      </c>
      <c r="AT2830" s="20" t="str">
        <f aca="false">HYPERLINK("https://www.google.iq/maps/search/+32.0641,45.2379/@32.0641,45.2379,14z?hl=en","Maplink2")</f>
        <v>Maplink2</v>
      </c>
      <c r="AU2830" s="20" t="str">
        <f aca="false">HYPERLINK("http://www.bing.com/maps/?lvl=14&amp;sty=h&amp;cp=32.0641~45.2379&amp;sp=point.32.0641_45.2379","Maplink3")</f>
        <v>Maplink3</v>
      </c>
    </row>
    <row r="2831" customFormat="false" ht="15" hidden="false" customHeight="true" outlineLevel="0" collapsed="false">
      <c r="A2831" s="15" t="n">
        <v>25502</v>
      </c>
      <c r="B2831" s="16" t="s">
        <v>28</v>
      </c>
      <c r="C2831" s="16" t="s">
        <v>5423</v>
      </c>
      <c r="D2831" s="16" t="s">
        <v>2103</v>
      </c>
      <c r="E2831" s="17" t="s">
        <v>79</v>
      </c>
      <c r="F2831" s="16" t="n">
        <v>32.14677917</v>
      </c>
      <c r="G2831" s="16" t="n">
        <v>44.99529499</v>
      </c>
      <c r="H2831" s="18" t="n">
        <v>20</v>
      </c>
      <c r="I2831" s="18" t="n">
        <v>120</v>
      </c>
      <c r="J2831" s="19" t="n">
        <v>5</v>
      </c>
      <c r="K2831" s="19"/>
      <c r="L2831" s="19" t="n">
        <v>1</v>
      </c>
      <c r="M2831" s="19"/>
      <c r="N2831" s="19"/>
      <c r="O2831" s="19"/>
      <c r="P2831" s="19"/>
      <c r="Q2831" s="19"/>
      <c r="R2831" s="19"/>
      <c r="S2831" s="19"/>
      <c r="T2831" s="19"/>
      <c r="U2831" s="19"/>
      <c r="V2831" s="19" t="n">
        <v>14</v>
      </c>
      <c r="W2831" s="19"/>
      <c r="X2831" s="19"/>
      <c r="Y2831" s="19"/>
      <c r="Z2831" s="19"/>
      <c r="AA2831" s="19"/>
      <c r="AB2831" s="19"/>
      <c r="AC2831" s="19" t="n">
        <v>1</v>
      </c>
      <c r="AD2831" s="19"/>
      <c r="AE2831" s="19"/>
      <c r="AF2831" s="19"/>
      <c r="AG2831" s="19" t="n">
        <v>2</v>
      </c>
      <c r="AH2831" s="19" t="n">
        <v>17</v>
      </c>
      <c r="AI2831" s="19"/>
      <c r="AJ2831" s="19"/>
      <c r="AK2831" s="19"/>
      <c r="AL2831" s="19"/>
      <c r="AM2831" s="19"/>
      <c r="AN2831" s="19" t="n">
        <v>15</v>
      </c>
      <c r="AO2831" s="19"/>
      <c r="AP2831" s="19" t="n">
        <v>5</v>
      </c>
      <c r="AQ2831" s="19"/>
      <c r="AR2831" s="19"/>
      <c r="AS2831" s="20" t="str">
        <f aca="false">HYPERLINK("http://www.openstreetmap.org/?mlat=32.1468&amp;mlon=44.9953&amp;zoom=12#map=12/32.1468/44.9953","Maplink1")</f>
        <v>Maplink1</v>
      </c>
      <c r="AT2831" s="20" t="str">
        <f aca="false">HYPERLINK("https://www.google.iq/maps/search/+32.1468,44.9953/@32.1468,44.9953,14z?hl=en","Maplink2")</f>
        <v>Maplink2</v>
      </c>
      <c r="AU2831" s="20" t="str">
        <f aca="false">HYPERLINK("http://www.bing.com/maps/?lvl=14&amp;sty=h&amp;cp=32.1468~44.9953&amp;sp=point.32.1468_44.9953","Maplink3")</f>
        <v>Maplink3</v>
      </c>
    </row>
    <row r="2832" customFormat="false" ht="15" hidden="false" customHeight="true" outlineLevel="0" collapsed="false">
      <c r="A2832" s="15" t="n">
        <v>24488</v>
      </c>
      <c r="B2832" s="16" t="s">
        <v>28</v>
      </c>
      <c r="C2832" s="16" t="s">
        <v>5423</v>
      </c>
      <c r="D2832" s="16" t="s">
        <v>5451</v>
      </c>
      <c r="E2832" s="17" t="s">
        <v>4618</v>
      </c>
      <c r="F2832" s="16" t="n">
        <v>32.1494038</v>
      </c>
      <c r="G2832" s="16" t="n">
        <v>44.99551107</v>
      </c>
      <c r="H2832" s="18" t="n">
        <v>25</v>
      </c>
      <c r="I2832" s="18" t="n">
        <v>150</v>
      </c>
      <c r="J2832" s="19" t="n">
        <v>6</v>
      </c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 t="n">
        <v>19</v>
      </c>
      <c r="W2832" s="19"/>
      <c r="X2832" s="19"/>
      <c r="Y2832" s="19"/>
      <c r="Z2832" s="19"/>
      <c r="AA2832" s="19"/>
      <c r="AB2832" s="19"/>
      <c r="AC2832" s="19" t="n">
        <v>9</v>
      </c>
      <c r="AD2832" s="19"/>
      <c r="AE2832" s="19"/>
      <c r="AF2832" s="19"/>
      <c r="AG2832" s="19"/>
      <c r="AH2832" s="19" t="n">
        <v>13</v>
      </c>
      <c r="AI2832" s="19"/>
      <c r="AJ2832" s="19" t="n">
        <v>3</v>
      </c>
      <c r="AK2832" s="19"/>
      <c r="AL2832" s="19"/>
      <c r="AM2832" s="19"/>
      <c r="AN2832" s="19" t="n">
        <v>19</v>
      </c>
      <c r="AO2832" s="19" t="n">
        <v>4</v>
      </c>
      <c r="AP2832" s="19" t="n">
        <v>2</v>
      </c>
      <c r="AQ2832" s="19"/>
      <c r="AR2832" s="19"/>
      <c r="AS2832" s="20" t="str">
        <f aca="false">HYPERLINK("http://www.openstreetmap.org/?mlat=32.1494&amp;mlon=44.9955&amp;zoom=12#map=12/32.1494/44.9955","Maplink1")</f>
        <v>Maplink1</v>
      </c>
      <c r="AT2832" s="20" t="str">
        <f aca="false">HYPERLINK("https://www.google.iq/maps/search/+32.1494,44.9955/@32.1494,44.9955,14z?hl=en","Maplink2")</f>
        <v>Maplink2</v>
      </c>
      <c r="AU2832" s="20" t="str">
        <f aca="false">HYPERLINK("http://www.bing.com/maps/?lvl=14&amp;sty=h&amp;cp=32.1494~44.9955&amp;sp=point.32.1494_44.9955","Maplink3")</f>
        <v>Maplink3</v>
      </c>
    </row>
    <row r="2833" customFormat="false" ht="15" hidden="false" customHeight="true" outlineLevel="0" collapsed="false">
      <c r="A2833" s="15" t="n">
        <v>25382</v>
      </c>
      <c r="B2833" s="16" t="s">
        <v>28</v>
      </c>
      <c r="C2833" s="16" t="s">
        <v>5423</v>
      </c>
      <c r="D2833" s="16" t="s">
        <v>5452</v>
      </c>
      <c r="E2833" s="17" t="s">
        <v>572</v>
      </c>
      <c r="F2833" s="16" t="n">
        <v>32.06327266</v>
      </c>
      <c r="G2833" s="16" t="n">
        <v>45.25268295</v>
      </c>
      <c r="H2833" s="18" t="n">
        <v>34</v>
      </c>
      <c r="I2833" s="18" t="n">
        <v>204</v>
      </c>
      <c r="J2833" s="19" t="n">
        <v>8</v>
      </c>
      <c r="K2833" s="19" t="n">
        <v>2</v>
      </c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 t="n">
        <v>24</v>
      </c>
      <c r="W2833" s="19"/>
      <c r="X2833" s="19"/>
      <c r="Y2833" s="19"/>
      <c r="Z2833" s="19"/>
      <c r="AA2833" s="19"/>
      <c r="AB2833" s="19"/>
      <c r="AC2833" s="19" t="n">
        <v>10</v>
      </c>
      <c r="AD2833" s="19"/>
      <c r="AE2833" s="19"/>
      <c r="AF2833" s="19"/>
      <c r="AG2833" s="19" t="n">
        <v>7</v>
      </c>
      <c r="AH2833" s="19" t="n">
        <v>17</v>
      </c>
      <c r="AI2833" s="19"/>
      <c r="AJ2833" s="19"/>
      <c r="AK2833" s="19"/>
      <c r="AL2833" s="19" t="n">
        <v>4</v>
      </c>
      <c r="AM2833" s="19" t="n">
        <v>12</v>
      </c>
      <c r="AN2833" s="19" t="n">
        <v>10</v>
      </c>
      <c r="AO2833" s="19" t="n">
        <v>5</v>
      </c>
      <c r="AP2833" s="19" t="n">
        <v>3</v>
      </c>
      <c r="AQ2833" s="19"/>
      <c r="AR2833" s="19"/>
      <c r="AS2833" s="20" t="str">
        <f aca="false">HYPERLINK("http://www.openstreetmap.org/?mlat=32.0633&amp;mlon=45.2527&amp;zoom=12#map=12/32.0633/45.2527","Maplink1")</f>
        <v>Maplink1</v>
      </c>
      <c r="AT2833" s="20" t="str">
        <f aca="false">HYPERLINK("https://www.google.iq/maps/search/+32.0633,45.2527/@32.0633,45.2527,14z?hl=en","Maplink2")</f>
        <v>Maplink2</v>
      </c>
      <c r="AU2833" s="20" t="str">
        <f aca="false">HYPERLINK("http://www.bing.com/maps/?lvl=14&amp;sty=h&amp;cp=32.0633~45.2527&amp;sp=point.32.0633_45.2527","Maplink3")</f>
        <v>Maplink3</v>
      </c>
    </row>
    <row r="2834" customFormat="false" ht="15" hidden="false" customHeight="true" outlineLevel="0" collapsed="false">
      <c r="A2834" s="15" t="n">
        <v>25379</v>
      </c>
      <c r="B2834" s="16" t="s">
        <v>28</v>
      </c>
      <c r="C2834" s="16" t="s">
        <v>5423</v>
      </c>
      <c r="D2834" s="16" t="s">
        <v>5453</v>
      </c>
      <c r="E2834" s="17" t="s">
        <v>5454</v>
      </c>
      <c r="F2834" s="16" t="n">
        <v>32.04379563</v>
      </c>
      <c r="G2834" s="16" t="n">
        <v>45.13432</v>
      </c>
      <c r="H2834" s="18" t="n">
        <v>6</v>
      </c>
      <c r="I2834" s="18" t="n">
        <v>36</v>
      </c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 t="n">
        <v>6</v>
      </c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9" t="n">
        <v>6</v>
      </c>
      <c r="AH2834" s="19"/>
      <c r="AI2834" s="19"/>
      <c r="AJ2834" s="19"/>
      <c r="AK2834" s="19"/>
      <c r="AL2834" s="19"/>
      <c r="AM2834" s="19"/>
      <c r="AN2834" s="19" t="n">
        <v>6</v>
      </c>
      <c r="AO2834" s="19"/>
      <c r="AP2834" s="19"/>
      <c r="AQ2834" s="19"/>
      <c r="AR2834" s="19"/>
      <c r="AS2834" s="20" t="str">
        <f aca="false">HYPERLINK("http://www.openstreetmap.org/?mlat=32.0438&amp;mlon=45.1343&amp;zoom=12#map=12/32.0438/45.1343","Maplink1")</f>
        <v>Maplink1</v>
      </c>
      <c r="AT2834" s="20" t="str">
        <f aca="false">HYPERLINK("https://www.google.iq/maps/search/+32.0438,45.1343/@32.0438,45.1343,14z?hl=en","Maplink2")</f>
        <v>Maplink2</v>
      </c>
      <c r="AU2834" s="20" t="str">
        <f aca="false">HYPERLINK("http://www.bing.com/maps/?lvl=14&amp;sty=h&amp;cp=32.0438~45.1343&amp;sp=point.32.0438_45.1343","Maplink3")</f>
        <v>Maplink3</v>
      </c>
    </row>
    <row r="2835" customFormat="false" ht="15" hidden="false" customHeight="true" outlineLevel="0" collapsed="false">
      <c r="A2835" s="15" t="n">
        <v>2802</v>
      </c>
      <c r="B2835" s="16" t="s">
        <v>28</v>
      </c>
      <c r="C2835" s="16" t="s">
        <v>5423</v>
      </c>
      <c r="D2835" s="16" t="s">
        <v>5455</v>
      </c>
      <c r="E2835" s="17" t="s">
        <v>4476</v>
      </c>
      <c r="F2835" s="16" t="n">
        <v>31.97925397</v>
      </c>
      <c r="G2835" s="16" t="n">
        <v>45.41165354</v>
      </c>
      <c r="H2835" s="18" t="n">
        <v>35</v>
      </c>
      <c r="I2835" s="18" t="n">
        <v>210</v>
      </c>
      <c r="J2835" s="19"/>
      <c r="K2835" s="19"/>
      <c r="L2835" s="19"/>
      <c r="M2835" s="19"/>
      <c r="N2835" s="19"/>
      <c r="O2835" s="19"/>
      <c r="P2835" s="19"/>
      <c r="Q2835" s="19"/>
      <c r="R2835" s="19" t="n">
        <v>21</v>
      </c>
      <c r="S2835" s="19"/>
      <c r="T2835" s="19"/>
      <c r="U2835" s="19"/>
      <c r="V2835" s="19" t="n">
        <v>14</v>
      </c>
      <c r="W2835" s="19"/>
      <c r="X2835" s="19"/>
      <c r="Y2835" s="19"/>
      <c r="Z2835" s="19"/>
      <c r="AA2835" s="19"/>
      <c r="AB2835" s="19"/>
      <c r="AC2835" s="19" t="n">
        <v>9</v>
      </c>
      <c r="AD2835" s="19"/>
      <c r="AE2835" s="19" t="n">
        <v>8</v>
      </c>
      <c r="AF2835" s="19"/>
      <c r="AG2835" s="19"/>
      <c r="AH2835" s="19" t="n">
        <v>18</v>
      </c>
      <c r="AI2835" s="19"/>
      <c r="AJ2835" s="19"/>
      <c r="AK2835" s="19"/>
      <c r="AL2835" s="19"/>
      <c r="AM2835" s="19" t="n">
        <v>22</v>
      </c>
      <c r="AN2835" s="19" t="n">
        <v>13</v>
      </c>
      <c r="AO2835" s="19"/>
      <c r="AP2835" s="19"/>
      <c r="AQ2835" s="19"/>
      <c r="AR2835" s="19"/>
      <c r="AS2835" s="20" t="str">
        <f aca="false">HYPERLINK("http://www.openstreetmap.org/?mlat=31.9793&amp;mlon=45.4117&amp;zoom=12#map=12/31.9793/45.4117","Maplink1")</f>
        <v>Maplink1</v>
      </c>
      <c r="AT2835" s="20" t="str">
        <f aca="false">HYPERLINK("https://www.google.iq/maps/search/+31.9793,45.4117/@31.9793,45.4117,14z?hl=en","Maplink2")</f>
        <v>Maplink2</v>
      </c>
      <c r="AU2835" s="20" t="str">
        <f aca="false">HYPERLINK("http://www.bing.com/maps/?lvl=14&amp;sty=h&amp;cp=31.9793~45.4117&amp;sp=point.31.9793_45.4117","Maplink3")</f>
        <v>Maplink3</v>
      </c>
    </row>
    <row r="2836" customFormat="false" ht="15" hidden="false" customHeight="true" outlineLevel="0" collapsed="false">
      <c r="A2836" s="15" t="n">
        <v>25501</v>
      </c>
      <c r="B2836" s="16" t="s">
        <v>28</v>
      </c>
      <c r="C2836" s="16" t="s">
        <v>5423</v>
      </c>
      <c r="D2836" s="16" t="s">
        <v>5456</v>
      </c>
      <c r="E2836" s="17" t="s">
        <v>2010</v>
      </c>
      <c r="F2836" s="16" t="n">
        <v>32.15127418</v>
      </c>
      <c r="G2836" s="16" t="n">
        <v>45.00090759</v>
      </c>
      <c r="H2836" s="18" t="n">
        <v>11</v>
      </c>
      <c r="I2836" s="18" t="n">
        <v>66</v>
      </c>
      <c r="J2836" s="19" t="n">
        <v>2</v>
      </c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 t="n">
        <v>9</v>
      </c>
      <c r="W2836" s="19"/>
      <c r="X2836" s="19"/>
      <c r="Y2836" s="19"/>
      <c r="Z2836" s="19"/>
      <c r="AA2836" s="19"/>
      <c r="AB2836" s="19"/>
      <c r="AC2836" s="19" t="n">
        <v>4</v>
      </c>
      <c r="AD2836" s="19"/>
      <c r="AE2836" s="19"/>
      <c r="AF2836" s="19"/>
      <c r="AG2836" s="19"/>
      <c r="AH2836" s="19" t="n">
        <v>7</v>
      </c>
      <c r="AI2836" s="19"/>
      <c r="AJ2836" s="19"/>
      <c r="AK2836" s="19"/>
      <c r="AL2836" s="19"/>
      <c r="AM2836" s="19"/>
      <c r="AN2836" s="19" t="n">
        <v>9</v>
      </c>
      <c r="AO2836" s="19"/>
      <c r="AP2836" s="19" t="n">
        <v>2</v>
      </c>
      <c r="AQ2836" s="19"/>
      <c r="AR2836" s="19"/>
      <c r="AS2836" s="20" t="str">
        <f aca="false">HYPERLINK("http://www.openstreetmap.org/?mlat=32.1513&amp;mlon=45.0009&amp;zoom=12#map=12/32.1513/45.0009","Maplink1")</f>
        <v>Maplink1</v>
      </c>
      <c r="AT2836" s="20" t="str">
        <f aca="false">HYPERLINK("https://www.google.iq/maps/search/+32.1513,45.0009/@32.1513,45.0009,14z?hl=en","Maplink2")</f>
        <v>Maplink2</v>
      </c>
      <c r="AU2836" s="20" t="str">
        <f aca="false">HYPERLINK("http://www.bing.com/maps/?lvl=14&amp;sty=h&amp;cp=32.1513~45.0009&amp;sp=point.32.1513_45.0009","Maplink3")</f>
        <v>Maplink3</v>
      </c>
    </row>
    <row r="2837" customFormat="false" ht="15" hidden="false" customHeight="true" outlineLevel="0" collapsed="false">
      <c r="A2837" s="15" t="n">
        <v>25376</v>
      </c>
      <c r="B2837" s="16" t="s">
        <v>28</v>
      </c>
      <c r="C2837" s="16" t="s">
        <v>5423</v>
      </c>
      <c r="D2837" s="16" t="s">
        <v>5457</v>
      </c>
      <c r="E2837" s="17" t="s">
        <v>5458</v>
      </c>
      <c r="F2837" s="16" t="n">
        <v>31.97512123</v>
      </c>
      <c r="G2837" s="16" t="n">
        <v>45.40619851</v>
      </c>
      <c r="H2837" s="18" t="n">
        <v>5</v>
      </c>
      <c r="I2837" s="18" t="n">
        <v>30</v>
      </c>
      <c r="J2837" s="19"/>
      <c r="K2837" s="19"/>
      <c r="L2837" s="19"/>
      <c r="M2837" s="19"/>
      <c r="N2837" s="19"/>
      <c r="O2837" s="19"/>
      <c r="P2837" s="19"/>
      <c r="Q2837" s="19"/>
      <c r="R2837" s="19" t="n">
        <v>3</v>
      </c>
      <c r="S2837" s="19"/>
      <c r="T2837" s="19"/>
      <c r="U2837" s="19"/>
      <c r="V2837" s="19" t="n">
        <v>2</v>
      </c>
      <c r="W2837" s="19"/>
      <c r="X2837" s="19"/>
      <c r="Y2837" s="19"/>
      <c r="Z2837" s="19"/>
      <c r="AA2837" s="19"/>
      <c r="AB2837" s="19"/>
      <c r="AC2837" s="19" t="n">
        <v>2</v>
      </c>
      <c r="AD2837" s="19"/>
      <c r="AE2837" s="19"/>
      <c r="AF2837" s="19"/>
      <c r="AG2837" s="19"/>
      <c r="AH2837" s="19" t="n">
        <v>3</v>
      </c>
      <c r="AI2837" s="19"/>
      <c r="AJ2837" s="19"/>
      <c r="AK2837" s="19"/>
      <c r="AL2837" s="19"/>
      <c r="AM2837" s="19" t="n">
        <v>1</v>
      </c>
      <c r="AN2837" s="19" t="n">
        <v>4</v>
      </c>
      <c r="AO2837" s="19"/>
      <c r="AP2837" s="19"/>
      <c r="AQ2837" s="19"/>
      <c r="AR2837" s="19"/>
      <c r="AS2837" s="20" t="str">
        <f aca="false">HYPERLINK("http://www.openstreetmap.org/?mlat=31.9751&amp;mlon=45.4062&amp;zoom=12#map=12/31.9751/45.4062","Maplink1")</f>
        <v>Maplink1</v>
      </c>
      <c r="AT2837" s="20" t="str">
        <f aca="false">HYPERLINK("https://www.google.iq/maps/search/+31.9751,45.4062/@31.9751,45.4062,14z?hl=en","Maplink2")</f>
        <v>Maplink2</v>
      </c>
      <c r="AU2837" s="20" t="str">
        <f aca="false">HYPERLINK("http://www.bing.com/maps/?lvl=14&amp;sty=h&amp;cp=31.9751~45.4062&amp;sp=point.31.9751_45.4062","Maplink3")</f>
        <v>Maplink3</v>
      </c>
    </row>
    <row r="2838" customFormat="false" ht="15" hidden="false" customHeight="true" outlineLevel="0" collapsed="false">
      <c r="A2838" s="15" t="n">
        <v>3360</v>
      </c>
      <c r="B2838" s="16" t="s">
        <v>28</v>
      </c>
      <c r="C2838" s="16" t="s">
        <v>5423</v>
      </c>
      <c r="D2838" s="16" t="s">
        <v>5459</v>
      </c>
      <c r="E2838" s="17" t="s">
        <v>442</v>
      </c>
      <c r="F2838" s="16" t="n">
        <v>32.06675073</v>
      </c>
      <c r="G2838" s="16" t="n">
        <v>45.24645587</v>
      </c>
      <c r="H2838" s="18" t="n">
        <v>14</v>
      </c>
      <c r="I2838" s="18" t="n">
        <v>84</v>
      </c>
      <c r="J2838" s="19" t="n">
        <v>8</v>
      </c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 t="n">
        <v>6</v>
      </c>
      <c r="W2838" s="19"/>
      <c r="X2838" s="19"/>
      <c r="Y2838" s="19"/>
      <c r="Z2838" s="19"/>
      <c r="AA2838" s="19"/>
      <c r="AB2838" s="19"/>
      <c r="AC2838" s="19" t="n">
        <v>3</v>
      </c>
      <c r="AD2838" s="19"/>
      <c r="AE2838" s="19"/>
      <c r="AF2838" s="19"/>
      <c r="AG2838" s="19"/>
      <c r="AH2838" s="19" t="n">
        <v>11</v>
      </c>
      <c r="AI2838" s="19"/>
      <c r="AJ2838" s="19"/>
      <c r="AK2838" s="19"/>
      <c r="AL2838" s="19"/>
      <c r="AM2838" s="19" t="n">
        <v>2</v>
      </c>
      <c r="AN2838" s="19" t="n">
        <v>4</v>
      </c>
      <c r="AO2838" s="19" t="n">
        <v>7</v>
      </c>
      <c r="AP2838" s="19" t="n">
        <v>1</v>
      </c>
      <c r="AQ2838" s="19"/>
      <c r="AR2838" s="19"/>
      <c r="AS2838" s="20" t="str">
        <f aca="false">HYPERLINK("http://www.openstreetmap.org/?mlat=32.0668&amp;mlon=45.2465&amp;zoom=12#map=12/32.0668/45.2465","Maplink1")</f>
        <v>Maplink1</v>
      </c>
      <c r="AT2838" s="20" t="str">
        <f aca="false">HYPERLINK("https://www.google.iq/maps/search/+32.0668,45.2465/@32.0668,45.2465,14z?hl=en","Maplink2")</f>
        <v>Maplink2</v>
      </c>
      <c r="AU2838" s="20" t="str">
        <f aca="false">HYPERLINK("http://www.bing.com/maps/?lvl=14&amp;sty=h&amp;cp=32.0668~45.2465&amp;sp=point.32.0668_45.2465","Maplink3")</f>
        <v>Maplink3</v>
      </c>
    </row>
    <row r="2839" customFormat="false" ht="15" hidden="false" customHeight="true" outlineLevel="0" collapsed="false">
      <c r="A2839" s="15" t="n">
        <v>25378</v>
      </c>
      <c r="B2839" s="16" t="s">
        <v>28</v>
      </c>
      <c r="C2839" s="16" t="s">
        <v>5423</v>
      </c>
      <c r="D2839" s="16" t="s">
        <v>5460</v>
      </c>
      <c r="E2839" s="17" t="s">
        <v>2023</v>
      </c>
      <c r="F2839" s="16" t="n">
        <v>31.97142255</v>
      </c>
      <c r="G2839" s="16" t="n">
        <v>45.4026471</v>
      </c>
      <c r="H2839" s="18" t="n">
        <v>14</v>
      </c>
      <c r="I2839" s="18" t="n">
        <v>84</v>
      </c>
      <c r="J2839" s="19"/>
      <c r="K2839" s="19" t="n">
        <v>2</v>
      </c>
      <c r="L2839" s="19"/>
      <c r="M2839" s="19"/>
      <c r="N2839" s="19"/>
      <c r="O2839" s="19"/>
      <c r="P2839" s="19"/>
      <c r="Q2839" s="19"/>
      <c r="R2839" s="19" t="n">
        <v>6</v>
      </c>
      <c r="S2839" s="19"/>
      <c r="T2839" s="19"/>
      <c r="U2839" s="19"/>
      <c r="V2839" s="19" t="n">
        <v>6</v>
      </c>
      <c r="W2839" s="19"/>
      <c r="X2839" s="19"/>
      <c r="Y2839" s="19"/>
      <c r="Z2839" s="19"/>
      <c r="AA2839" s="19"/>
      <c r="AB2839" s="19"/>
      <c r="AC2839" s="19" t="n">
        <v>1</v>
      </c>
      <c r="AD2839" s="19"/>
      <c r="AE2839" s="19"/>
      <c r="AF2839" s="19"/>
      <c r="AG2839" s="19"/>
      <c r="AH2839" s="19" t="n">
        <v>11</v>
      </c>
      <c r="AI2839" s="19"/>
      <c r="AJ2839" s="19" t="n">
        <v>2</v>
      </c>
      <c r="AK2839" s="19"/>
      <c r="AL2839" s="19"/>
      <c r="AM2839" s="19" t="n">
        <v>6</v>
      </c>
      <c r="AN2839" s="19" t="n">
        <v>8</v>
      </c>
      <c r="AO2839" s="19"/>
      <c r="AP2839" s="19"/>
      <c r="AQ2839" s="19"/>
      <c r="AR2839" s="19"/>
      <c r="AS2839" s="20" t="str">
        <f aca="false">HYPERLINK("http://www.openstreetmap.org/?mlat=31.9714&amp;mlon=45.4026&amp;zoom=12#map=12/31.9714/45.4026","Maplink1")</f>
        <v>Maplink1</v>
      </c>
      <c r="AT2839" s="20" t="str">
        <f aca="false">HYPERLINK("https://www.google.iq/maps/search/+31.9714,45.4026/@31.9714,45.4026,14z?hl=en","Maplink2")</f>
        <v>Maplink2</v>
      </c>
      <c r="AU2839" s="20" t="str">
        <f aca="false">HYPERLINK("http://www.bing.com/maps/?lvl=14&amp;sty=h&amp;cp=31.9714~45.4026&amp;sp=point.31.9714_45.4026","Maplink3")</f>
        <v>Maplink3</v>
      </c>
    </row>
    <row r="2840" customFormat="false" ht="15" hidden="false" customHeight="true" outlineLevel="0" collapsed="false">
      <c r="A2840" s="15" t="n">
        <v>2795</v>
      </c>
      <c r="B2840" s="16" t="s">
        <v>28</v>
      </c>
      <c r="C2840" s="16" t="s">
        <v>5423</v>
      </c>
      <c r="D2840" s="16" t="s">
        <v>5461</v>
      </c>
      <c r="E2840" s="17" t="s">
        <v>5462</v>
      </c>
      <c r="F2840" s="16" t="n">
        <v>31.97243743</v>
      </c>
      <c r="G2840" s="16" t="n">
        <v>45.40926268</v>
      </c>
      <c r="H2840" s="18" t="n">
        <v>13</v>
      </c>
      <c r="I2840" s="18" t="n">
        <v>78</v>
      </c>
      <c r="J2840" s="19" t="n">
        <v>2</v>
      </c>
      <c r="K2840" s="19"/>
      <c r="L2840" s="19"/>
      <c r="M2840" s="19"/>
      <c r="N2840" s="19"/>
      <c r="O2840" s="19"/>
      <c r="P2840" s="19"/>
      <c r="Q2840" s="19"/>
      <c r="R2840" s="19" t="n">
        <v>9</v>
      </c>
      <c r="S2840" s="19"/>
      <c r="T2840" s="19"/>
      <c r="U2840" s="19"/>
      <c r="V2840" s="19" t="n">
        <v>2</v>
      </c>
      <c r="W2840" s="19"/>
      <c r="X2840" s="19"/>
      <c r="Y2840" s="19"/>
      <c r="Z2840" s="19"/>
      <c r="AA2840" s="19"/>
      <c r="AB2840" s="19"/>
      <c r="AC2840" s="19" t="n">
        <v>2</v>
      </c>
      <c r="AD2840" s="19"/>
      <c r="AE2840" s="19"/>
      <c r="AF2840" s="19"/>
      <c r="AG2840" s="19"/>
      <c r="AH2840" s="19" t="n">
        <v>11</v>
      </c>
      <c r="AI2840" s="19"/>
      <c r="AJ2840" s="19"/>
      <c r="AK2840" s="19"/>
      <c r="AL2840" s="19" t="n">
        <v>2</v>
      </c>
      <c r="AM2840" s="19" t="n">
        <v>9</v>
      </c>
      <c r="AN2840" s="19" t="n">
        <v>2</v>
      </c>
      <c r="AO2840" s="19"/>
      <c r="AP2840" s="19"/>
      <c r="AQ2840" s="19"/>
      <c r="AR2840" s="19"/>
      <c r="AS2840" s="20" t="str">
        <f aca="false">HYPERLINK("http://www.openstreetmap.org/?mlat=31.9724&amp;mlon=45.4093&amp;zoom=12#map=12/31.9724/45.4093","Maplink1")</f>
        <v>Maplink1</v>
      </c>
      <c r="AT2840" s="20" t="str">
        <f aca="false">HYPERLINK("https://www.google.iq/maps/search/+31.9724,45.4093/@31.9724,45.4093,14z?hl=en","Maplink2")</f>
        <v>Maplink2</v>
      </c>
      <c r="AU2840" s="20" t="str">
        <f aca="false">HYPERLINK("http://www.bing.com/maps/?lvl=14&amp;sty=h&amp;cp=31.9724~45.4093&amp;sp=point.31.9724_45.4093","Maplink3")</f>
        <v>Maplink3</v>
      </c>
    </row>
    <row r="2841" customFormat="false" ht="15" hidden="false" customHeight="true" outlineLevel="0" collapsed="false">
      <c r="A2841" s="15" t="n">
        <v>25369</v>
      </c>
      <c r="B2841" s="16" t="s">
        <v>28</v>
      </c>
      <c r="C2841" s="16" t="s">
        <v>5423</v>
      </c>
      <c r="D2841" s="16" t="s">
        <v>96</v>
      </c>
      <c r="E2841" s="17" t="s">
        <v>97</v>
      </c>
      <c r="F2841" s="16" t="n">
        <v>31.98037966</v>
      </c>
      <c r="G2841" s="16" t="n">
        <v>45.40930912</v>
      </c>
      <c r="H2841" s="18" t="n">
        <v>12</v>
      </c>
      <c r="I2841" s="18" t="n">
        <v>72</v>
      </c>
      <c r="J2841" s="19"/>
      <c r="K2841" s="19"/>
      <c r="L2841" s="19"/>
      <c r="M2841" s="19"/>
      <c r="N2841" s="19"/>
      <c r="O2841" s="19"/>
      <c r="P2841" s="19"/>
      <c r="Q2841" s="19"/>
      <c r="R2841" s="19" t="n">
        <v>3</v>
      </c>
      <c r="S2841" s="19"/>
      <c r="T2841" s="19"/>
      <c r="U2841" s="19"/>
      <c r="V2841" s="19" t="n">
        <v>9</v>
      </c>
      <c r="W2841" s="19"/>
      <c r="X2841" s="19"/>
      <c r="Y2841" s="19"/>
      <c r="Z2841" s="19"/>
      <c r="AA2841" s="19"/>
      <c r="AB2841" s="19"/>
      <c r="AC2841" s="19" t="n">
        <v>4</v>
      </c>
      <c r="AD2841" s="19"/>
      <c r="AE2841" s="19"/>
      <c r="AF2841" s="19"/>
      <c r="AG2841" s="19"/>
      <c r="AH2841" s="19" t="n">
        <v>8</v>
      </c>
      <c r="AI2841" s="19"/>
      <c r="AJ2841" s="19"/>
      <c r="AK2841" s="19"/>
      <c r="AL2841" s="19"/>
      <c r="AM2841" s="19" t="n">
        <v>3</v>
      </c>
      <c r="AN2841" s="19" t="n">
        <v>9</v>
      </c>
      <c r="AO2841" s="19"/>
      <c r="AP2841" s="19"/>
      <c r="AQ2841" s="19"/>
      <c r="AR2841" s="19"/>
      <c r="AS2841" s="20" t="str">
        <f aca="false">HYPERLINK("http://www.openstreetmap.org/?mlat=31.9804&amp;mlon=45.4093&amp;zoom=12#map=12/31.9804/45.4093","Maplink1")</f>
        <v>Maplink1</v>
      </c>
      <c r="AT2841" s="20" t="str">
        <f aca="false">HYPERLINK("https://www.google.iq/maps/search/+31.9804,45.4093/@31.9804,45.4093,14z?hl=en","Maplink2")</f>
        <v>Maplink2</v>
      </c>
      <c r="AU2841" s="20" t="str">
        <f aca="false">HYPERLINK("http://www.bing.com/maps/?lvl=14&amp;sty=h&amp;cp=31.9804~45.4093&amp;sp=point.31.9804_45.4093","Maplink3")</f>
        <v>Maplink3</v>
      </c>
    </row>
    <row r="2842" customFormat="false" ht="15" hidden="false" customHeight="true" outlineLevel="0" collapsed="false">
      <c r="A2842" s="15" t="n">
        <v>25380</v>
      </c>
      <c r="B2842" s="16" t="s">
        <v>28</v>
      </c>
      <c r="C2842" s="16" t="s">
        <v>5423</v>
      </c>
      <c r="D2842" s="16" t="s">
        <v>96</v>
      </c>
      <c r="E2842" s="17" t="s">
        <v>97</v>
      </c>
      <c r="F2842" s="16" t="n">
        <v>32.04743137</v>
      </c>
      <c r="G2842" s="16" t="n">
        <v>45.14124555</v>
      </c>
      <c r="H2842" s="18" t="n">
        <v>11</v>
      </c>
      <c r="I2842" s="18" t="n">
        <v>66</v>
      </c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 t="n">
        <v>11</v>
      </c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9" t="n">
        <v>11</v>
      </c>
      <c r="AH2842" s="19"/>
      <c r="AI2842" s="19"/>
      <c r="AJ2842" s="19"/>
      <c r="AK2842" s="19"/>
      <c r="AL2842" s="19"/>
      <c r="AM2842" s="19" t="n">
        <v>5</v>
      </c>
      <c r="AN2842" s="19" t="n">
        <v>6</v>
      </c>
      <c r="AO2842" s="19"/>
      <c r="AP2842" s="19"/>
      <c r="AQ2842" s="19"/>
      <c r="AR2842" s="19"/>
      <c r="AS2842" s="20" t="str">
        <f aca="false">HYPERLINK("http://www.openstreetmap.org/?mlat=32.0474&amp;mlon=45.1412&amp;zoom=12#map=12/32.0474/45.1412","Maplink1")</f>
        <v>Maplink1</v>
      </c>
      <c r="AT2842" s="20" t="str">
        <f aca="false">HYPERLINK("https://www.google.iq/maps/search/+32.0474,45.1412/@32.0474,45.1412,14z?hl=en","Maplink2")</f>
        <v>Maplink2</v>
      </c>
      <c r="AU2842" s="20" t="str">
        <f aca="false">HYPERLINK("http://www.bing.com/maps/?lvl=14&amp;sty=h&amp;cp=32.0474~45.1412&amp;sp=point.32.0474_45.1412","Maplink3")</f>
        <v>Maplink3</v>
      </c>
    </row>
    <row r="2843" customFormat="false" ht="15" hidden="false" customHeight="true" outlineLevel="0" collapsed="false">
      <c r="A2843" s="15" t="n">
        <v>2803</v>
      </c>
      <c r="B2843" s="16" t="s">
        <v>28</v>
      </c>
      <c r="C2843" s="16" t="s">
        <v>5423</v>
      </c>
      <c r="D2843" s="16" t="s">
        <v>5463</v>
      </c>
      <c r="E2843" s="17" t="s">
        <v>5464</v>
      </c>
      <c r="F2843" s="16" t="n">
        <v>32.05198903</v>
      </c>
      <c r="G2843" s="16" t="n">
        <v>45.23004695</v>
      </c>
      <c r="H2843" s="18" t="n">
        <v>13</v>
      </c>
      <c r="I2843" s="18" t="n">
        <v>78</v>
      </c>
      <c r="J2843" s="19" t="n">
        <v>5</v>
      </c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 t="n">
        <v>8</v>
      </c>
      <c r="W2843" s="19"/>
      <c r="X2843" s="19"/>
      <c r="Y2843" s="19"/>
      <c r="Z2843" s="19"/>
      <c r="AA2843" s="19"/>
      <c r="AB2843" s="19"/>
      <c r="AC2843" s="19" t="n">
        <v>4</v>
      </c>
      <c r="AD2843" s="19"/>
      <c r="AE2843" s="19"/>
      <c r="AF2843" s="19"/>
      <c r="AG2843" s="19"/>
      <c r="AH2843" s="19" t="n">
        <v>7</v>
      </c>
      <c r="AI2843" s="19"/>
      <c r="AJ2843" s="19" t="n">
        <v>2</v>
      </c>
      <c r="AK2843" s="19"/>
      <c r="AL2843" s="19"/>
      <c r="AM2843" s="19"/>
      <c r="AN2843" s="19" t="n">
        <v>8</v>
      </c>
      <c r="AO2843" s="19" t="n">
        <v>3</v>
      </c>
      <c r="AP2843" s="19" t="n">
        <v>2</v>
      </c>
      <c r="AQ2843" s="19"/>
      <c r="AR2843" s="19"/>
      <c r="AS2843" s="20" t="str">
        <f aca="false">HYPERLINK("http://www.openstreetmap.org/?mlat=32.052&amp;mlon=45.23&amp;zoom=12#map=12/32.052/45.23","Maplink1")</f>
        <v>Maplink1</v>
      </c>
      <c r="AT2843" s="20" t="str">
        <f aca="false">HYPERLINK("https://www.google.iq/maps/search/+32.052,45.23/@32.052,45.23,14z?hl=en","Maplink2")</f>
        <v>Maplink2</v>
      </c>
      <c r="AU2843" s="20" t="str">
        <f aca="false">HYPERLINK("http://www.bing.com/maps/?lvl=14&amp;sty=h&amp;cp=32.052~45.23&amp;sp=point.32.052_45.23","Maplink3")</f>
        <v>Maplink3</v>
      </c>
    </row>
    <row r="2844" customFormat="false" ht="15" hidden="false" customHeight="true" outlineLevel="0" collapsed="false">
      <c r="A2844" s="15" t="n">
        <v>3368</v>
      </c>
      <c r="B2844" s="16" t="s">
        <v>28</v>
      </c>
      <c r="C2844" s="16" t="s">
        <v>5423</v>
      </c>
      <c r="D2844" s="16" t="s">
        <v>5465</v>
      </c>
      <c r="E2844" s="17" t="s">
        <v>703</v>
      </c>
      <c r="F2844" s="16" t="n">
        <v>32.05424045</v>
      </c>
      <c r="G2844" s="16" t="n">
        <v>45.23660202</v>
      </c>
      <c r="H2844" s="18" t="n">
        <v>15</v>
      </c>
      <c r="I2844" s="18" t="n">
        <v>90</v>
      </c>
      <c r="J2844" s="19" t="n">
        <v>3</v>
      </c>
      <c r="K2844" s="19"/>
      <c r="L2844" s="19"/>
      <c r="M2844" s="19"/>
      <c r="N2844" s="19"/>
      <c r="O2844" s="19"/>
      <c r="P2844" s="19"/>
      <c r="Q2844" s="19"/>
      <c r="R2844" s="19" t="n">
        <v>4</v>
      </c>
      <c r="S2844" s="19"/>
      <c r="T2844" s="19"/>
      <c r="U2844" s="19"/>
      <c r="V2844" s="19" t="n">
        <v>8</v>
      </c>
      <c r="W2844" s="19"/>
      <c r="X2844" s="19"/>
      <c r="Y2844" s="19"/>
      <c r="Z2844" s="19"/>
      <c r="AA2844" s="19"/>
      <c r="AB2844" s="19"/>
      <c r="AC2844" s="19" t="n">
        <v>2</v>
      </c>
      <c r="AD2844" s="19"/>
      <c r="AE2844" s="19"/>
      <c r="AF2844" s="19"/>
      <c r="AG2844" s="19"/>
      <c r="AH2844" s="19" t="n">
        <v>13</v>
      </c>
      <c r="AI2844" s="19"/>
      <c r="AJ2844" s="19"/>
      <c r="AK2844" s="19"/>
      <c r="AL2844" s="19"/>
      <c r="AM2844" s="19" t="n">
        <v>4</v>
      </c>
      <c r="AN2844" s="19" t="n">
        <v>8</v>
      </c>
      <c r="AO2844" s="19" t="n">
        <v>3</v>
      </c>
      <c r="AP2844" s="19"/>
      <c r="AQ2844" s="19"/>
      <c r="AR2844" s="19"/>
      <c r="AS2844" s="20" t="str">
        <f aca="false">HYPERLINK("http://www.openstreetmap.org/?mlat=32.0542&amp;mlon=45.2366&amp;zoom=12#map=12/32.0542/45.2366","Maplink1")</f>
        <v>Maplink1</v>
      </c>
      <c r="AT2844" s="20" t="str">
        <f aca="false">HYPERLINK("https://www.google.iq/maps/search/+32.0542,45.2366/@32.0542,45.2366,14z?hl=en","Maplink2")</f>
        <v>Maplink2</v>
      </c>
      <c r="AU2844" s="20" t="str">
        <f aca="false">HYPERLINK("http://www.bing.com/maps/?lvl=14&amp;sty=h&amp;cp=32.0542~45.2366&amp;sp=point.32.0542_45.2366","Maplink3")</f>
        <v>Maplink3</v>
      </c>
    </row>
    <row r="2845" customFormat="false" ht="15" hidden="false" customHeight="true" outlineLevel="0" collapsed="false">
      <c r="A2845" s="15" t="n">
        <v>22117</v>
      </c>
      <c r="B2845" s="16" t="s">
        <v>28</v>
      </c>
      <c r="C2845" s="16" t="s">
        <v>5423</v>
      </c>
      <c r="D2845" s="16" t="s">
        <v>5466</v>
      </c>
      <c r="E2845" s="17" t="s">
        <v>5467</v>
      </c>
      <c r="F2845" s="16" t="n">
        <v>32.0551923</v>
      </c>
      <c r="G2845" s="16" t="n">
        <v>45.23575251</v>
      </c>
      <c r="H2845" s="18" t="n">
        <v>6</v>
      </c>
      <c r="I2845" s="18" t="n">
        <v>36</v>
      </c>
      <c r="J2845" s="19" t="n">
        <v>4</v>
      </c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 t="n">
        <v>2</v>
      </c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9"/>
      <c r="AH2845" s="19" t="n">
        <v>6</v>
      </c>
      <c r="AI2845" s="19"/>
      <c r="AJ2845" s="19"/>
      <c r="AK2845" s="19"/>
      <c r="AL2845" s="19"/>
      <c r="AM2845" s="19"/>
      <c r="AN2845" s="19" t="n">
        <v>2</v>
      </c>
      <c r="AO2845" s="19" t="n">
        <v>3</v>
      </c>
      <c r="AP2845" s="19" t="n">
        <v>1</v>
      </c>
      <c r="AQ2845" s="19"/>
      <c r="AR2845" s="19"/>
      <c r="AS2845" s="20" t="str">
        <f aca="false">HYPERLINK("http://www.openstreetmap.org/?mlat=32.0552&amp;mlon=45.2358&amp;zoom=12#map=12/32.0552/45.2358","Maplink1")</f>
        <v>Maplink1</v>
      </c>
      <c r="AT2845" s="20" t="str">
        <f aca="false">HYPERLINK("https://www.google.iq/maps/search/+32.0552,45.2358/@32.0552,45.2358,14z?hl=en","Maplink2")</f>
        <v>Maplink2</v>
      </c>
      <c r="AU2845" s="20" t="str">
        <f aca="false">HYPERLINK("http://www.bing.com/maps/?lvl=14&amp;sty=h&amp;cp=32.0552~45.2358&amp;sp=point.32.0552_45.2358","Maplink3")</f>
        <v>Maplink3</v>
      </c>
    </row>
    <row r="2846" customFormat="false" ht="15" hidden="false" customHeight="true" outlineLevel="0" collapsed="false">
      <c r="A2846" s="15" t="n">
        <v>22451</v>
      </c>
      <c r="B2846" s="16" t="s">
        <v>28</v>
      </c>
      <c r="C2846" s="16" t="s">
        <v>5423</v>
      </c>
      <c r="D2846" s="16" t="s">
        <v>5468</v>
      </c>
      <c r="E2846" s="17" t="s">
        <v>5469</v>
      </c>
      <c r="F2846" s="16" t="n">
        <v>32.14523586</v>
      </c>
      <c r="G2846" s="16" t="n">
        <v>45.00108571</v>
      </c>
      <c r="H2846" s="18" t="n">
        <v>15</v>
      </c>
      <c r="I2846" s="18" t="n">
        <v>90</v>
      </c>
      <c r="J2846" s="19" t="n">
        <v>3</v>
      </c>
      <c r="K2846" s="19"/>
      <c r="L2846" s="19"/>
      <c r="M2846" s="19"/>
      <c r="N2846" s="19"/>
      <c r="O2846" s="19"/>
      <c r="P2846" s="19"/>
      <c r="Q2846" s="19"/>
      <c r="R2846" s="19" t="n">
        <v>5</v>
      </c>
      <c r="S2846" s="19"/>
      <c r="T2846" s="19"/>
      <c r="U2846" s="19"/>
      <c r="V2846" s="19" t="n">
        <v>7</v>
      </c>
      <c r="W2846" s="19"/>
      <c r="X2846" s="19"/>
      <c r="Y2846" s="19"/>
      <c r="Z2846" s="19"/>
      <c r="AA2846" s="19"/>
      <c r="AB2846" s="19"/>
      <c r="AC2846" s="19" t="n">
        <v>5</v>
      </c>
      <c r="AD2846" s="19"/>
      <c r="AE2846" s="19"/>
      <c r="AF2846" s="19"/>
      <c r="AG2846" s="19"/>
      <c r="AH2846" s="19" t="n">
        <v>10</v>
      </c>
      <c r="AI2846" s="19"/>
      <c r="AJ2846" s="19"/>
      <c r="AK2846" s="19"/>
      <c r="AL2846" s="19"/>
      <c r="AM2846" s="19" t="n">
        <v>6</v>
      </c>
      <c r="AN2846" s="19" t="n">
        <v>6</v>
      </c>
      <c r="AO2846" s="19" t="n">
        <v>3</v>
      </c>
      <c r="AP2846" s="19"/>
      <c r="AQ2846" s="19"/>
      <c r="AR2846" s="19"/>
      <c r="AS2846" s="20" t="str">
        <f aca="false">HYPERLINK("http://www.openstreetmap.org/?mlat=32.1452&amp;mlon=45.0011&amp;zoom=12#map=12/32.1452/45.0011","Maplink1")</f>
        <v>Maplink1</v>
      </c>
      <c r="AT2846" s="20" t="str">
        <f aca="false">HYPERLINK("https://www.google.iq/maps/search/+32.1452,45.0011/@32.1452,45.0011,14z?hl=en","Maplink2")</f>
        <v>Maplink2</v>
      </c>
      <c r="AU2846" s="20" t="str">
        <f aca="false">HYPERLINK("http://www.bing.com/maps/?lvl=14&amp;sty=h&amp;cp=32.1452~45.0011&amp;sp=point.32.1452_45.0011","Maplink3")</f>
        <v>Maplink3</v>
      </c>
    </row>
    <row r="2847" customFormat="false" ht="15" hidden="false" customHeight="true" outlineLevel="0" collapsed="false">
      <c r="A2847" s="15" t="n">
        <v>3072</v>
      </c>
      <c r="B2847" s="16" t="s">
        <v>28</v>
      </c>
      <c r="C2847" s="16" t="s">
        <v>5423</v>
      </c>
      <c r="D2847" s="16" t="s">
        <v>5470</v>
      </c>
      <c r="E2847" s="17" t="s">
        <v>5471</v>
      </c>
      <c r="F2847" s="16" t="n">
        <v>32.07407589</v>
      </c>
      <c r="G2847" s="16" t="n">
        <v>45.24762673</v>
      </c>
      <c r="H2847" s="18" t="n">
        <v>16</v>
      </c>
      <c r="I2847" s="18" t="n">
        <v>96</v>
      </c>
      <c r="J2847" s="19" t="n">
        <v>5</v>
      </c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 t="n">
        <v>11</v>
      </c>
      <c r="W2847" s="19"/>
      <c r="X2847" s="19"/>
      <c r="Y2847" s="19"/>
      <c r="Z2847" s="19"/>
      <c r="AA2847" s="19"/>
      <c r="AB2847" s="19"/>
      <c r="AC2847" s="19" t="n">
        <v>12</v>
      </c>
      <c r="AD2847" s="19"/>
      <c r="AE2847" s="19"/>
      <c r="AF2847" s="19"/>
      <c r="AG2847" s="19"/>
      <c r="AH2847" s="19" t="n">
        <v>1</v>
      </c>
      <c r="AI2847" s="19"/>
      <c r="AJ2847" s="19" t="n">
        <v>3</v>
      </c>
      <c r="AK2847" s="19"/>
      <c r="AL2847" s="19"/>
      <c r="AM2847" s="19"/>
      <c r="AN2847" s="19" t="n">
        <v>11</v>
      </c>
      <c r="AO2847" s="19" t="n">
        <v>3</v>
      </c>
      <c r="AP2847" s="19" t="n">
        <v>2</v>
      </c>
      <c r="AQ2847" s="19"/>
      <c r="AR2847" s="19"/>
      <c r="AS2847" s="20" t="str">
        <f aca="false">HYPERLINK("http://www.openstreetmap.org/?mlat=32.0741&amp;mlon=45.2476&amp;zoom=12#map=12/32.0741/45.2476","Maplink1")</f>
        <v>Maplink1</v>
      </c>
      <c r="AT2847" s="20" t="str">
        <f aca="false">HYPERLINK("https://www.google.iq/maps/search/+32.0741,45.2476/@32.0741,45.2476,14z?hl=en","Maplink2")</f>
        <v>Maplink2</v>
      </c>
      <c r="AU2847" s="20" t="str">
        <f aca="false">HYPERLINK("http://www.bing.com/maps/?lvl=14&amp;sty=h&amp;cp=32.0741~45.2476&amp;sp=point.32.0741_45.2476","Maplink3")</f>
        <v>Maplink3</v>
      </c>
    </row>
    <row r="2848" customFormat="false" ht="15" hidden="false" customHeight="true" outlineLevel="0" collapsed="false">
      <c r="A2848" s="15" t="n">
        <v>3366</v>
      </c>
      <c r="B2848" s="16" t="s">
        <v>28</v>
      </c>
      <c r="C2848" s="16" t="s">
        <v>5423</v>
      </c>
      <c r="D2848" s="16" t="s">
        <v>5472</v>
      </c>
      <c r="E2848" s="17" t="s">
        <v>5473</v>
      </c>
      <c r="F2848" s="16" t="n">
        <v>32.06728462</v>
      </c>
      <c r="G2848" s="16" t="n">
        <v>45.24727922</v>
      </c>
      <c r="H2848" s="18" t="n">
        <v>10</v>
      </c>
      <c r="I2848" s="18" t="n">
        <v>60</v>
      </c>
      <c r="J2848" s="19" t="n">
        <v>3</v>
      </c>
      <c r="K2848" s="19"/>
      <c r="L2848" s="19"/>
      <c r="M2848" s="19"/>
      <c r="N2848" s="19"/>
      <c r="O2848" s="19"/>
      <c r="P2848" s="19"/>
      <c r="Q2848" s="19"/>
      <c r="R2848" s="19" t="n">
        <v>5</v>
      </c>
      <c r="S2848" s="19"/>
      <c r="T2848" s="19"/>
      <c r="U2848" s="19"/>
      <c r="V2848" s="19" t="n">
        <v>2</v>
      </c>
      <c r="W2848" s="19"/>
      <c r="X2848" s="19"/>
      <c r="Y2848" s="19"/>
      <c r="Z2848" s="19"/>
      <c r="AA2848" s="19"/>
      <c r="AB2848" s="19"/>
      <c r="AC2848" s="19" t="n">
        <v>3</v>
      </c>
      <c r="AD2848" s="19"/>
      <c r="AE2848" s="19"/>
      <c r="AF2848" s="19"/>
      <c r="AG2848" s="19"/>
      <c r="AH2848" s="19" t="n">
        <v>7</v>
      </c>
      <c r="AI2848" s="19"/>
      <c r="AJ2848" s="19"/>
      <c r="AK2848" s="19"/>
      <c r="AL2848" s="19"/>
      <c r="AM2848" s="19" t="n">
        <v>5</v>
      </c>
      <c r="AN2848" s="19" t="n">
        <v>2</v>
      </c>
      <c r="AO2848" s="19" t="n">
        <v>3</v>
      </c>
      <c r="AP2848" s="19"/>
      <c r="AQ2848" s="19"/>
      <c r="AR2848" s="19"/>
      <c r="AS2848" s="20" t="str">
        <f aca="false">HYPERLINK("http://www.openstreetmap.org/?mlat=32.0673&amp;mlon=45.2473&amp;zoom=12#map=12/32.0673/45.2473","Maplink1")</f>
        <v>Maplink1</v>
      </c>
      <c r="AT2848" s="20" t="str">
        <f aca="false">HYPERLINK("https://www.google.iq/maps/search/+32.0673,45.2473/@32.0673,45.2473,14z?hl=en","Maplink2")</f>
        <v>Maplink2</v>
      </c>
      <c r="AU2848" s="20" t="str">
        <f aca="false">HYPERLINK("http://www.bing.com/maps/?lvl=14&amp;sty=h&amp;cp=32.0673~45.2473&amp;sp=point.32.0673_45.2473","Maplink3")</f>
        <v>Maplink3</v>
      </c>
    </row>
    <row r="2849" customFormat="false" ht="15" hidden="false" customHeight="true" outlineLevel="0" collapsed="false">
      <c r="A2849" s="15" t="n">
        <v>25503</v>
      </c>
      <c r="B2849" s="16" t="s">
        <v>28</v>
      </c>
      <c r="C2849" s="16" t="s">
        <v>5423</v>
      </c>
      <c r="D2849" s="16" t="s">
        <v>5474</v>
      </c>
      <c r="E2849" s="17" t="s">
        <v>5475</v>
      </c>
      <c r="F2849" s="16" t="n">
        <v>32.15122875</v>
      </c>
      <c r="G2849" s="16" t="n">
        <v>44.99905393</v>
      </c>
      <c r="H2849" s="18" t="n">
        <v>8</v>
      </c>
      <c r="I2849" s="18" t="n">
        <v>48</v>
      </c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 t="n">
        <v>8</v>
      </c>
      <c r="W2849" s="19"/>
      <c r="X2849" s="19"/>
      <c r="Y2849" s="19"/>
      <c r="Z2849" s="19"/>
      <c r="AA2849" s="19"/>
      <c r="AB2849" s="19"/>
      <c r="AC2849" s="19" t="n">
        <v>3</v>
      </c>
      <c r="AD2849" s="19"/>
      <c r="AE2849" s="19"/>
      <c r="AF2849" s="19"/>
      <c r="AG2849" s="19"/>
      <c r="AH2849" s="19" t="n">
        <v>5</v>
      </c>
      <c r="AI2849" s="19"/>
      <c r="AJ2849" s="19"/>
      <c r="AK2849" s="19"/>
      <c r="AL2849" s="19"/>
      <c r="AM2849" s="19"/>
      <c r="AN2849" s="19" t="n">
        <v>8</v>
      </c>
      <c r="AO2849" s="19"/>
      <c r="AP2849" s="19"/>
      <c r="AQ2849" s="19"/>
      <c r="AR2849" s="19"/>
      <c r="AS2849" s="20" t="str">
        <f aca="false">HYPERLINK("http://www.openstreetmap.org/?mlat=32.1512&amp;mlon=44.9991&amp;zoom=12#map=12/32.1512/44.9991","Maplink1")</f>
        <v>Maplink1</v>
      </c>
      <c r="AT2849" s="20" t="str">
        <f aca="false">HYPERLINK("https://www.google.iq/maps/search/+32.1512,44.9991/@32.1512,44.9991,14z?hl=en","Maplink2")</f>
        <v>Maplink2</v>
      </c>
      <c r="AU2849" s="20" t="str">
        <f aca="false">HYPERLINK("http://www.bing.com/maps/?lvl=14&amp;sty=h&amp;cp=32.1512~44.9991&amp;sp=point.32.1512_44.9991","Maplink3")</f>
        <v>Maplink3</v>
      </c>
    </row>
    <row r="2850" customFormat="false" ht="15" hidden="false" customHeight="true" outlineLevel="0" collapsed="false">
      <c r="A2850" s="15" t="n">
        <v>3395</v>
      </c>
      <c r="B2850" s="16" t="s">
        <v>28</v>
      </c>
      <c r="C2850" s="16" t="s">
        <v>5423</v>
      </c>
      <c r="D2850" s="16" t="s">
        <v>5476</v>
      </c>
      <c r="E2850" s="17" t="s">
        <v>5477</v>
      </c>
      <c r="F2850" s="16" t="n">
        <v>31.97208154</v>
      </c>
      <c r="G2850" s="16" t="n">
        <v>45.40541288</v>
      </c>
      <c r="H2850" s="18" t="n">
        <v>5</v>
      </c>
      <c r="I2850" s="18" t="n">
        <v>30</v>
      </c>
      <c r="J2850" s="19" t="n">
        <v>3</v>
      </c>
      <c r="K2850" s="19"/>
      <c r="L2850" s="19"/>
      <c r="M2850" s="19"/>
      <c r="N2850" s="19"/>
      <c r="O2850" s="19"/>
      <c r="P2850" s="19"/>
      <c r="Q2850" s="19"/>
      <c r="R2850" s="19" t="n">
        <v>2</v>
      </c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 t="n">
        <v>2</v>
      </c>
      <c r="AD2850" s="19"/>
      <c r="AE2850" s="19"/>
      <c r="AF2850" s="19"/>
      <c r="AG2850" s="19"/>
      <c r="AH2850" s="19" t="n">
        <v>3</v>
      </c>
      <c r="AI2850" s="19"/>
      <c r="AJ2850" s="19"/>
      <c r="AK2850" s="19"/>
      <c r="AL2850" s="19"/>
      <c r="AM2850" s="19" t="n">
        <v>2</v>
      </c>
      <c r="AN2850" s="19"/>
      <c r="AO2850" s="19" t="n">
        <v>3</v>
      </c>
      <c r="AP2850" s="19"/>
      <c r="AQ2850" s="19"/>
      <c r="AR2850" s="19"/>
      <c r="AS2850" s="20" t="str">
        <f aca="false">HYPERLINK("http://www.openstreetmap.org/?mlat=31.9721&amp;mlon=45.4054&amp;zoom=12#map=12/31.9721/45.4054","Maplink1")</f>
        <v>Maplink1</v>
      </c>
      <c r="AT2850" s="20" t="str">
        <f aca="false">HYPERLINK("https://www.google.iq/maps/search/+31.9721,45.4054/@31.9721,45.4054,14z?hl=en","Maplink2")</f>
        <v>Maplink2</v>
      </c>
      <c r="AU2850" s="20" t="str">
        <f aca="false">HYPERLINK("http://www.bing.com/maps/?lvl=14&amp;sty=h&amp;cp=31.9721~45.4054&amp;sp=point.31.9721_45.4054","Maplink3")</f>
        <v>Maplink3</v>
      </c>
    </row>
    <row r="2851" customFormat="false" ht="15" hidden="false" customHeight="true" outlineLevel="0" collapsed="false">
      <c r="A2851" s="15" t="n">
        <v>3074</v>
      </c>
      <c r="B2851" s="16" t="s">
        <v>28</v>
      </c>
      <c r="C2851" s="16" t="s">
        <v>5423</v>
      </c>
      <c r="D2851" s="16" t="s">
        <v>5478</v>
      </c>
      <c r="E2851" s="17" t="s">
        <v>5479</v>
      </c>
      <c r="F2851" s="16" t="n">
        <v>32.06408633</v>
      </c>
      <c r="G2851" s="16" t="n">
        <v>45.24997308</v>
      </c>
      <c r="H2851" s="18" t="n">
        <v>11</v>
      </c>
      <c r="I2851" s="18" t="n">
        <v>66</v>
      </c>
      <c r="J2851" s="19" t="n">
        <v>9</v>
      </c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 t="n">
        <v>2</v>
      </c>
      <c r="W2851" s="19"/>
      <c r="X2851" s="19"/>
      <c r="Y2851" s="19"/>
      <c r="Z2851" s="19"/>
      <c r="AA2851" s="19"/>
      <c r="AB2851" s="19"/>
      <c r="AC2851" s="19"/>
      <c r="AD2851" s="19"/>
      <c r="AE2851" s="19"/>
      <c r="AF2851" s="19"/>
      <c r="AG2851" s="19"/>
      <c r="AH2851" s="19" t="n">
        <v>3</v>
      </c>
      <c r="AI2851" s="19"/>
      <c r="AJ2851" s="19" t="n">
        <v>8</v>
      </c>
      <c r="AK2851" s="19"/>
      <c r="AL2851" s="19"/>
      <c r="AM2851" s="19"/>
      <c r="AN2851" s="19" t="n">
        <v>2</v>
      </c>
      <c r="AO2851" s="19" t="n">
        <v>4</v>
      </c>
      <c r="AP2851" s="19" t="n">
        <v>5</v>
      </c>
      <c r="AQ2851" s="19"/>
      <c r="AR2851" s="19"/>
      <c r="AS2851" s="20" t="str">
        <f aca="false">HYPERLINK("http://www.openstreetmap.org/?mlat=32.0641&amp;mlon=45.25&amp;zoom=12#map=12/32.0641/45.25","Maplink1")</f>
        <v>Maplink1</v>
      </c>
      <c r="AT2851" s="20" t="str">
        <f aca="false">HYPERLINK("https://www.google.iq/maps/search/+32.0641,45.25/@32.0641,45.25,14z?hl=en","Maplink2")</f>
        <v>Maplink2</v>
      </c>
      <c r="AU2851" s="20" t="str">
        <f aca="false">HYPERLINK("http://www.bing.com/maps/?lvl=14&amp;sty=h&amp;cp=32.0641~45.25&amp;sp=point.32.0641_45.25","Maplink3")</f>
        <v>Maplink3</v>
      </c>
    </row>
    <row r="2852" customFormat="false" ht="15" hidden="false" customHeight="true" outlineLevel="0" collapsed="false">
      <c r="A2852" s="15" t="n">
        <v>25377</v>
      </c>
      <c r="B2852" s="16" t="s">
        <v>28</v>
      </c>
      <c r="C2852" s="16" t="s">
        <v>5423</v>
      </c>
      <c r="D2852" s="16" t="s">
        <v>5480</v>
      </c>
      <c r="E2852" s="17" t="s">
        <v>5481</v>
      </c>
      <c r="F2852" s="16" t="n">
        <v>31.97345801</v>
      </c>
      <c r="G2852" s="16" t="n">
        <v>45.40794195</v>
      </c>
      <c r="H2852" s="18" t="n">
        <v>5</v>
      </c>
      <c r="I2852" s="18" t="n">
        <v>30</v>
      </c>
      <c r="J2852" s="19" t="n">
        <v>2</v>
      </c>
      <c r="K2852" s="19"/>
      <c r="L2852" s="19"/>
      <c r="M2852" s="19"/>
      <c r="N2852" s="19"/>
      <c r="O2852" s="19"/>
      <c r="P2852" s="19"/>
      <c r="Q2852" s="19"/>
      <c r="R2852" s="19" t="n">
        <v>3</v>
      </c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 t="n">
        <v>3</v>
      </c>
      <c r="AD2852" s="19"/>
      <c r="AE2852" s="19"/>
      <c r="AF2852" s="19"/>
      <c r="AG2852" s="19"/>
      <c r="AH2852" s="19" t="n">
        <v>2</v>
      </c>
      <c r="AI2852" s="19"/>
      <c r="AJ2852" s="19"/>
      <c r="AK2852" s="19"/>
      <c r="AL2852" s="19"/>
      <c r="AM2852" s="19"/>
      <c r="AN2852" s="19" t="n">
        <v>3</v>
      </c>
      <c r="AO2852" s="19" t="n">
        <v>2</v>
      </c>
      <c r="AP2852" s="19"/>
      <c r="AQ2852" s="19"/>
      <c r="AR2852" s="19"/>
      <c r="AS2852" s="20" t="str">
        <f aca="false">HYPERLINK("http://www.openstreetmap.org/?mlat=31.9735&amp;mlon=45.4079&amp;zoom=12#map=12/31.9735/45.4079","Maplink1")</f>
        <v>Maplink1</v>
      </c>
      <c r="AT2852" s="20" t="str">
        <f aca="false">HYPERLINK("https://www.google.iq/maps/search/+31.9735,45.4079/@31.9735,45.4079,14z?hl=en","Maplink2")</f>
        <v>Maplink2</v>
      </c>
      <c r="AU2852" s="20" t="str">
        <f aca="false">HYPERLINK("http://www.bing.com/maps/?lvl=14&amp;sty=h&amp;cp=31.9735~45.4079&amp;sp=point.31.9735_45.4079","Maplink3")</f>
        <v>Maplink3</v>
      </c>
    </row>
    <row r="2853" customFormat="false" ht="15" hidden="false" customHeight="true" outlineLevel="0" collapsed="false">
      <c r="A2853" s="15" t="n">
        <v>3187</v>
      </c>
      <c r="B2853" s="16" t="s">
        <v>28</v>
      </c>
      <c r="C2853" s="16" t="s">
        <v>5423</v>
      </c>
      <c r="D2853" s="16" t="s">
        <v>5482</v>
      </c>
      <c r="E2853" s="17" t="s">
        <v>5483</v>
      </c>
      <c r="F2853" s="16" t="n">
        <v>32.05797961</v>
      </c>
      <c r="G2853" s="16" t="n">
        <v>45.17661223</v>
      </c>
      <c r="H2853" s="18" t="n">
        <v>10</v>
      </c>
      <c r="I2853" s="18" t="n">
        <v>60</v>
      </c>
      <c r="J2853" s="19"/>
      <c r="K2853" s="19"/>
      <c r="L2853" s="19"/>
      <c r="M2853" s="19"/>
      <c r="N2853" s="19"/>
      <c r="O2853" s="19"/>
      <c r="P2853" s="19"/>
      <c r="Q2853" s="19"/>
      <c r="R2853" s="19" t="n">
        <v>5</v>
      </c>
      <c r="S2853" s="19"/>
      <c r="T2853" s="19"/>
      <c r="U2853" s="19"/>
      <c r="V2853" s="19" t="n">
        <v>5</v>
      </c>
      <c r="W2853" s="19"/>
      <c r="X2853" s="19"/>
      <c r="Y2853" s="19"/>
      <c r="Z2853" s="19"/>
      <c r="AA2853" s="19"/>
      <c r="AB2853" s="19"/>
      <c r="AC2853" s="19" t="n">
        <v>3</v>
      </c>
      <c r="AD2853" s="19"/>
      <c r="AE2853" s="19"/>
      <c r="AF2853" s="19"/>
      <c r="AG2853" s="19" t="n">
        <v>5</v>
      </c>
      <c r="AH2853" s="19" t="n">
        <v>2</v>
      </c>
      <c r="AI2853" s="19"/>
      <c r="AJ2853" s="19"/>
      <c r="AK2853" s="19"/>
      <c r="AL2853" s="19"/>
      <c r="AM2853" s="19" t="n">
        <v>5</v>
      </c>
      <c r="AN2853" s="19" t="n">
        <v>5</v>
      </c>
      <c r="AO2853" s="19"/>
      <c r="AP2853" s="19"/>
      <c r="AQ2853" s="19"/>
      <c r="AR2853" s="19"/>
      <c r="AS2853" s="20" t="str">
        <f aca="false">HYPERLINK("http://www.openstreetmap.org/?mlat=32.058&amp;mlon=45.1766&amp;zoom=12#map=12/32.058/45.1766","Maplink1")</f>
        <v>Maplink1</v>
      </c>
      <c r="AT2853" s="20" t="str">
        <f aca="false">HYPERLINK("https://www.google.iq/maps/search/+32.058,45.1766/@32.058,45.1766,14z?hl=en","Maplink2")</f>
        <v>Maplink2</v>
      </c>
      <c r="AU2853" s="20" t="str">
        <f aca="false">HYPERLINK("http://www.bing.com/maps/?lvl=14&amp;sty=h&amp;cp=32.058~45.1766&amp;sp=point.32.058_45.1766","Maplink3")</f>
        <v>Maplink3</v>
      </c>
    </row>
    <row r="2854" customFormat="false" ht="15" hidden="false" customHeight="true" outlineLevel="0" collapsed="false">
      <c r="A2854" s="15" t="n">
        <v>25374</v>
      </c>
      <c r="B2854" s="16" t="s">
        <v>28</v>
      </c>
      <c r="C2854" s="16" t="s">
        <v>5423</v>
      </c>
      <c r="D2854" s="16" t="s">
        <v>5484</v>
      </c>
      <c r="E2854" s="17" t="s">
        <v>5485</v>
      </c>
      <c r="F2854" s="16" t="n">
        <v>31.98078216</v>
      </c>
      <c r="G2854" s="16" t="n">
        <v>45.41164968</v>
      </c>
      <c r="H2854" s="18" t="n">
        <v>20</v>
      </c>
      <c r="I2854" s="18" t="n">
        <v>120</v>
      </c>
      <c r="J2854" s="19"/>
      <c r="K2854" s="19"/>
      <c r="L2854" s="19"/>
      <c r="M2854" s="19"/>
      <c r="N2854" s="19"/>
      <c r="O2854" s="19"/>
      <c r="P2854" s="19"/>
      <c r="Q2854" s="19"/>
      <c r="R2854" s="19" t="n">
        <v>20</v>
      </c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 t="n">
        <v>14</v>
      </c>
      <c r="AD2854" s="19"/>
      <c r="AE2854" s="19"/>
      <c r="AF2854" s="19"/>
      <c r="AG2854" s="19"/>
      <c r="AH2854" s="19" t="n">
        <v>6</v>
      </c>
      <c r="AI2854" s="19"/>
      <c r="AJ2854" s="19"/>
      <c r="AK2854" s="19"/>
      <c r="AL2854" s="19"/>
      <c r="AM2854" s="19" t="n">
        <v>13</v>
      </c>
      <c r="AN2854" s="19" t="n">
        <v>7</v>
      </c>
      <c r="AO2854" s="19"/>
      <c r="AP2854" s="19"/>
      <c r="AQ2854" s="19"/>
      <c r="AR2854" s="19"/>
      <c r="AS2854" s="20" t="str">
        <f aca="false">HYPERLINK("http://www.openstreetmap.org/?mlat=31.9808&amp;mlon=45.4116&amp;zoom=12#map=12/31.9808/45.4116","Maplink1")</f>
        <v>Maplink1</v>
      </c>
      <c r="AT2854" s="20" t="str">
        <f aca="false">HYPERLINK("https://www.google.iq/maps/search/+31.9808,45.4116/@31.9808,45.4116,14z?hl=en","Maplink2")</f>
        <v>Maplink2</v>
      </c>
      <c r="AU2854" s="20" t="str">
        <f aca="false">HYPERLINK("http://www.bing.com/maps/?lvl=14&amp;sty=h&amp;cp=31.9808~45.4116&amp;sp=point.31.9808_45.4116","Maplink3")</f>
        <v>Maplink3</v>
      </c>
    </row>
    <row r="2855" customFormat="false" ht="15" hidden="false" customHeight="true" outlineLevel="0" collapsed="false">
      <c r="A2855" s="15" t="n">
        <v>25373</v>
      </c>
      <c r="B2855" s="16" t="s">
        <v>28</v>
      </c>
      <c r="C2855" s="16" t="s">
        <v>5423</v>
      </c>
      <c r="D2855" s="16" t="s">
        <v>5486</v>
      </c>
      <c r="E2855" s="17" t="s">
        <v>5487</v>
      </c>
      <c r="F2855" s="16" t="n">
        <v>31.98509</v>
      </c>
      <c r="G2855" s="16" t="n">
        <v>45.40836372</v>
      </c>
      <c r="H2855" s="18" t="n">
        <v>12</v>
      </c>
      <c r="I2855" s="18" t="n">
        <v>72</v>
      </c>
      <c r="J2855" s="19"/>
      <c r="K2855" s="19"/>
      <c r="L2855" s="19"/>
      <c r="M2855" s="19"/>
      <c r="N2855" s="19"/>
      <c r="O2855" s="19"/>
      <c r="P2855" s="19"/>
      <c r="Q2855" s="19"/>
      <c r="R2855" s="19" t="n">
        <v>7</v>
      </c>
      <c r="S2855" s="19"/>
      <c r="T2855" s="19"/>
      <c r="U2855" s="19"/>
      <c r="V2855" s="19" t="n">
        <v>4</v>
      </c>
      <c r="W2855" s="19"/>
      <c r="X2855" s="19" t="n">
        <v>1</v>
      </c>
      <c r="Y2855" s="19"/>
      <c r="Z2855" s="19"/>
      <c r="AA2855" s="19"/>
      <c r="AB2855" s="19"/>
      <c r="AC2855" s="19" t="n">
        <v>4</v>
      </c>
      <c r="AD2855" s="19"/>
      <c r="AE2855" s="19" t="n">
        <v>4</v>
      </c>
      <c r="AF2855" s="19"/>
      <c r="AG2855" s="19"/>
      <c r="AH2855" s="19" t="n">
        <v>4</v>
      </c>
      <c r="AI2855" s="19"/>
      <c r="AJ2855" s="19"/>
      <c r="AK2855" s="19"/>
      <c r="AL2855" s="19"/>
      <c r="AM2855" s="19" t="n">
        <v>7</v>
      </c>
      <c r="AN2855" s="19" t="n">
        <v>5</v>
      </c>
      <c r="AO2855" s="19"/>
      <c r="AP2855" s="19"/>
      <c r="AQ2855" s="19"/>
      <c r="AR2855" s="19"/>
      <c r="AS2855" s="20" t="str">
        <f aca="false">HYPERLINK("http://www.openstreetmap.org/?mlat=31.9851&amp;mlon=45.4084&amp;zoom=12#map=12/31.9851/45.4084","Maplink1")</f>
        <v>Maplink1</v>
      </c>
      <c r="AT2855" s="20" t="str">
        <f aca="false">HYPERLINK("https://www.google.iq/maps/search/+31.9851,45.4084/@31.9851,45.4084,14z?hl=en","Maplink2")</f>
        <v>Maplink2</v>
      </c>
      <c r="AU2855" s="20" t="str">
        <f aca="false">HYPERLINK("http://www.bing.com/maps/?lvl=14&amp;sty=h&amp;cp=31.9851~45.4084&amp;sp=point.31.9851_45.4084","Maplink3")</f>
        <v>Maplink3</v>
      </c>
    </row>
    <row r="2856" customFormat="false" ht="15" hidden="false" customHeight="true" outlineLevel="0" collapsed="false">
      <c r="A2856" s="15" t="n">
        <v>25375</v>
      </c>
      <c r="B2856" s="16" t="s">
        <v>28</v>
      </c>
      <c r="C2856" s="16" t="s">
        <v>5423</v>
      </c>
      <c r="D2856" s="16" t="s">
        <v>5488</v>
      </c>
      <c r="E2856" s="17" t="s">
        <v>5489</v>
      </c>
      <c r="F2856" s="16" t="n">
        <v>31.9765304</v>
      </c>
      <c r="G2856" s="16" t="n">
        <v>45.41560334</v>
      </c>
      <c r="H2856" s="18" t="n">
        <v>64</v>
      </c>
      <c r="I2856" s="18" t="n">
        <v>384</v>
      </c>
      <c r="J2856" s="19"/>
      <c r="K2856" s="19"/>
      <c r="L2856" s="19"/>
      <c r="M2856" s="19"/>
      <c r="N2856" s="19"/>
      <c r="O2856" s="19"/>
      <c r="P2856" s="19"/>
      <c r="Q2856" s="19"/>
      <c r="R2856" s="19" t="n">
        <v>5</v>
      </c>
      <c r="S2856" s="19"/>
      <c r="T2856" s="19"/>
      <c r="U2856" s="19"/>
      <c r="V2856" s="19" t="n">
        <v>59</v>
      </c>
      <c r="W2856" s="19"/>
      <c r="X2856" s="19"/>
      <c r="Y2856" s="19"/>
      <c r="Z2856" s="19"/>
      <c r="AA2856" s="19"/>
      <c r="AB2856" s="19"/>
      <c r="AC2856" s="19" t="n">
        <v>5</v>
      </c>
      <c r="AD2856" s="19"/>
      <c r="AE2856" s="19"/>
      <c r="AF2856" s="19"/>
      <c r="AG2856" s="19" t="n">
        <v>54</v>
      </c>
      <c r="AH2856" s="19" t="n">
        <v>5</v>
      </c>
      <c r="AI2856" s="19"/>
      <c r="AJ2856" s="19"/>
      <c r="AK2856" s="19"/>
      <c r="AL2856" s="19"/>
      <c r="AM2856" s="19"/>
      <c r="AN2856" s="19" t="n">
        <v>24</v>
      </c>
      <c r="AO2856" s="19" t="n">
        <v>40</v>
      </c>
      <c r="AP2856" s="19"/>
      <c r="AQ2856" s="19"/>
      <c r="AR2856" s="19"/>
      <c r="AS2856" s="20" t="str">
        <f aca="false">HYPERLINK("http://www.openstreetmap.org/?mlat=31.9765&amp;mlon=45.4156&amp;zoom=12#map=12/31.9765/45.4156","Maplink1")</f>
        <v>Maplink1</v>
      </c>
      <c r="AT2856" s="20" t="str">
        <f aca="false">HYPERLINK("https://www.google.iq/maps/search/+31.9765,45.4156/@31.9765,45.4156,14z?hl=en","Maplink2")</f>
        <v>Maplink2</v>
      </c>
      <c r="AU2856" s="20" t="str">
        <f aca="false">HYPERLINK("http://www.bing.com/maps/?lvl=14&amp;sty=h&amp;cp=31.9765~45.4156&amp;sp=point.31.9765_45.4156","Maplink3")</f>
        <v>Maplink3</v>
      </c>
    </row>
    <row r="2857" customFormat="false" ht="15" hidden="false" customHeight="true" outlineLevel="0" collapsed="false">
      <c r="A2857" s="15" t="n">
        <v>25561</v>
      </c>
      <c r="B2857" s="16" t="s">
        <v>28</v>
      </c>
      <c r="C2857" s="16" t="s">
        <v>5490</v>
      </c>
      <c r="D2857" s="16" t="s">
        <v>5491</v>
      </c>
      <c r="E2857" s="17" t="s">
        <v>5492</v>
      </c>
      <c r="F2857" s="16" t="n">
        <v>32.03768703</v>
      </c>
      <c r="G2857" s="16" t="n">
        <v>44.55948682</v>
      </c>
      <c r="H2857" s="18" t="n">
        <v>10</v>
      </c>
      <c r="I2857" s="18" t="n">
        <v>60</v>
      </c>
      <c r="J2857" s="19" t="n">
        <v>3</v>
      </c>
      <c r="K2857" s="19"/>
      <c r="L2857" s="19"/>
      <c r="M2857" s="19"/>
      <c r="N2857" s="19"/>
      <c r="O2857" s="19"/>
      <c r="P2857" s="19"/>
      <c r="Q2857" s="19"/>
      <c r="R2857" s="19" t="n">
        <v>1</v>
      </c>
      <c r="S2857" s="19"/>
      <c r="T2857" s="19"/>
      <c r="U2857" s="19"/>
      <c r="V2857" s="19" t="n">
        <v>6</v>
      </c>
      <c r="W2857" s="19"/>
      <c r="X2857" s="19"/>
      <c r="Y2857" s="19"/>
      <c r="Z2857" s="19"/>
      <c r="AA2857" s="19"/>
      <c r="AB2857" s="19"/>
      <c r="AC2857" s="19" t="n">
        <v>4</v>
      </c>
      <c r="AD2857" s="19"/>
      <c r="AE2857" s="19"/>
      <c r="AF2857" s="19"/>
      <c r="AG2857" s="19"/>
      <c r="AH2857" s="19" t="n">
        <v>6</v>
      </c>
      <c r="AI2857" s="19"/>
      <c r="AJ2857" s="19"/>
      <c r="AK2857" s="19"/>
      <c r="AL2857" s="19"/>
      <c r="AM2857" s="19" t="n">
        <v>1</v>
      </c>
      <c r="AN2857" s="19" t="n">
        <v>6</v>
      </c>
      <c r="AO2857" s="19" t="n">
        <v>1</v>
      </c>
      <c r="AP2857" s="19" t="n">
        <v>2</v>
      </c>
      <c r="AQ2857" s="19"/>
      <c r="AR2857" s="19"/>
      <c r="AS2857" s="20" t="str">
        <f aca="false">HYPERLINK("http://www.openstreetmap.org/?mlat=32.0377&amp;mlon=44.5595&amp;zoom=12#map=12/32.0377/44.5595","Maplink1")</f>
        <v>Maplink1</v>
      </c>
      <c r="AT2857" s="20" t="str">
        <f aca="false">HYPERLINK("https://www.google.iq/maps/search/+32.0377,44.5595/@32.0377,44.5595,14z?hl=en","Maplink2")</f>
        <v>Maplink2</v>
      </c>
      <c r="AU2857" s="20" t="str">
        <f aca="false">HYPERLINK("http://www.bing.com/maps/?lvl=14&amp;sty=h&amp;cp=32.0377~44.5595&amp;sp=point.32.0377_44.5595","Maplink3")</f>
        <v>Maplink3</v>
      </c>
    </row>
    <row r="2858" customFormat="false" ht="15" hidden="false" customHeight="true" outlineLevel="0" collapsed="false">
      <c r="A2858" s="15" t="n">
        <v>25505</v>
      </c>
      <c r="B2858" s="16" t="s">
        <v>28</v>
      </c>
      <c r="C2858" s="16" t="s">
        <v>5490</v>
      </c>
      <c r="D2858" s="16" t="s">
        <v>5493</v>
      </c>
      <c r="E2858" s="17" t="s">
        <v>5494</v>
      </c>
      <c r="F2858" s="16" t="n">
        <v>32.04074885</v>
      </c>
      <c r="G2858" s="16" t="n">
        <v>44.56045912</v>
      </c>
      <c r="H2858" s="18" t="n">
        <v>12</v>
      </c>
      <c r="I2858" s="18" t="n">
        <v>72</v>
      </c>
      <c r="J2858" s="19" t="n">
        <v>4</v>
      </c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 t="n">
        <v>8</v>
      </c>
      <c r="W2858" s="19"/>
      <c r="X2858" s="19"/>
      <c r="Y2858" s="19"/>
      <c r="Z2858" s="19"/>
      <c r="AA2858" s="19"/>
      <c r="AB2858" s="19"/>
      <c r="AC2858" s="19" t="n">
        <v>5</v>
      </c>
      <c r="AD2858" s="19"/>
      <c r="AE2858" s="19"/>
      <c r="AF2858" s="19"/>
      <c r="AG2858" s="19"/>
      <c r="AH2858" s="19" t="n">
        <v>7</v>
      </c>
      <c r="AI2858" s="19"/>
      <c r="AJ2858" s="19"/>
      <c r="AK2858" s="19"/>
      <c r="AL2858" s="19"/>
      <c r="AM2858" s="19" t="n">
        <v>7</v>
      </c>
      <c r="AN2858" s="19" t="n">
        <v>1</v>
      </c>
      <c r="AO2858" s="19"/>
      <c r="AP2858" s="19" t="n">
        <v>4</v>
      </c>
      <c r="AQ2858" s="19"/>
      <c r="AR2858" s="19"/>
      <c r="AS2858" s="20" t="str">
        <f aca="false">HYPERLINK("http://www.openstreetmap.org/?mlat=32.0407&amp;mlon=44.5605&amp;zoom=12#map=12/32.0407/44.5605","Maplink1")</f>
        <v>Maplink1</v>
      </c>
      <c r="AT2858" s="20" t="str">
        <f aca="false">HYPERLINK("https://www.google.iq/maps/search/+32.0407,44.5605/@32.0407,44.5605,14z?hl=en","Maplink2")</f>
        <v>Maplink2</v>
      </c>
      <c r="AU2858" s="20" t="str">
        <f aca="false">HYPERLINK("http://www.bing.com/maps/?lvl=14&amp;sty=h&amp;cp=32.0407~44.5605&amp;sp=point.32.0407_44.5605","Maplink3")</f>
        <v>Maplink3</v>
      </c>
    </row>
    <row r="2859" customFormat="false" ht="15" hidden="false" customHeight="true" outlineLevel="0" collapsed="false">
      <c r="A2859" s="15" t="n">
        <v>25911</v>
      </c>
      <c r="B2859" s="16" t="s">
        <v>28</v>
      </c>
      <c r="C2859" s="16" t="s">
        <v>5490</v>
      </c>
      <c r="D2859" s="16" t="s">
        <v>5495</v>
      </c>
      <c r="E2859" s="17" t="s">
        <v>5496</v>
      </c>
      <c r="F2859" s="16" t="n">
        <v>32.05425222</v>
      </c>
      <c r="G2859" s="16" t="n">
        <v>44.56006257</v>
      </c>
      <c r="H2859" s="18" t="n">
        <v>4</v>
      </c>
      <c r="I2859" s="18" t="n">
        <v>24</v>
      </c>
      <c r="J2859" s="19"/>
      <c r="K2859" s="19"/>
      <c r="L2859" s="19"/>
      <c r="M2859" s="19"/>
      <c r="N2859" s="19"/>
      <c r="O2859" s="19"/>
      <c r="P2859" s="19"/>
      <c r="Q2859" s="19"/>
      <c r="R2859" s="19" t="n">
        <v>2</v>
      </c>
      <c r="S2859" s="19"/>
      <c r="T2859" s="19"/>
      <c r="U2859" s="19"/>
      <c r="V2859" s="19" t="n">
        <v>2</v>
      </c>
      <c r="W2859" s="19"/>
      <c r="X2859" s="19"/>
      <c r="Y2859" s="19"/>
      <c r="Z2859" s="19"/>
      <c r="AA2859" s="19"/>
      <c r="AB2859" s="19"/>
      <c r="AC2859" s="19" t="n">
        <v>3</v>
      </c>
      <c r="AD2859" s="19"/>
      <c r="AE2859" s="19"/>
      <c r="AF2859" s="19"/>
      <c r="AG2859" s="19"/>
      <c r="AH2859" s="19" t="n">
        <v>1</v>
      </c>
      <c r="AI2859" s="19"/>
      <c r="AJ2859" s="19"/>
      <c r="AK2859" s="19"/>
      <c r="AL2859" s="19"/>
      <c r="AM2859" s="19" t="n">
        <v>2</v>
      </c>
      <c r="AN2859" s="19" t="n">
        <v>2</v>
      </c>
      <c r="AO2859" s="19"/>
      <c r="AP2859" s="19"/>
      <c r="AQ2859" s="19"/>
      <c r="AR2859" s="19"/>
      <c r="AS2859" s="20" t="str">
        <f aca="false">HYPERLINK("http://www.openstreetmap.org/?mlat=32.0543&amp;mlon=44.5601&amp;zoom=12#map=12/32.0543/44.5601","Maplink1")</f>
        <v>Maplink1</v>
      </c>
      <c r="AT2859" s="20" t="str">
        <f aca="false">HYPERLINK("https://www.google.iq/maps/search/+32.0543,44.5601/@32.0543,44.5601,14z?hl=en","Maplink2")</f>
        <v>Maplink2</v>
      </c>
      <c r="AU2859" s="20" t="str">
        <f aca="false">HYPERLINK("http://www.bing.com/maps/?lvl=14&amp;sty=h&amp;cp=32.0543~44.5601&amp;sp=point.32.0543_44.5601","Maplink3")</f>
        <v>Maplink3</v>
      </c>
    </row>
    <row r="2860" customFormat="false" ht="15" hidden="false" customHeight="true" outlineLevel="0" collapsed="false">
      <c r="A2860" s="15" t="n">
        <v>25279</v>
      </c>
      <c r="B2860" s="16" t="s">
        <v>28</v>
      </c>
      <c r="C2860" s="16" t="s">
        <v>5490</v>
      </c>
      <c r="D2860" s="16" t="s">
        <v>5497</v>
      </c>
      <c r="E2860" s="17" t="s">
        <v>5498</v>
      </c>
      <c r="F2860" s="16" t="n">
        <v>31.78272475</v>
      </c>
      <c r="G2860" s="16" t="n">
        <v>44.58374572</v>
      </c>
      <c r="H2860" s="18" t="n">
        <v>20</v>
      </c>
      <c r="I2860" s="18" t="n">
        <v>120</v>
      </c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 t="n">
        <v>20</v>
      </c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9"/>
      <c r="AH2860" s="19" t="n">
        <v>4</v>
      </c>
      <c r="AI2860" s="19"/>
      <c r="AJ2860" s="19" t="n">
        <v>16</v>
      </c>
      <c r="AK2860" s="19"/>
      <c r="AL2860" s="19"/>
      <c r="AM2860" s="19" t="n">
        <v>8</v>
      </c>
      <c r="AN2860" s="19" t="n">
        <v>12</v>
      </c>
      <c r="AO2860" s="19"/>
      <c r="AP2860" s="19"/>
      <c r="AQ2860" s="19"/>
      <c r="AR2860" s="19"/>
      <c r="AS2860" s="20" t="str">
        <f aca="false">HYPERLINK("http://www.openstreetmap.org/?mlat=31.7827&amp;mlon=44.5837&amp;zoom=12#map=12/31.7827/44.5837","Maplink1")</f>
        <v>Maplink1</v>
      </c>
      <c r="AT2860" s="20" t="str">
        <f aca="false">HYPERLINK("https://www.google.iq/maps/search/+31.7827,44.5837/@31.7827,44.5837,14z?hl=en","Maplink2")</f>
        <v>Maplink2</v>
      </c>
      <c r="AU2860" s="20" t="str">
        <f aca="false">HYPERLINK("http://www.bing.com/maps/?lvl=14&amp;sty=h&amp;cp=31.7827~44.5837&amp;sp=point.31.7827_44.5837","Maplink3")</f>
        <v>Maplink3</v>
      </c>
    </row>
    <row r="2861" customFormat="false" ht="15" hidden="false" customHeight="true" outlineLevel="0" collapsed="false">
      <c r="A2861" s="15" t="n">
        <v>25914</v>
      </c>
      <c r="B2861" s="16" t="s">
        <v>28</v>
      </c>
      <c r="C2861" s="16" t="s">
        <v>5490</v>
      </c>
      <c r="D2861" s="16" t="s">
        <v>5499</v>
      </c>
      <c r="E2861" s="17" t="s">
        <v>5500</v>
      </c>
      <c r="F2861" s="16" t="n">
        <v>32.02927227</v>
      </c>
      <c r="G2861" s="16" t="n">
        <v>44.55089243</v>
      </c>
      <c r="H2861" s="18" t="n">
        <v>10</v>
      </c>
      <c r="I2861" s="18" t="n">
        <v>60</v>
      </c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 t="n">
        <v>10</v>
      </c>
      <c r="W2861" s="19"/>
      <c r="X2861" s="19"/>
      <c r="Y2861" s="19"/>
      <c r="Z2861" s="19"/>
      <c r="AA2861" s="19"/>
      <c r="AB2861" s="19"/>
      <c r="AC2861" s="19" t="n">
        <v>5</v>
      </c>
      <c r="AD2861" s="19"/>
      <c r="AE2861" s="19"/>
      <c r="AF2861" s="19"/>
      <c r="AG2861" s="19" t="n">
        <v>5</v>
      </c>
      <c r="AH2861" s="19"/>
      <c r="AI2861" s="19"/>
      <c r="AJ2861" s="19"/>
      <c r="AK2861" s="19"/>
      <c r="AL2861" s="19"/>
      <c r="AM2861" s="19" t="n">
        <v>9</v>
      </c>
      <c r="AN2861" s="19" t="n">
        <v>1</v>
      </c>
      <c r="AO2861" s="19"/>
      <c r="AP2861" s="19"/>
      <c r="AQ2861" s="19"/>
      <c r="AR2861" s="19"/>
      <c r="AS2861" s="20" t="str">
        <f aca="false">HYPERLINK("http://www.openstreetmap.org/?mlat=32.0293&amp;mlon=44.5509&amp;zoom=12#map=12/32.0293/44.5509","Maplink1")</f>
        <v>Maplink1</v>
      </c>
      <c r="AT2861" s="20" t="str">
        <f aca="false">HYPERLINK("https://www.google.iq/maps/search/+32.0293,44.5509/@32.0293,44.5509,14z?hl=en","Maplink2")</f>
        <v>Maplink2</v>
      </c>
      <c r="AU2861" s="20" t="str">
        <f aca="false">HYPERLINK("http://www.bing.com/maps/?lvl=14&amp;sty=h&amp;cp=32.0293~44.5509&amp;sp=point.32.0293_44.5509","Maplink3")</f>
        <v>Maplink3</v>
      </c>
    </row>
    <row r="2862" customFormat="false" ht="15" hidden="false" customHeight="true" outlineLevel="0" collapsed="false">
      <c r="A2862" s="15" t="n">
        <v>2998</v>
      </c>
      <c r="B2862" s="16" t="s">
        <v>28</v>
      </c>
      <c r="C2862" s="16" t="s">
        <v>5490</v>
      </c>
      <c r="D2862" s="16" t="s">
        <v>5501</v>
      </c>
      <c r="E2862" s="17" t="s">
        <v>5502</v>
      </c>
      <c r="F2862" s="16" t="n">
        <v>32.00774347</v>
      </c>
      <c r="G2862" s="16" t="n">
        <v>44.54782206</v>
      </c>
      <c r="H2862" s="18" t="n">
        <v>9</v>
      </c>
      <c r="I2862" s="18" t="n">
        <v>54</v>
      </c>
      <c r="J2862" s="19"/>
      <c r="K2862" s="19"/>
      <c r="L2862" s="19"/>
      <c r="M2862" s="19"/>
      <c r="N2862" s="19"/>
      <c r="O2862" s="19"/>
      <c r="P2862" s="19"/>
      <c r="Q2862" s="19"/>
      <c r="R2862" s="19" t="n">
        <v>2</v>
      </c>
      <c r="S2862" s="19"/>
      <c r="T2862" s="19"/>
      <c r="U2862" s="19"/>
      <c r="V2862" s="19" t="n">
        <v>7</v>
      </c>
      <c r="W2862" s="19"/>
      <c r="X2862" s="19"/>
      <c r="Y2862" s="19"/>
      <c r="Z2862" s="19"/>
      <c r="AA2862" s="19"/>
      <c r="AB2862" s="19"/>
      <c r="AC2862" s="19" t="n">
        <v>4</v>
      </c>
      <c r="AD2862" s="19"/>
      <c r="AE2862" s="19"/>
      <c r="AF2862" s="19"/>
      <c r="AG2862" s="19" t="n">
        <v>4</v>
      </c>
      <c r="AH2862" s="19" t="n">
        <v>1</v>
      </c>
      <c r="AI2862" s="19"/>
      <c r="AJ2862" s="19"/>
      <c r="AK2862" s="19"/>
      <c r="AL2862" s="19"/>
      <c r="AM2862" s="19" t="n">
        <v>6</v>
      </c>
      <c r="AN2862" s="19" t="n">
        <v>3</v>
      </c>
      <c r="AO2862" s="19"/>
      <c r="AP2862" s="19"/>
      <c r="AQ2862" s="19"/>
      <c r="AR2862" s="19"/>
      <c r="AS2862" s="20" t="str">
        <f aca="false">HYPERLINK("http://www.openstreetmap.org/?mlat=32.0077&amp;mlon=44.5478&amp;zoom=12#map=12/32.0077/44.5478","Maplink1")</f>
        <v>Maplink1</v>
      </c>
      <c r="AT2862" s="20" t="str">
        <f aca="false">HYPERLINK("https://www.google.iq/maps/search/+32.0077,44.5478/@32.0077,44.5478,14z?hl=en","Maplink2")</f>
        <v>Maplink2</v>
      </c>
      <c r="AU2862" s="20" t="str">
        <f aca="false">HYPERLINK("http://www.bing.com/maps/?lvl=14&amp;sty=h&amp;cp=32.0077~44.5478&amp;sp=point.32.0077_44.5478","Maplink3")</f>
        <v>Maplink3</v>
      </c>
    </row>
    <row r="2863" customFormat="false" ht="15" hidden="false" customHeight="true" outlineLevel="0" collapsed="false">
      <c r="A2863" s="15" t="n">
        <v>25558</v>
      </c>
      <c r="B2863" s="16" t="s">
        <v>28</v>
      </c>
      <c r="C2863" s="16" t="s">
        <v>5490</v>
      </c>
      <c r="D2863" s="16" t="s">
        <v>5503</v>
      </c>
      <c r="E2863" s="17" t="s">
        <v>5504</v>
      </c>
      <c r="F2863" s="16" t="n">
        <v>31.96114948</v>
      </c>
      <c r="G2863" s="16" t="n">
        <v>44.58965647</v>
      </c>
      <c r="H2863" s="18" t="n">
        <v>13</v>
      </c>
      <c r="I2863" s="18" t="n">
        <v>78</v>
      </c>
      <c r="J2863" s="19" t="n">
        <v>4</v>
      </c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 t="n">
        <v>9</v>
      </c>
      <c r="W2863" s="19"/>
      <c r="X2863" s="19"/>
      <c r="Y2863" s="19"/>
      <c r="Z2863" s="19"/>
      <c r="AA2863" s="19"/>
      <c r="AB2863" s="19"/>
      <c r="AC2863" s="19" t="n">
        <v>10</v>
      </c>
      <c r="AD2863" s="19"/>
      <c r="AE2863" s="19"/>
      <c r="AF2863" s="19"/>
      <c r="AG2863" s="19"/>
      <c r="AH2863" s="19" t="n">
        <v>3</v>
      </c>
      <c r="AI2863" s="19"/>
      <c r="AJ2863" s="19"/>
      <c r="AK2863" s="19"/>
      <c r="AL2863" s="19"/>
      <c r="AM2863" s="19"/>
      <c r="AN2863" s="19" t="n">
        <v>9</v>
      </c>
      <c r="AO2863" s="19"/>
      <c r="AP2863" s="19" t="n">
        <v>4</v>
      </c>
      <c r="AQ2863" s="19"/>
      <c r="AR2863" s="19"/>
      <c r="AS2863" s="20" t="str">
        <f aca="false">HYPERLINK("http://www.openstreetmap.org/?mlat=31.9611&amp;mlon=44.5897&amp;zoom=12#map=12/31.9611/44.5897","Maplink1")</f>
        <v>Maplink1</v>
      </c>
      <c r="AT2863" s="20" t="str">
        <f aca="false">HYPERLINK("https://www.google.iq/maps/search/+31.9611,44.5897/@31.9611,44.5897,14z?hl=en","Maplink2")</f>
        <v>Maplink2</v>
      </c>
      <c r="AU2863" s="20" t="str">
        <f aca="false">HYPERLINK("http://www.bing.com/maps/?lvl=14&amp;sty=h&amp;cp=31.9611~44.5897&amp;sp=point.31.9611_44.5897","Maplink3")</f>
        <v>Maplink3</v>
      </c>
    </row>
    <row r="2864" customFormat="false" ht="15" hidden="false" customHeight="true" outlineLevel="0" collapsed="false">
      <c r="A2864" s="15" t="n">
        <v>25858</v>
      </c>
      <c r="B2864" s="16" t="s">
        <v>28</v>
      </c>
      <c r="C2864" s="16" t="s">
        <v>5490</v>
      </c>
      <c r="D2864" s="16" t="s">
        <v>5505</v>
      </c>
      <c r="E2864" s="17" t="s">
        <v>5506</v>
      </c>
      <c r="F2864" s="16" t="n">
        <v>31.73893282</v>
      </c>
      <c r="G2864" s="16" t="n">
        <v>44.60485831</v>
      </c>
      <c r="H2864" s="18" t="n">
        <v>21</v>
      </c>
      <c r="I2864" s="18" t="n">
        <v>126</v>
      </c>
      <c r="J2864" s="19" t="n">
        <v>4</v>
      </c>
      <c r="K2864" s="19"/>
      <c r="L2864" s="19"/>
      <c r="M2864" s="19"/>
      <c r="N2864" s="19"/>
      <c r="O2864" s="19"/>
      <c r="P2864" s="19"/>
      <c r="Q2864" s="19"/>
      <c r="R2864" s="19" t="n">
        <v>2</v>
      </c>
      <c r="S2864" s="19"/>
      <c r="T2864" s="19"/>
      <c r="U2864" s="19"/>
      <c r="V2864" s="19" t="n">
        <v>15</v>
      </c>
      <c r="W2864" s="19"/>
      <c r="X2864" s="19"/>
      <c r="Y2864" s="19"/>
      <c r="Z2864" s="19"/>
      <c r="AA2864" s="19"/>
      <c r="AB2864" s="19"/>
      <c r="AC2864" s="19" t="n">
        <v>9</v>
      </c>
      <c r="AD2864" s="19"/>
      <c r="AE2864" s="19"/>
      <c r="AF2864" s="19"/>
      <c r="AG2864" s="19"/>
      <c r="AH2864" s="19" t="n">
        <v>12</v>
      </c>
      <c r="AI2864" s="19"/>
      <c r="AJ2864" s="19"/>
      <c r="AK2864" s="19"/>
      <c r="AL2864" s="19"/>
      <c r="AM2864" s="19"/>
      <c r="AN2864" s="19" t="n">
        <v>17</v>
      </c>
      <c r="AO2864" s="19" t="n">
        <v>3</v>
      </c>
      <c r="AP2864" s="19" t="n">
        <v>1</v>
      </c>
      <c r="AQ2864" s="19"/>
      <c r="AR2864" s="19"/>
      <c r="AS2864" s="20" t="str">
        <f aca="false">HYPERLINK("http://www.openstreetmap.org/?mlat=31.7389&amp;mlon=44.6049&amp;zoom=12#map=12/31.7389/44.6049","Maplink1")</f>
        <v>Maplink1</v>
      </c>
      <c r="AT2864" s="20" t="str">
        <f aca="false">HYPERLINK("https://www.google.iq/maps/search/+31.7389,44.6049/@31.7389,44.6049,14z?hl=en","Maplink2")</f>
        <v>Maplink2</v>
      </c>
      <c r="AU2864" s="20" t="str">
        <f aca="false">HYPERLINK("http://www.bing.com/maps/?lvl=14&amp;sty=h&amp;cp=31.7389~44.6049&amp;sp=point.31.7389_44.6049","Maplink3")</f>
        <v>Maplink3</v>
      </c>
    </row>
    <row r="2865" customFormat="false" ht="15" hidden="false" customHeight="true" outlineLevel="0" collapsed="false">
      <c r="A2865" s="15" t="n">
        <v>25857</v>
      </c>
      <c r="B2865" s="16" t="s">
        <v>28</v>
      </c>
      <c r="C2865" s="16" t="s">
        <v>5490</v>
      </c>
      <c r="D2865" s="16" t="s">
        <v>5507</v>
      </c>
      <c r="E2865" s="17" t="s">
        <v>5508</v>
      </c>
      <c r="F2865" s="16" t="n">
        <v>31.75012622</v>
      </c>
      <c r="G2865" s="16" t="n">
        <v>44.61381873</v>
      </c>
      <c r="H2865" s="18" t="n">
        <v>15</v>
      </c>
      <c r="I2865" s="18" t="n">
        <v>90</v>
      </c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 t="n">
        <v>15</v>
      </c>
      <c r="W2865" s="19"/>
      <c r="X2865" s="19"/>
      <c r="Y2865" s="19"/>
      <c r="Z2865" s="19"/>
      <c r="AA2865" s="19"/>
      <c r="AB2865" s="19"/>
      <c r="AC2865" s="19" t="n">
        <v>5</v>
      </c>
      <c r="AD2865" s="19"/>
      <c r="AE2865" s="19"/>
      <c r="AF2865" s="19"/>
      <c r="AG2865" s="19"/>
      <c r="AH2865" s="19" t="n">
        <v>10</v>
      </c>
      <c r="AI2865" s="19"/>
      <c r="AJ2865" s="19"/>
      <c r="AK2865" s="19"/>
      <c r="AL2865" s="19"/>
      <c r="AM2865" s="19"/>
      <c r="AN2865" s="19" t="n">
        <v>15</v>
      </c>
      <c r="AO2865" s="19"/>
      <c r="AP2865" s="19"/>
      <c r="AQ2865" s="19"/>
      <c r="AR2865" s="19"/>
      <c r="AS2865" s="20" t="str">
        <f aca="false">HYPERLINK("http://www.openstreetmap.org/?mlat=31.7501&amp;mlon=44.6138&amp;zoom=12#map=12/31.7501/44.6138","Maplink1")</f>
        <v>Maplink1</v>
      </c>
      <c r="AT2865" s="20" t="str">
        <f aca="false">HYPERLINK("https://www.google.iq/maps/search/+31.7501,44.6138/@31.7501,44.6138,14z?hl=en","Maplink2")</f>
        <v>Maplink2</v>
      </c>
      <c r="AU2865" s="20" t="str">
        <f aca="false">HYPERLINK("http://www.bing.com/maps/?lvl=14&amp;sty=h&amp;cp=31.7501~44.6138&amp;sp=point.31.7501_44.6138","Maplink3")</f>
        <v>Maplink3</v>
      </c>
    </row>
    <row r="2866" customFormat="false" ht="15" hidden="false" customHeight="true" outlineLevel="0" collapsed="false">
      <c r="A2866" s="15" t="n">
        <v>2459</v>
      </c>
      <c r="B2866" s="16" t="s">
        <v>28</v>
      </c>
      <c r="C2866" s="16" t="s">
        <v>5490</v>
      </c>
      <c r="D2866" s="16" t="s">
        <v>5509</v>
      </c>
      <c r="E2866" s="17" t="s">
        <v>5510</v>
      </c>
      <c r="F2866" s="16" t="n">
        <v>31.76398382</v>
      </c>
      <c r="G2866" s="16" t="n">
        <v>44.60838969</v>
      </c>
      <c r="H2866" s="18" t="n">
        <v>48</v>
      </c>
      <c r="I2866" s="18" t="n">
        <v>288</v>
      </c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 t="n">
        <v>48</v>
      </c>
      <c r="W2866" s="19"/>
      <c r="X2866" s="19"/>
      <c r="Y2866" s="19"/>
      <c r="Z2866" s="19"/>
      <c r="AA2866" s="19"/>
      <c r="AB2866" s="19"/>
      <c r="AC2866" s="19" t="n">
        <v>9</v>
      </c>
      <c r="AD2866" s="19"/>
      <c r="AE2866" s="19"/>
      <c r="AF2866" s="19"/>
      <c r="AG2866" s="19" t="n">
        <v>32</v>
      </c>
      <c r="AH2866" s="19" t="n">
        <v>7</v>
      </c>
      <c r="AI2866" s="19"/>
      <c r="AJ2866" s="19"/>
      <c r="AK2866" s="19"/>
      <c r="AL2866" s="19"/>
      <c r="AM2866" s="19" t="n">
        <v>22</v>
      </c>
      <c r="AN2866" s="19" t="n">
        <v>26</v>
      </c>
      <c r="AO2866" s="19"/>
      <c r="AP2866" s="19"/>
      <c r="AQ2866" s="19"/>
      <c r="AR2866" s="19"/>
      <c r="AS2866" s="20" t="str">
        <f aca="false">HYPERLINK("http://www.openstreetmap.org/?mlat=31.764&amp;mlon=44.6084&amp;zoom=12#map=12/31.764/44.6084","Maplink1")</f>
        <v>Maplink1</v>
      </c>
      <c r="AT2866" s="20" t="str">
        <f aca="false">HYPERLINK("https://www.google.iq/maps/search/+31.764,44.6084/@31.764,44.6084,14z?hl=en","Maplink2")</f>
        <v>Maplink2</v>
      </c>
      <c r="AU2866" s="20" t="str">
        <f aca="false">HYPERLINK("http://www.bing.com/maps/?lvl=14&amp;sty=h&amp;cp=31.764~44.6084&amp;sp=point.31.764_44.6084","Maplink3")</f>
        <v>Maplink3</v>
      </c>
    </row>
    <row r="2867" customFormat="false" ht="15" hidden="false" customHeight="true" outlineLevel="0" collapsed="false">
      <c r="A2867" s="15" t="n">
        <v>22593</v>
      </c>
      <c r="B2867" s="16" t="s">
        <v>28</v>
      </c>
      <c r="C2867" s="16" t="s">
        <v>5490</v>
      </c>
      <c r="D2867" s="16" t="s">
        <v>5511</v>
      </c>
      <c r="E2867" s="17" t="s">
        <v>5512</v>
      </c>
      <c r="F2867" s="16" t="n">
        <v>31.74925317</v>
      </c>
      <c r="G2867" s="16" t="n">
        <v>44.61403876</v>
      </c>
      <c r="H2867" s="18" t="n">
        <v>46</v>
      </c>
      <c r="I2867" s="18" t="n">
        <v>276</v>
      </c>
      <c r="J2867" s="19" t="n">
        <v>3</v>
      </c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 t="n">
        <v>43</v>
      </c>
      <c r="W2867" s="19"/>
      <c r="X2867" s="19"/>
      <c r="Y2867" s="19"/>
      <c r="Z2867" s="19"/>
      <c r="AA2867" s="19"/>
      <c r="AB2867" s="19"/>
      <c r="AC2867" s="19" t="n">
        <v>15</v>
      </c>
      <c r="AD2867" s="19"/>
      <c r="AE2867" s="19"/>
      <c r="AF2867" s="19"/>
      <c r="AG2867" s="19" t="n">
        <v>8</v>
      </c>
      <c r="AH2867" s="19" t="n">
        <v>21</v>
      </c>
      <c r="AI2867" s="19"/>
      <c r="AJ2867" s="19" t="n">
        <v>2</v>
      </c>
      <c r="AK2867" s="19"/>
      <c r="AL2867" s="19"/>
      <c r="AM2867" s="19"/>
      <c r="AN2867" s="19" t="n">
        <v>43</v>
      </c>
      <c r="AO2867" s="19" t="n">
        <v>3</v>
      </c>
      <c r="AP2867" s="19"/>
      <c r="AQ2867" s="19"/>
      <c r="AR2867" s="19"/>
      <c r="AS2867" s="20" t="str">
        <f aca="false">HYPERLINK("http://www.openstreetmap.org/?mlat=31.7493&amp;mlon=44.614&amp;zoom=12#map=12/31.7493/44.614","Maplink1")</f>
        <v>Maplink1</v>
      </c>
      <c r="AT2867" s="20" t="str">
        <f aca="false">HYPERLINK("https://www.google.iq/maps/search/+31.7493,44.614/@31.7493,44.614,14z?hl=en","Maplink2")</f>
        <v>Maplink2</v>
      </c>
      <c r="AU2867" s="20" t="str">
        <f aca="false">HYPERLINK("http://www.bing.com/maps/?lvl=14&amp;sty=h&amp;cp=31.7493~44.614&amp;sp=point.31.7493_44.614","Maplink3")</f>
        <v>Maplink3</v>
      </c>
    </row>
    <row r="2868" customFormat="false" ht="15" hidden="false" customHeight="true" outlineLevel="0" collapsed="false">
      <c r="A2868" s="15" t="n">
        <v>2749</v>
      </c>
      <c r="B2868" s="16" t="s">
        <v>28</v>
      </c>
      <c r="C2868" s="16" t="s">
        <v>5490</v>
      </c>
      <c r="D2868" s="16" t="s">
        <v>5513</v>
      </c>
      <c r="E2868" s="17" t="s">
        <v>5514</v>
      </c>
      <c r="F2868" s="16" t="n">
        <v>31.9570786</v>
      </c>
      <c r="G2868" s="16" t="n">
        <v>44.56198705</v>
      </c>
      <c r="H2868" s="18" t="n">
        <v>59</v>
      </c>
      <c r="I2868" s="18" t="n">
        <v>354</v>
      </c>
      <c r="J2868" s="19" t="n">
        <v>5</v>
      </c>
      <c r="K2868" s="19"/>
      <c r="L2868" s="19"/>
      <c r="M2868" s="19"/>
      <c r="N2868" s="19"/>
      <c r="O2868" s="19"/>
      <c r="P2868" s="19"/>
      <c r="Q2868" s="19"/>
      <c r="R2868" s="19" t="n">
        <v>2</v>
      </c>
      <c r="S2868" s="19"/>
      <c r="T2868" s="19"/>
      <c r="U2868" s="19"/>
      <c r="V2868" s="19" t="n">
        <v>48</v>
      </c>
      <c r="W2868" s="19"/>
      <c r="X2868" s="19" t="n">
        <v>4</v>
      </c>
      <c r="Y2868" s="19"/>
      <c r="Z2868" s="19"/>
      <c r="AA2868" s="19"/>
      <c r="AB2868" s="19"/>
      <c r="AC2868" s="19" t="n">
        <v>9</v>
      </c>
      <c r="AD2868" s="19"/>
      <c r="AE2868" s="19"/>
      <c r="AF2868" s="19"/>
      <c r="AG2868" s="19" t="n">
        <v>30</v>
      </c>
      <c r="AH2868" s="19" t="n">
        <v>20</v>
      </c>
      <c r="AI2868" s="19"/>
      <c r="AJ2868" s="19"/>
      <c r="AK2868" s="19"/>
      <c r="AL2868" s="19"/>
      <c r="AM2868" s="19" t="n">
        <v>28</v>
      </c>
      <c r="AN2868" s="19" t="n">
        <v>24</v>
      </c>
      <c r="AO2868" s="19" t="n">
        <v>7</v>
      </c>
      <c r="AP2868" s="19"/>
      <c r="AQ2868" s="19"/>
      <c r="AR2868" s="19"/>
      <c r="AS2868" s="20" t="str">
        <f aca="false">HYPERLINK("http://www.openstreetmap.org/?mlat=31.9571&amp;mlon=44.562&amp;zoom=12#map=12/31.9571/44.562","Maplink1")</f>
        <v>Maplink1</v>
      </c>
      <c r="AT2868" s="20" t="str">
        <f aca="false">HYPERLINK("https://www.google.iq/maps/search/+31.9571,44.562/@31.9571,44.562,14z?hl=en","Maplink2")</f>
        <v>Maplink2</v>
      </c>
      <c r="AU2868" s="20" t="str">
        <f aca="false">HYPERLINK("http://www.bing.com/maps/?lvl=14&amp;sty=h&amp;cp=31.9571~44.562&amp;sp=point.31.9571_44.562","Maplink3")</f>
        <v>Maplink3</v>
      </c>
    </row>
    <row r="2869" customFormat="false" ht="15" hidden="false" customHeight="true" outlineLevel="0" collapsed="false">
      <c r="A2869" s="15" t="n">
        <v>2789</v>
      </c>
      <c r="B2869" s="16" t="s">
        <v>28</v>
      </c>
      <c r="C2869" s="16" t="s">
        <v>5490</v>
      </c>
      <c r="D2869" s="16" t="s">
        <v>5515</v>
      </c>
      <c r="E2869" s="17" t="s">
        <v>5516</v>
      </c>
      <c r="F2869" s="16" t="n">
        <v>31.96343053</v>
      </c>
      <c r="G2869" s="16" t="n">
        <v>44.60740222</v>
      </c>
      <c r="H2869" s="18" t="n">
        <v>29</v>
      </c>
      <c r="I2869" s="18" t="n">
        <v>174</v>
      </c>
      <c r="J2869" s="19" t="n">
        <v>12</v>
      </c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 t="n">
        <v>17</v>
      </c>
      <c r="W2869" s="19"/>
      <c r="X2869" s="19"/>
      <c r="Y2869" s="19"/>
      <c r="Z2869" s="19"/>
      <c r="AA2869" s="19"/>
      <c r="AB2869" s="19"/>
      <c r="AC2869" s="19" t="n">
        <v>4</v>
      </c>
      <c r="AD2869" s="19"/>
      <c r="AE2869" s="19"/>
      <c r="AF2869" s="19"/>
      <c r="AG2869" s="19"/>
      <c r="AH2869" s="19" t="n">
        <v>25</v>
      </c>
      <c r="AI2869" s="19"/>
      <c r="AJ2869" s="19"/>
      <c r="AK2869" s="19"/>
      <c r="AL2869" s="19"/>
      <c r="AM2869" s="19" t="n">
        <v>3</v>
      </c>
      <c r="AN2869" s="19" t="n">
        <v>14</v>
      </c>
      <c r="AO2869" s="19" t="n">
        <v>12</v>
      </c>
      <c r="AP2869" s="19"/>
      <c r="AQ2869" s="19"/>
      <c r="AR2869" s="19"/>
      <c r="AS2869" s="20" t="str">
        <f aca="false">HYPERLINK("http://www.openstreetmap.org/?mlat=31.9634&amp;mlon=44.6074&amp;zoom=12#map=12/31.9634/44.6074","Maplink1")</f>
        <v>Maplink1</v>
      </c>
      <c r="AT2869" s="20" t="str">
        <f aca="false">HYPERLINK("https://www.google.iq/maps/search/+31.9634,44.6074/@31.9634,44.6074,14z?hl=en","Maplink2")</f>
        <v>Maplink2</v>
      </c>
      <c r="AU2869" s="20" t="str">
        <f aca="false">HYPERLINK("http://www.bing.com/maps/?lvl=14&amp;sty=h&amp;cp=31.9634~44.6074&amp;sp=point.31.9634_44.6074","Maplink3")</f>
        <v>Maplink3</v>
      </c>
    </row>
    <row r="2870" customFormat="false" ht="15" hidden="false" customHeight="true" outlineLevel="0" collapsed="false">
      <c r="A2870" s="15" t="n">
        <v>24490</v>
      </c>
      <c r="B2870" s="16" t="s">
        <v>28</v>
      </c>
      <c r="C2870" s="16" t="s">
        <v>5490</v>
      </c>
      <c r="D2870" s="16" t="s">
        <v>4490</v>
      </c>
      <c r="E2870" s="17" t="s">
        <v>547</v>
      </c>
      <c r="F2870" s="16" t="n">
        <v>32.04940753</v>
      </c>
      <c r="G2870" s="16" t="n">
        <v>44.55803314</v>
      </c>
      <c r="H2870" s="18" t="n">
        <v>16</v>
      </c>
      <c r="I2870" s="18" t="n">
        <v>96</v>
      </c>
      <c r="J2870" s="19" t="n">
        <v>5</v>
      </c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 t="n">
        <v>11</v>
      </c>
      <c r="W2870" s="19"/>
      <c r="X2870" s="19"/>
      <c r="Y2870" s="19"/>
      <c r="Z2870" s="19"/>
      <c r="AA2870" s="19"/>
      <c r="AB2870" s="19"/>
      <c r="AC2870" s="19" t="n">
        <v>6</v>
      </c>
      <c r="AD2870" s="19"/>
      <c r="AE2870" s="19"/>
      <c r="AF2870" s="19"/>
      <c r="AG2870" s="19"/>
      <c r="AH2870" s="19" t="n">
        <v>10</v>
      </c>
      <c r="AI2870" s="19"/>
      <c r="AJ2870" s="19"/>
      <c r="AK2870" s="19"/>
      <c r="AL2870" s="19"/>
      <c r="AM2870" s="19"/>
      <c r="AN2870" s="19" t="n">
        <v>11</v>
      </c>
      <c r="AO2870" s="19" t="n">
        <v>4</v>
      </c>
      <c r="AP2870" s="19" t="n">
        <v>1</v>
      </c>
      <c r="AQ2870" s="19"/>
      <c r="AR2870" s="19"/>
      <c r="AS2870" s="20" t="str">
        <f aca="false">HYPERLINK("http://www.openstreetmap.org/?mlat=32.0494&amp;mlon=44.558&amp;zoom=12#map=12/32.0494/44.558","Maplink1")</f>
        <v>Maplink1</v>
      </c>
      <c r="AT2870" s="20" t="str">
        <f aca="false">HYPERLINK("https://www.google.iq/maps/search/+32.0494,44.558/@32.0494,44.558,14z?hl=en","Maplink2")</f>
        <v>Maplink2</v>
      </c>
      <c r="AU2870" s="20" t="str">
        <f aca="false">HYPERLINK("http://www.bing.com/maps/?lvl=14&amp;sty=h&amp;cp=32.0494~44.558&amp;sp=point.32.0494_44.558","Maplink3")</f>
        <v>Maplink3</v>
      </c>
    </row>
    <row r="2871" customFormat="false" ht="15" hidden="false" customHeight="true" outlineLevel="0" collapsed="false">
      <c r="A2871" s="15" t="n">
        <v>25566</v>
      </c>
      <c r="B2871" s="16" t="s">
        <v>28</v>
      </c>
      <c r="C2871" s="16" t="s">
        <v>5490</v>
      </c>
      <c r="D2871" s="16" t="s">
        <v>2103</v>
      </c>
      <c r="E2871" s="17" t="s">
        <v>79</v>
      </c>
      <c r="F2871" s="16" t="n">
        <v>32.05110151</v>
      </c>
      <c r="G2871" s="16" t="n">
        <v>44.56199728</v>
      </c>
      <c r="H2871" s="18" t="n">
        <v>11</v>
      </c>
      <c r="I2871" s="18" t="n">
        <v>66</v>
      </c>
      <c r="J2871" s="19" t="n">
        <v>4</v>
      </c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 t="n">
        <v>7</v>
      </c>
      <c r="W2871" s="19"/>
      <c r="X2871" s="19"/>
      <c r="Y2871" s="19"/>
      <c r="Z2871" s="19"/>
      <c r="AA2871" s="19"/>
      <c r="AB2871" s="19"/>
      <c r="AC2871" s="19" t="n">
        <v>3</v>
      </c>
      <c r="AD2871" s="19"/>
      <c r="AE2871" s="19"/>
      <c r="AF2871" s="19"/>
      <c r="AG2871" s="19"/>
      <c r="AH2871" s="19" t="n">
        <v>8</v>
      </c>
      <c r="AI2871" s="19"/>
      <c r="AJ2871" s="19"/>
      <c r="AK2871" s="19"/>
      <c r="AL2871" s="19"/>
      <c r="AM2871" s="19"/>
      <c r="AN2871" s="19" t="n">
        <v>7</v>
      </c>
      <c r="AO2871" s="19" t="n">
        <v>2</v>
      </c>
      <c r="AP2871" s="19" t="n">
        <v>2</v>
      </c>
      <c r="AQ2871" s="19"/>
      <c r="AR2871" s="19"/>
      <c r="AS2871" s="20" t="str">
        <f aca="false">HYPERLINK("http://www.openstreetmap.org/?mlat=32.0511&amp;mlon=44.562&amp;zoom=12#map=12/32.0511/44.562","Maplink1")</f>
        <v>Maplink1</v>
      </c>
      <c r="AT2871" s="20" t="str">
        <f aca="false">HYPERLINK("https://www.google.iq/maps/search/+32.0511,44.562/@32.0511,44.562,14z?hl=en","Maplink2")</f>
        <v>Maplink2</v>
      </c>
      <c r="AU2871" s="20" t="str">
        <f aca="false">HYPERLINK("http://www.bing.com/maps/?lvl=14&amp;sty=h&amp;cp=32.0511~44.562&amp;sp=point.32.0511_44.562","Maplink3")</f>
        <v>Maplink3</v>
      </c>
    </row>
    <row r="2872" customFormat="false" ht="15" hidden="false" customHeight="true" outlineLevel="0" collapsed="false">
      <c r="A2872" s="15" t="n">
        <v>25506</v>
      </c>
      <c r="B2872" s="16" t="s">
        <v>28</v>
      </c>
      <c r="C2872" s="16" t="s">
        <v>5490</v>
      </c>
      <c r="D2872" s="16" t="s">
        <v>5517</v>
      </c>
      <c r="E2872" s="17" t="s">
        <v>4618</v>
      </c>
      <c r="F2872" s="16" t="n">
        <v>32.04719525</v>
      </c>
      <c r="G2872" s="16" t="n">
        <v>44.56028125</v>
      </c>
      <c r="H2872" s="18" t="n">
        <v>8</v>
      </c>
      <c r="I2872" s="18" t="n">
        <v>48</v>
      </c>
      <c r="J2872" s="19" t="n">
        <v>4</v>
      </c>
      <c r="K2872" s="19"/>
      <c r="L2872" s="19"/>
      <c r="M2872" s="19"/>
      <c r="N2872" s="19"/>
      <c r="O2872" s="19" t="n">
        <v>1</v>
      </c>
      <c r="P2872" s="19"/>
      <c r="Q2872" s="19"/>
      <c r="R2872" s="19"/>
      <c r="S2872" s="19"/>
      <c r="T2872" s="19"/>
      <c r="U2872" s="19"/>
      <c r="V2872" s="19" t="n">
        <v>3</v>
      </c>
      <c r="W2872" s="19"/>
      <c r="X2872" s="19"/>
      <c r="Y2872" s="19"/>
      <c r="Z2872" s="19"/>
      <c r="AA2872" s="19"/>
      <c r="AB2872" s="19"/>
      <c r="AC2872" s="19" t="n">
        <v>2</v>
      </c>
      <c r="AD2872" s="19"/>
      <c r="AE2872" s="19"/>
      <c r="AF2872" s="19"/>
      <c r="AG2872" s="19"/>
      <c r="AH2872" s="19" t="n">
        <v>6</v>
      </c>
      <c r="AI2872" s="19"/>
      <c r="AJ2872" s="19"/>
      <c r="AK2872" s="19"/>
      <c r="AL2872" s="19"/>
      <c r="AM2872" s="19" t="n">
        <v>2</v>
      </c>
      <c r="AN2872" s="19" t="n">
        <v>2</v>
      </c>
      <c r="AO2872" s="19" t="n">
        <v>4</v>
      </c>
      <c r="AP2872" s="19"/>
      <c r="AQ2872" s="19"/>
      <c r="AR2872" s="19"/>
      <c r="AS2872" s="20" t="str">
        <f aca="false">HYPERLINK("http://www.openstreetmap.org/?mlat=32.0472&amp;mlon=44.5603&amp;zoom=12#map=12/32.0472/44.5603","Maplink1")</f>
        <v>Maplink1</v>
      </c>
      <c r="AT2872" s="20" t="str">
        <f aca="false">HYPERLINK("https://www.google.iq/maps/search/+32.0472,44.5603/@32.0472,44.5603,14z?hl=en","Maplink2")</f>
        <v>Maplink2</v>
      </c>
      <c r="AU2872" s="20" t="str">
        <f aca="false">HYPERLINK("http://www.bing.com/maps/?lvl=14&amp;sty=h&amp;cp=32.0472~44.5603&amp;sp=point.32.0472_44.5603","Maplink3")</f>
        <v>Maplink3</v>
      </c>
    </row>
    <row r="2873" customFormat="false" ht="15" hidden="false" customHeight="true" outlineLevel="0" collapsed="false">
      <c r="A2873" s="15" t="n">
        <v>2741</v>
      </c>
      <c r="B2873" s="16" t="s">
        <v>28</v>
      </c>
      <c r="C2873" s="16" t="s">
        <v>5490</v>
      </c>
      <c r="D2873" s="16" t="s">
        <v>5518</v>
      </c>
      <c r="E2873" s="17" t="s">
        <v>572</v>
      </c>
      <c r="F2873" s="16" t="n">
        <v>31.9615164</v>
      </c>
      <c r="G2873" s="16" t="n">
        <v>44.58659565</v>
      </c>
      <c r="H2873" s="18" t="n">
        <v>11</v>
      </c>
      <c r="I2873" s="18" t="n">
        <v>66</v>
      </c>
      <c r="J2873" s="19" t="n">
        <v>6</v>
      </c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 t="n">
        <v>5</v>
      </c>
      <c r="W2873" s="19"/>
      <c r="X2873" s="19"/>
      <c r="Y2873" s="19"/>
      <c r="Z2873" s="19"/>
      <c r="AA2873" s="19"/>
      <c r="AB2873" s="19"/>
      <c r="AC2873" s="19" t="n">
        <v>4</v>
      </c>
      <c r="AD2873" s="19"/>
      <c r="AE2873" s="19"/>
      <c r="AF2873" s="19"/>
      <c r="AG2873" s="19"/>
      <c r="AH2873" s="19" t="n">
        <v>7</v>
      </c>
      <c r="AI2873" s="19"/>
      <c r="AJ2873" s="19"/>
      <c r="AK2873" s="19"/>
      <c r="AL2873" s="19" t="n">
        <v>1</v>
      </c>
      <c r="AM2873" s="19" t="n">
        <v>4</v>
      </c>
      <c r="AN2873" s="19" t="n">
        <v>5</v>
      </c>
      <c r="AO2873" s="19" t="n">
        <v>1</v>
      </c>
      <c r="AP2873" s="19"/>
      <c r="AQ2873" s="19"/>
      <c r="AR2873" s="19"/>
      <c r="AS2873" s="20" t="str">
        <f aca="false">HYPERLINK("http://www.openstreetmap.org/?mlat=31.9615&amp;mlon=44.5866&amp;zoom=12#map=12/31.9615/44.5866","Maplink1")</f>
        <v>Maplink1</v>
      </c>
      <c r="AT2873" s="20" t="str">
        <f aca="false">HYPERLINK("https://www.google.iq/maps/search/+31.9615,44.5866/@31.9615,44.5866,14z?hl=en","Maplink2")</f>
        <v>Maplink2</v>
      </c>
      <c r="AU2873" s="20" t="str">
        <f aca="false">HYPERLINK("http://www.bing.com/maps/?lvl=14&amp;sty=h&amp;cp=31.9615~44.5866&amp;sp=point.31.9615_44.5866","Maplink3")</f>
        <v>Maplink3</v>
      </c>
    </row>
    <row r="2874" customFormat="false" ht="15" hidden="false" customHeight="true" outlineLevel="0" collapsed="false">
      <c r="A2874" s="15" t="n">
        <v>25910</v>
      </c>
      <c r="B2874" s="16" t="s">
        <v>28</v>
      </c>
      <c r="C2874" s="16" t="s">
        <v>5490</v>
      </c>
      <c r="D2874" s="16" t="s">
        <v>5452</v>
      </c>
      <c r="E2874" s="17" t="s">
        <v>572</v>
      </c>
      <c r="F2874" s="16" t="n">
        <v>32.05295848</v>
      </c>
      <c r="G2874" s="16" t="n">
        <v>44.55666563</v>
      </c>
      <c r="H2874" s="18" t="n">
        <v>7</v>
      </c>
      <c r="I2874" s="18" t="n">
        <v>42</v>
      </c>
      <c r="J2874" s="19" t="n">
        <v>5</v>
      </c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 t="n">
        <v>2</v>
      </c>
      <c r="W2874" s="19"/>
      <c r="X2874" s="19"/>
      <c r="Y2874" s="19"/>
      <c r="Z2874" s="19"/>
      <c r="AA2874" s="19"/>
      <c r="AB2874" s="19"/>
      <c r="AC2874" s="19" t="n">
        <v>2</v>
      </c>
      <c r="AD2874" s="19"/>
      <c r="AE2874" s="19"/>
      <c r="AF2874" s="19"/>
      <c r="AG2874" s="19"/>
      <c r="AH2874" s="19" t="n">
        <v>5</v>
      </c>
      <c r="AI2874" s="19"/>
      <c r="AJ2874" s="19"/>
      <c r="AK2874" s="19"/>
      <c r="AL2874" s="19"/>
      <c r="AM2874" s="19"/>
      <c r="AN2874" s="19" t="n">
        <v>2</v>
      </c>
      <c r="AO2874" s="19" t="n">
        <v>3</v>
      </c>
      <c r="AP2874" s="19" t="n">
        <v>2</v>
      </c>
      <c r="AQ2874" s="19"/>
      <c r="AR2874" s="19"/>
      <c r="AS2874" s="20" t="str">
        <f aca="false">HYPERLINK("http://www.openstreetmap.org/?mlat=32.053&amp;mlon=44.5567&amp;zoom=12#map=12/32.053/44.5567","Maplink1")</f>
        <v>Maplink1</v>
      </c>
      <c r="AT2874" s="20" t="str">
        <f aca="false">HYPERLINK("https://www.google.iq/maps/search/+32.053,44.5567/@32.053,44.5567,14z?hl=en","Maplink2")</f>
        <v>Maplink2</v>
      </c>
      <c r="AU2874" s="20" t="str">
        <f aca="false">HYPERLINK("http://www.bing.com/maps/?lvl=14&amp;sty=h&amp;cp=32.053~44.5567&amp;sp=point.32.053_44.5567","Maplink3")</f>
        <v>Maplink3</v>
      </c>
    </row>
    <row r="2875" customFormat="false" ht="15" hidden="false" customHeight="true" outlineLevel="0" collapsed="false">
      <c r="A2875" s="15" t="n">
        <v>2759</v>
      </c>
      <c r="B2875" s="16" t="s">
        <v>28</v>
      </c>
      <c r="C2875" s="16" t="s">
        <v>5490</v>
      </c>
      <c r="D2875" s="16" t="s">
        <v>5519</v>
      </c>
      <c r="E2875" s="17" t="s">
        <v>5520</v>
      </c>
      <c r="F2875" s="16" t="n">
        <v>31.96265474</v>
      </c>
      <c r="G2875" s="16" t="n">
        <v>44.60442656</v>
      </c>
      <c r="H2875" s="18" t="n">
        <v>18</v>
      </c>
      <c r="I2875" s="18" t="n">
        <v>108</v>
      </c>
      <c r="J2875" s="19" t="n">
        <v>8</v>
      </c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 t="n">
        <v>10</v>
      </c>
      <c r="W2875" s="19"/>
      <c r="X2875" s="19"/>
      <c r="Y2875" s="19"/>
      <c r="Z2875" s="19"/>
      <c r="AA2875" s="19"/>
      <c r="AB2875" s="19"/>
      <c r="AC2875" s="19" t="n">
        <v>4</v>
      </c>
      <c r="AD2875" s="19"/>
      <c r="AE2875" s="19"/>
      <c r="AF2875" s="19"/>
      <c r="AG2875" s="19"/>
      <c r="AH2875" s="19" t="n">
        <v>14</v>
      </c>
      <c r="AI2875" s="19"/>
      <c r="AJ2875" s="19"/>
      <c r="AK2875" s="19"/>
      <c r="AL2875" s="19"/>
      <c r="AM2875" s="19"/>
      <c r="AN2875" s="19" t="n">
        <v>10</v>
      </c>
      <c r="AO2875" s="19" t="n">
        <v>7</v>
      </c>
      <c r="AP2875" s="19" t="n">
        <v>1</v>
      </c>
      <c r="AQ2875" s="19"/>
      <c r="AR2875" s="19"/>
      <c r="AS2875" s="20" t="str">
        <f aca="false">HYPERLINK("http://www.openstreetmap.org/?mlat=31.9627&amp;mlon=44.6044&amp;zoom=12#map=12/31.9627/44.6044","Maplink1")</f>
        <v>Maplink1</v>
      </c>
      <c r="AT2875" s="20" t="str">
        <f aca="false">HYPERLINK("https://www.google.iq/maps/search/+31.9627,44.6044/@31.9627,44.6044,14z?hl=en","Maplink2")</f>
        <v>Maplink2</v>
      </c>
      <c r="AU2875" s="20" t="str">
        <f aca="false">HYPERLINK("http://www.bing.com/maps/?lvl=14&amp;sty=h&amp;cp=31.9627~44.6044&amp;sp=point.31.9627_44.6044","Maplink3")</f>
        <v>Maplink3</v>
      </c>
    </row>
    <row r="2876" customFormat="false" ht="15" hidden="false" customHeight="true" outlineLevel="0" collapsed="false">
      <c r="A2876" s="15" t="n">
        <v>2792</v>
      </c>
      <c r="B2876" s="16" t="s">
        <v>28</v>
      </c>
      <c r="C2876" s="16" t="s">
        <v>5490</v>
      </c>
      <c r="D2876" s="16" t="s">
        <v>5521</v>
      </c>
      <c r="E2876" s="17" t="s">
        <v>351</v>
      </c>
      <c r="F2876" s="16" t="n">
        <v>31.96624367</v>
      </c>
      <c r="G2876" s="16" t="n">
        <v>44.60046887</v>
      </c>
      <c r="H2876" s="18" t="n">
        <v>7</v>
      </c>
      <c r="I2876" s="18" t="n">
        <v>42</v>
      </c>
      <c r="J2876" s="19"/>
      <c r="K2876" s="19"/>
      <c r="L2876" s="19" t="n">
        <v>5</v>
      </c>
      <c r="M2876" s="19"/>
      <c r="N2876" s="19"/>
      <c r="O2876" s="19"/>
      <c r="P2876" s="19"/>
      <c r="Q2876" s="19"/>
      <c r="R2876" s="19"/>
      <c r="S2876" s="19"/>
      <c r="T2876" s="19"/>
      <c r="U2876" s="19"/>
      <c r="V2876" s="19" t="n">
        <v>2</v>
      </c>
      <c r="W2876" s="19"/>
      <c r="X2876" s="19"/>
      <c r="Y2876" s="19"/>
      <c r="Z2876" s="19"/>
      <c r="AA2876" s="19"/>
      <c r="AB2876" s="19"/>
      <c r="AC2876" s="19" t="n">
        <v>2</v>
      </c>
      <c r="AD2876" s="19"/>
      <c r="AE2876" s="19"/>
      <c r="AF2876" s="19"/>
      <c r="AG2876" s="19"/>
      <c r="AH2876" s="19" t="n">
        <v>5</v>
      </c>
      <c r="AI2876" s="19"/>
      <c r="AJ2876" s="19"/>
      <c r="AK2876" s="19"/>
      <c r="AL2876" s="19"/>
      <c r="AM2876" s="19"/>
      <c r="AN2876" s="19" t="n">
        <v>2</v>
      </c>
      <c r="AO2876" s="19" t="n">
        <v>5</v>
      </c>
      <c r="AP2876" s="19"/>
      <c r="AQ2876" s="19"/>
      <c r="AR2876" s="19"/>
      <c r="AS2876" s="20" t="str">
        <f aca="false">HYPERLINK("http://www.openstreetmap.org/?mlat=31.9662&amp;mlon=44.6005&amp;zoom=12#map=12/31.9662/44.6005","Maplink1")</f>
        <v>Maplink1</v>
      </c>
      <c r="AT2876" s="20" t="str">
        <f aca="false">HYPERLINK("https://www.google.iq/maps/search/+31.9662,44.6005/@31.9662,44.6005,14z?hl=en","Maplink2")</f>
        <v>Maplink2</v>
      </c>
      <c r="AU2876" s="20" t="str">
        <f aca="false">HYPERLINK("http://www.bing.com/maps/?lvl=14&amp;sty=h&amp;cp=31.9662~44.6005&amp;sp=point.31.9662_44.6005","Maplink3")</f>
        <v>Maplink3</v>
      </c>
    </row>
    <row r="2877" customFormat="false" ht="15" hidden="false" customHeight="true" outlineLevel="0" collapsed="false">
      <c r="A2877" s="15" t="n">
        <v>25908</v>
      </c>
      <c r="B2877" s="16" t="s">
        <v>28</v>
      </c>
      <c r="C2877" s="16" t="s">
        <v>5490</v>
      </c>
      <c r="D2877" s="16" t="s">
        <v>5460</v>
      </c>
      <c r="E2877" s="17" t="s">
        <v>2023</v>
      </c>
      <c r="F2877" s="16" t="n">
        <v>32.04844327</v>
      </c>
      <c r="G2877" s="16" t="n">
        <v>44.560727</v>
      </c>
      <c r="H2877" s="18" t="n">
        <v>10</v>
      </c>
      <c r="I2877" s="18" t="n">
        <v>60</v>
      </c>
      <c r="J2877" s="19" t="n">
        <v>5</v>
      </c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 t="n">
        <v>5</v>
      </c>
      <c r="W2877" s="19"/>
      <c r="X2877" s="19"/>
      <c r="Y2877" s="19"/>
      <c r="Z2877" s="19"/>
      <c r="AA2877" s="19"/>
      <c r="AB2877" s="19"/>
      <c r="AC2877" s="19" t="n">
        <v>4</v>
      </c>
      <c r="AD2877" s="19"/>
      <c r="AE2877" s="19"/>
      <c r="AF2877" s="19"/>
      <c r="AG2877" s="19"/>
      <c r="AH2877" s="19" t="n">
        <v>6</v>
      </c>
      <c r="AI2877" s="19"/>
      <c r="AJ2877" s="19"/>
      <c r="AK2877" s="19"/>
      <c r="AL2877" s="19"/>
      <c r="AM2877" s="19"/>
      <c r="AN2877" s="19" t="n">
        <v>5</v>
      </c>
      <c r="AO2877" s="19" t="n">
        <v>5</v>
      </c>
      <c r="AP2877" s="19"/>
      <c r="AQ2877" s="19"/>
      <c r="AR2877" s="19"/>
      <c r="AS2877" s="20" t="str">
        <f aca="false">HYPERLINK("http://www.openstreetmap.org/?mlat=32.0484&amp;mlon=44.5607&amp;zoom=12#map=12/32.0484/44.5607","Maplink1")</f>
        <v>Maplink1</v>
      </c>
      <c r="AT2877" s="20" t="str">
        <f aca="false">HYPERLINK("https://www.google.iq/maps/search/+32.0484,44.5607/@32.0484,44.5607,14z?hl=en","Maplink2")</f>
        <v>Maplink2</v>
      </c>
      <c r="AU2877" s="20" t="str">
        <f aca="false">HYPERLINK("http://www.bing.com/maps/?lvl=14&amp;sty=h&amp;cp=32.0484~44.5607&amp;sp=point.32.0484_44.5607","Maplink3")</f>
        <v>Maplink3</v>
      </c>
    </row>
    <row r="2878" customFormat="false" ht="15" hidden="false" customHeight="true" outlineLevel="0" collapsed="false">
      <c r="A2878" s="15" t="n">
        <v>2447</v>
      </c>
      <c r="B2878" s="16" t="s">
        <v>28</v>
      </c>
      <c r="C2878" s="16" t="s">
        <v>5490</v>
      </c>
      <c r="D2878" s="16" t="s">
        <v>943</v>
      </c>
      <c r="E2878" s="17" t="s">
        <v>97</v>
      </c>
      <c r="F2878" s="16" t="n">
        <v>31.7396017</v>
      </c>
      <c r="G2878" s="16" t="n">
        <v>44.61422089</v>
      </c>
      <c r="H2878" s="18" t="n">
        <v>25</v>
      </c>
      <c r="I2878" s="18" t="n">
        <v>150</v>
      </c>
      <c r="J2878" s="19" t="n">
        <v>3</v>
      </c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 t="n">
        <v>22</v>
      </c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9" t="n">
        <v>5</v>
      </c>
      <c r="AH2878" s="19" t="n">
        <v>20</v>
      </c>
      <c r="AI2878" s="19"/>
      <c r="AJ2878" s="19"/>
      <c r="AK2878" s="19"/>
      <c r="AL2878" s="19"/>
      <c r="AM2878" s="19" t="n">
        <v>8</v>
      </c>
      <c r="AN2878" s="19" t="n">
        <v>14</v>
      </c>
      <c r="AO2878" s="19" t="n">
        <v>3</v>
      </c>
      <c r="AP2878" s="19"/>
      <c r="AQ2878" s="19"/>
      <c r="AR2878" s="19"/>
      <c r="AS2878" s="20" t="str">
        <f aca="false">HYPERLINK("http://www.openstreetmap.org/?mlat=31.7396&amp;mlon=44.6142&amp;zoom=12#map=12/31.7396/44.6142","Maplink1")</f>
        <v>Maplink1</v>
      </c>
      <c r="AT2878" s="20" t="str">
        <f aca="false">HYPERLINK("https://www.google.iq/maps/search/+31.7396,44.6142/@31.7396,44.6142,14z?hl=en","Maplink2")</f>
        <v>Maplink2</v>
      </c>
      <c r="AU2878" s="20" t="str">
        <f aca="false">HYPERLINK("http://www.bing.com/maps/?lvl=14&amp;sty=h&amp;cp=31.7396~44.6142&amp;sp=point.31.7396_44.6142","Maplink3")</f>
        <v>Maplink3</v>
      </c>
    </row>
    <row r="2879" customFormat="false" ht="15" hidden="false" customHeight="true" outlineLevel="0" collapsed="false">
      <c r="A2879" s="15" t="n">
        <v>24245</v>
      </c>
      <c r="B2879" s="16" t="s">
        <v>28</v>
      </c>
      <c r="C2879" s="16" t="s">
        <v>5490</v>
      </c>
      <c r="D2879" s="16" t="s">
        <v>5522</v>
      </c>
      <c r="E2879" s="17" t="s">
        <v>5523</v>
      </c>
      <c r="F2879" s="16" t="n">
        <v>31.97125676</v>
      </c>
      <c r="G2879" s="16" t="n">
        <v>44.60961211</v>
      </c>
      <c r="H2879" s="18" t="n">
        <v>20</v>
      </c>
      <c r="I2879" s="18" t="n">
        <v>120</v>
      </c>
      <c r="J2879" s="19" t="n">
        <v>9</v>
      </c>
      <c r="K2879" s="19"/>
      <c r="L2879" s="19"/>
      <c r="M2879" s="19"/>
      <c r="N2879" s="19"/>
      <c r="O2879" s="19" t="n">
        <v>2</v>
      </c>
      <c r="P2879" s="19"/>
      <c r="Q2879" s="19"/>
      <c r="R2879" s="19" t="n">
        <v>3</v>
      </c>
      <c r="S2879" s="19"/>
      <c r="T2879" s="19"/>
      <c r="U2879" s="19"/>
      <c r="V2879" s="19" t="n">
        <v>6</v>
      </c>
      <c r="W2879" s="19"/>
      <c r="X2879" s="19"/>
      <c r="Y2879" s="19"/>
      <c r="Z2879" s="19"/>
      <c r="AA2879" s="19"/>
      <c r="AB2879" s="19"/>
      <c r="AC2879" s="19" t="n">
        <v>8</v>
      </c>
      <c r="AD2879" s="19"/>
      <c r="AE2879" s="19"/>
      <c r="AF2879" s="19"/>
      <c r="AG2879" s="19"/>
      <c r="AH2879" s="19" t="n">
        <v>12</v>
      </c>
      <c r="AI2879" s="19"/>
      <c r="AJ2879" s="19"/>
      <c r="AK2879" s="19"/>
      <c r="AL2879" s="19"/>
      <c r="AM2879" s="19" t="n">
        <v>5</v>
      </c>
      <c r="AN2879" s="19" t="n">
        <v>6</v>
      </c>
      <c r="AO2879" s="19" t="n">
        <v>9</v>
      </c>
      <c r="AP2879" s="19"/>
      <c r="AQ2879" s="19"/>
      <c r="AR2879" s="19"/>
      <c r="AS2879" s="20" t="str">
        <f aca="false">HYPERLINK("http://www.openstreetmap.org/?mlat=31.9713&amp;mlon=44.6096&amp;zoom=12#map=12/31.9713/44.6096","Maplink1")</f>
        <v>Maplink1</v>
      </c>
      <c r="AT2879" s="20" t="str">
        <f aca="false">HYPERLINK("https://www.google.iq/maps/search/+31.9713,44.6096/@31.9713,44.6096,14z?hl=en","Maplink2")</f>
        <v>Maplink2</v>
      </c>
      <c r="AU2879" s="20" t="str">
        <f aca="false">HYPERLINK("http://www.bing.com/maps/?lvl=14&amp;sty=h&amp;cp=31.9713~44.6096&amp;sp=point.31.9713_44.6096","Maplink3")</f>
        <v>Maplink3</v>
      </c>
    </row>
    <row r="2880" customFormat="false" ht="15" hidden="false" customHeight="true" outlineLevel="0" collapsed="false">
      <c r="A2880" s="15" t="n">
        <v>25565</v>
      </c>
      <c r="B2880" s="16" t="s">
        <v>28</v>
      </c>
      <c r="C2880" s="16" t="s">
        <v>5490</v>
      </c>
      <c r="D2880" s="16" t="s">
        <v>5524</v>
      </c>
      <c r="E2880" s="17" t="s">
        <v>5525</v>
      </c>
      <c r="F2880" s="16" t="n">
        <v>32.05908519</v>
      </c>
      <c r="G2880" s="16" t="n">
        <v>44.56026021</v>
      </c>
      <c r="H2880" s="18" t="n">
        <v>4</v>
      </c>
      <c r="I2880" s="18" t="n">
        <v>24</v>
      </c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 t="n">
        <v>4</v>
      </c>
      <c r="W2880" s="19"/>
      <c r="X2880" s="19"/>
      <c r="Y2880" s="19"/>
      <c r="Z2880" s="19"/>
      <c r="AA2880" s="19"/>
      <c r="AB2880" s="19"/>
      <c r="AC2880" s="19" t="n">
        <v>2</v>
      </c>
      <c r="AD2880" s="19"/>
      <c r="AE2880" s="19"/>
      <c r="AF2880" s="19"/>
      <c r="AG2880" s="19"/>
      <c r="AH2880" s="19" t="n">
        <v>2</v>
      </c>
      <c r="AI2880" s="19"/>
      <c r="AJ2880" s="19"/>
      <c r="AK2880" s="19"/>
      <c r="AL2880" s="19"/>
      <c r="AM2880" s="19"/>
      <c r="AN2880" s="19" t="n">
        <v>4</v>
      </c>
      <c r="AO2880" s="19"/>
      <c r="AP2880" s="19"/>
      <c r="AQ2880" s="19"/>
      <c r="AR2880" s="19"/>
      <c r="AS2880" s="20" t="str">
        <f aca="false">HYPERLINK("http://www.openstreetmap.org/?mlat=32.0591&amp;mlon=44.5603&amp;zoom=12#map=12/32.0591/44.5603","Maplink1")</f>
        <v>Maplink1</v>
      </c>
      <c r="AT2880" s="20" t="str">
        <f aca="false">HYPERLINK("https://www.google.iq/maps/search/+32.0591,44.5603/@32.0591,44.5603,14z?hl=en","Maplink2")</f>
        <v>Maplink2</v>
      </c>
      <c r="AU2880" s="20" t="str">
        <f aca="false">HYPERLINK("http://www.bing.com/maps/?lvl=14&amp;sty=h&amp;cp=32.0591~44.5603&amp;sp=point.32.0591_44.5603","Maplink3")</f>
        <v>Maplink3</v>
      </c>
    </row>
    <row r="2881" customFormat="false" ht="15" hidden="false" customHeight="true" outlineLevel="0" collapsed="false">
      <c r="A2881" s="15" t="n">
        <v>25909</v>
      </c>
      <c r="B2881" s="16" t="s">
        <v>28</v>
      </c>
      <c r="C2881" s="16" t="s">
        <v>5490</v>
      </c>
      <c r="D2881" s="16" t="s">
        <v>729</v>
      </c>
      <c r="E2881" s="17" t="s">
        <v>2027</v>
      </c>
      <c r="F2881" s="16" t="n">
        <v>32.0499816</v>
      </c>
      <c r="G2881" s="16" t="n">
        <v>44.56074385</v>
      </c>
      <c r="H2881" s="18" t="n">
        <v>7</v>
      </c>
      <c r="I2881" s="18" t="n">
        <v>42</v>
      </c>
      <c r="J2881" s="19" t="n">
        <v>3</v>
      </c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 t="n">
        <v>4</v>
      </c>
      <c r="W2881" s="19"/>
      <c r="X2881" s="19"/>
      <c r="Y2881" s="19"/>
      <c r="Z2881" s="19"/>
      <c r="AA2881" s="19"/>
      <c r="AB2881" s="19"/>
      <c r="AC2881" s="19" t="n">
        <v>2</v>
      </c>
      <c r="AD2881" s="19"/>
      <c r="AE2881" s="19"/>
      <c r="AF2881" s="19"/>
      <c r="AG2881" s="19"/>
      <c r="AH2881" s="19" t="n">
        <v>5</v>
      </c>
      <c r="AI2881" s="19"/>
      <c r="AJ2881" s="19"/>
      <c r="AK2881" s="19"/>
      <c r="AL2881" s="19"/>
      <c r="AM2881" s="19"/>
      <c r="AN2881" s="19" t="n">
        <v>4</v>
      </c>
      <c r="AO2881" s="19" t="n">
        <v>1</v>
      </c>
      <c r="AP2881" s="19" t="n">
        <v>2</v>
      </c>
      <c r="AQ2881" s="19"/>
      <c r="AR2881" s="19"/>
      <c r="AS2881" s="20" t="str">
        <f aca="false">HYPERLINK("http://www.openstreetmap.org/?mlat=32.05&amp;mlon=44.5607&amp;zoom=12#map=12/32.05/44.5607","Maplink1")</f>
        <v>Maplink1</v>
      </c>
      <c r="AT2881" s="20" t="str">
        <f aca="false">HYPERLINK("https://www.google.iq/maps/search/+32.05,44.5607/@32.05,44.5607,14z?hl=en","Maplink2")</f>
        <v>Maplink2</v>
      </c>
      <c r="AU2881" s="20" t="str">
        <f aca="false">HYPERLINK("http://www.bing.com/maps/?lvl=14&amp;sty=h&amp;cp=32.05~44.5607&amp;sp=point.32.05_44.5607","Maplink3")</f>
        <v>Maplink3</v>
      </c>
    </row>
    <row r="2882" customFormat="false" ht="15" hidden="false" customHeight="true" outlineLevel="0" collapsed="false">
      <c r="A2882" s="15" t="n">
        <v>2766</v>
      </c>
      <c r="B2882" s="16" t="s">
        <v>28</v>
      </c>
      <c r="C2882" s="16" t="s">
        <v>5490</v>
      </c>
      <c r="D2882" s="16" t="s">
        <v>5526</v>
      </c>
      <c r="E2882" s="17" t="s">
        <v>5527</v>
      </c>
      <c r="F2882" s="16" t="n">
        <v>31.96128263</v>
      </c>
      <c r="G2882" s="16" t="n">
        <v>44.59545909</v>
      </c>
      <c r="H2882" s="18" t="n">
        <v>43</v>
      </c>
      <c r="I2882" s="18" t="n">
        <v>258</v>
      </c>
      <c r="J2882" s="19" t="n">
        <v>7</v>
      </c>
      <c r="K2882" s="19"/>
      <c r="L2882" s="19"/>
      <c r="M2882" s="19"/>
      <c r="N2882" s="19"/>
      <c r="O2882" s="19"/>
      <c r="P2882" s="19"/>
      <c r="Q2882" s="19"/>
      <c r="R2882" s="19" t="n">
        <v>2</v>
      </c>
      <c r="S2882" s="19"/>
      <c r="T2882" s="19"/>
      <c r="U2882" s="19"/>
      <c r="V2882" s="19" t="n">
        <v>34</v>
      </c>
      <c r="W2882" s="19"/>
      <c r="X2882" s="19"/>
      <c r="Y2882" s="19"/>
      <c r="Z2882" s="19"/>
      <c r="AA2882" s="19"/>
      <c r="AB2882" s="19"/>
      <c r="AC2882" s="19" t="n">
        <v>15</v>
      </c>
      <c r="AD2882" s="19"/>
      <c r="AE2882" s="19"/>
      <c r="AF2882" s="19"/>
      <c r="AG2882" s="19"/>
      <c r="AH2882" s="19" t="n">
        <v>28</v>
      </c>
      <c r="AI2882" s="19"/>
      <c r="AJ2882" s="19"/>
      <c r="AK2882" s="19"/>
      <c r="AL2882" s="19"/>
      <c r="AM2882" s="19" t="n">
        <v>27</v>
      </c>
      <c r="AN2882" s="19" t="n">
        <v>13</v>
      </c>
      <c r="AO2882" s="19" t="n">
        <v>3</v>
      </c>
      <c r="AP2882" s="19"/>
      <c r="AQ2882" s="19"/>
      <c r="AR2882" s="19"/>
      <c r="AS2882" s="20" t="str">
        <f aca="false">HYPERLINK("http://www.openstreetmap.org/?mlat=31.9613&amp;mlon=44.5955&amp;zoom=12#map=12/31.9613/44.5955","Maplink1")</f>
        <v>Maplink1</v>
      </c>
      <c r="AT2882" s="20" t="str">
        <f aca="false">HYPERLINK("https://www.google.iq/maps/search/+31.9613,44.5955/@31.9613,44.5955,14z?hl=en","Maplink2")</f>
        <v>Maplink2</v>
      </c>
      <c r="AU2882" s="20" t="str">
        <f aca="false">HYPERLINK("http://www.bing.com/maps/?lvl=14&amp;sty=h&amp;cp=31.9613~44.5955&amp;sp=point.31.9613_44.5955","Maplink3")</f>
        <v>Maplink3</v>
      </c>
    </row>
    <row r="2883" customFormat="false" ht="15" hidden="false" customHeight="true" outlineLevel="0" collapsed="false">
      <c r="A2883" s="15" t="n">
        <v>25913</v>
      </c>
      <c r="B2883" s="16" t="s">
        <v>28</v>
      </c>
      <c r="C2883" s="16" t="s">
        <v>5490</v>
      </c>
      <c r="D2883" s="16" t="s">
        <v>5528</v>
      </c>
      <c r="E2883" s="17" t="s">
        <v>5527</v>
      </c>
      <c r="F2883" s="16" t="n">
        <v>32.0168751</v>
      </c>
      <c r="G2883" s="16" t="n">
        <v>44.54769792</v>
      </c>
      <c r="H2883" s="18" t="n">
        <v>12</v>
      </c>
      <c r="I2883" s="18" t="n">
        <v>72</v>
      </c>
      <c r="J2883" s="19"/>
      <c r="K2883" s="19"/>
      <c r="L2883" s="19"/>
      <c r="M2883" s="19"/>
      <c r="N2883" s="19"/>
      <c r="O2883" s="19"/>
      <c r="P2883" s="19"/>
      <c r="Q2883" s="19"/>
      <c r="R2883" s="19" t="n">
        <v>3</v>
      </c>
      <c r="S2883" s="19"/>
      <c r="T2883" s="19"/>
      <c r="U2883" s="19"/>
      <c r="V2883" s="19" t="n">
        <v>9</v>
      </c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9"/>
      <c r="AH2883" s="19" t="n">
        <v>2</v>
      </c>
      <c r="AI2883" s="19" t="n">
        <v>7</v>
      </c>
      <c r="AJ2883" s="19" t="n">
        <v>3</v>
      </c>
      <c r="AK2883" s="19"/>
      <c r="AL2883" s="19"/>
      <c r="AM2883" s="19" t="n">
        <v>12</v>
      </c>
      <c r="AN2883" s="19"/>
      <c r="AO2883" s="19"/>
      <c r="AP2883" s="19"/>
      <c r="AQ2883" s="19"/>
      <c r="AR2883" s="19"/>
      <c r="AS2883" s="20" t="str">
        <f aca="false">HYPERLINK("http://www.openstreetmap.org/?mlat=32.0169&amp;mlon=44.5477&amp;zoom=12#map=12/32.0169/44.5477","Maplink1")</f>
        <v>Maplink1</v>
      </c>
      <c r="AT2883" s="20" t="str">
        <f aca="false">HYPERLINK("https://www.google.iq/maps/search/+32.0169,44.5477/@32.0169,44.5477,14z?hl=en","Maplink2")</f>
        <v>Maplink2</v>
      </c>
      <c r="AU2883" s="20" t="str">
        <f aca="false">HYPERLINK("http://www.bing.com/maps/?lvl=14&amp;sty=h&amp;cp=32.0169~44.5477&amp;sp=point.32.0169_44.5477","Maplink3")</f>
        <v>Maplink3</v>
      </c>
    </row>
    <row r="2884" customFormat="false" ht="15" hidden="false" customHeight="true" outlineLevel="0" collapsed="false">
      <c r="A2884" s="15" t="n">
        <v>22683</v>
      </c>
      <c r="B2884" s="16" t="s">
        <v>28</v>
      </c>
      <c r="C2884" s="16" t="s">
        <v>5490</v>
      </c>
      <c r="D2884" s="16" t="s">
        <v>5529</v>
      </c>
      <c r="E2884" s="17" t="s">
        <v>5530</v>
      </c>
      <c r="F2884" s="16" t="n">
        <v>31.74061243</v>
      </c>
      <c r="G2884" s="16" t="n">
        <v>44.60881465</v>
      </c>
      <c r="H2884" s="18" t="n">
        <v>10</v>
      </c>
      <c r="I2884" s="18" t="n">
        <v>60</v>
      </c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 t="n">
        <v>10</v>
      </c>
      <c r="W2884" s="19"/>
      <c r="X2884" s="19"/>
      <c r="Y2884" s="19"/>
      <c r="Z2884" s="19"/>
      <c r="AA2884" s="19"/>
      <c r="AB2884" s="19"/>
      <c r="AC2884" s="19" t="n">
        <v>2</v>
      </c>
      <c r="AD2884" s="19"/>
      <c r="AE2884" s="19"/>
      <c r="AF2884" s="19"/>
      <c r="AG2884" s="19" t="n">
        <v>8</v>
      </c>
      <c r="AH2884" s="19"/>
      <c r="AI2884" s="19"/>
      <c r="AJ2884" s="19"/>
      <c r="AK2884" s="19"/>
      <c r="AL2884" s="19"/>
      <c r="AM2884" s="19" t="n">
        <v>4</v>
      </c>
      <c r="AN2884" s="19" t="n">
        <v>6</v>
      </c>
      <c r="AO2884" s="19"/>
      <c r="AP2884" s="19"/>
      <c r="AQ2884" s="19"/>
      <c r="AR2884" s="19"/>
      <c r="AS2884" s="20" t="str">
        <f aca="false">HYPERLINK("http://www.openstreetmap.org/?mlat=31.7406&amp;mlon=44.6088&amp;zoom=12#map=12/31.7406/44.6088","Maplink1")</f>
        <v>Maplink1</v>
      </c>
      <c r="AT2884" s="20" t="str">
        <f aca="false">HYPERLINK("https://www.google.iq/maps/search/+31.7406,44.6088/@31.7406,44.6088,14z?hl=en","Maplink2")</f>
        <v>Maplink2</v>
      </c>
      <c r="AU2884" s="20" t="str">
        <f aca="false">HYPERLINK("http://www.bing.com/maps/?lvl=14&amp;sty=h&amp;cp=31.7406~44.6088&amp;sp=point.31.7406_44.6088","Maplink3")</f>
        <v>Maplink3</v>
      </c>
    </row>
    <row r="2885" customFormat="false" ht="15" hidden="false" customHeight="true" outlineLevel="0" collapsed="false">
      <c r="A2885" s="15" t="n">
        <v>25560</v>
      </c>
      <c r="B2885" s="16" t="s">
        <v>28</v>
      </c>
      <c r="C2885" s="16" t="s">
        <v>5490</v>
      </c>
      <c r="D2885" s="16" t="s">
        <v>5531</v>
      </c>
      <c r="E2885" s="17" t="s">
        <v>5532</v>
      </c>
      <c r="F2885" s="16" t="n">
        <v>31.97325379</v>
      </c>
      <c r="G2885" s="16" t="n">
        <v>44.62385824</v>
      </c>
      <c r="H2885" s="18" t="n">
        <v>30</v>
      </c>
      <c r="I2885" s="18" t="n">
        <v>180</v>
      </c>
      <c r="J2885" s="19" t="n">
        <v>14</v>
      </c>
      <c r="K2885" s="19"/>
      <c r="L2885" s="19"/>
      <c r="M2885" s="19"/>
      <c r="N2885" s="19"/>
      <c r="O2885" s="19"/>
      <c r="P2885" s="19"/>
      <c r="Q2885" s="19"/>
      <c r="R2885" s="19" t="n">
        <v>1</v>
      </c>
      <c r="S2885" s="19"/>
      <c r="T2885" s="19"/>
      <c r="U2885" s="19"/>
      <c r="V2885" s="19" t="n">
        <v>15</v>
      </c>
      <c r="W2885" s="19"/>
      <c r="X2885" s="19"/>
      <c r="Y2885" s="19"/>
      <c r="Z2885" s="19"/>
      <c r="AA2885" s="19"/>
      <c r="AB2885" s="19"/>
      <c r="AC2885" s="19" t="n">
        <v>6</v>
      </c>
      <c r="AD2885" s="19"/>
      <c r="AE2885" s="19"/>
      <c r="AF2885" s="19"/>
      <c r="AG2885" s="19"/>
      <c r="AH2885" s="19" t="n">
        <v>24</v>
      </c>
      <c r="AI2885" s="19"/>
      <c r="AJ2885" s="19"/>
      <c r="AK2885" s="19"/>
      <c r="AL2885" s="19"/>
      <c r="AM2885" s="19" t="n">
        <v>5</v>
      </c>
      <c r="AN2885" s="19" t="n">
        <v>11</v>
      </c>
      <c r="AO2885" s="19" t="n">
        <v>10</v>
      </c>
      <c r="AP2885" s="19" t="n">
        <v>4</v>
      </c>
      <c r="AQ2885" s="19"/>
      <c r="AR2885" s="19"/>
      <c r="AS2885" s="20" t="str">
        <f aca="false">HYPERLINK("http://www.openstreetmap.org/?mlat=31.9733&amp;mlon=44.6239&amp;zoom=12#map=12/31.9733/44.6239","Maplink1")</f>
        <v>Maplink1</v>
      </c>
      <c r="AT2885" s="20" t="str">
        <f aca="false">HYPERLINK("https://www.google.iq/maps/search/+31.9733,44.6239/@31.9733,44.6239,14z?hl=en","Maplink2")</f>
        <v>Maplink2</v>
      </c>
      <c r="AU2885" s="20" t="str">
        <f aca="false">HYPERLINK("http://www.bing.com/maps/?lvl=14&amp;sty=h&amp;cp=31.9733~44.6239&amp;sp=point.31.9733_44.6239","Maplink3")</f>
        <v>Maplink3</v>
      </c>
    </row>
    <row r="2886" customFormat="false" ht="15" hidden="false" customHeight="true" outlineLevel="0" collapsed="false">
      <c r="A2886" s="15" t="n">
        <v>25912</v>
      </c>
      <c r="B2886" s="16" t="s">
        <v>28</v>
      </c>
      <c r="C2886" s="16" t="s">
        <v>5490</v>
      </c>
      <c r="D2886" s="16" t="s">
        <v>5533</v>
      </c>
      <c r="E2886" s="17" t="s">
        <v>5534</v>
      </c>
      <c r="F2886" s="16" t="n">
        <v>32.05084473</v>
      </c>
      <c r="G2886" s="16" t="n">
        <v>44.55889153</v>
      </c>
      <c r="H2886" s="18" t="n">
        <v>5</v>
      </c>
      <c r="I2886" s="18" t="n">
        <v>30</v>
      </c>
      <c r="J2886" s="19" t="n">
        <v>2</v>
      </c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 t="n">
        <v>3</v>
      </c>
      <c r="W2886" s="19"/>
      <c r="X2886" s="19"/>
      <c r="Y2886" s="19"/>
      <c r="Z2886" s="19"/>
      <c r="AA2886" s="19"/>
      <c r="AB2886" s="19"/>
      <c r="AC2886" s="19" t="n">
        <v>2</v>
      </c>
      <c r="AD2886" s="19"/>
      <c r="AE2886" s="19"/>
      <c r="AF2886" s="19"/>
      <c r="AG2886" s="19"/>
      <c r="AH2886" s="19" t="n">
        <v>3</v>
      </c>
      <c r="AI2886" s="19"/>
      <c r="AJ2886" s="19"/>
      <c r="AK2886" s="19"/>
      <c r="AL2886" s="19"/>
      <c r="AM2886" s="19"/>
      <c r="AN2886" s="19" t="n">
        <v>3</v>
      </c>
      <c r="AO2886" s="19"/>
      <c r="AP2886" s="19" t="n">
        <v>2</v>
      </c>
      <c r="AQ2886" s="19"/>
      <c r="AR2886" s="19"/>
      <c r="AS2886" s="20" t="str">
        <f aca="false">HYPERLINK("http://www.openstreetmap.org/?mlat=32.0508&amp;mlon=44.5589&amp;zoom=12#map=12/32.0508/44.5589","Maplink1")</f>
        <v>Maplink1</v>
      </c>
      <c r="AT2886" s="20" t="str">
        <f aca="false">HYPERLINK("https://www.google.iq/maps/search/+32.0508,44.5589/@32.0508,44.5589,14z?hl=en","Maplink2")</f>
        <v>Maplink2</v>
      </c>
      <c r="AU2886" s="20" t="str">
        <f aca="false">HYPERLINK("http://www.bing.com/maps/?lvl=14&amp;sty=h&amp;cp=32.0508~44.5589&amp;sp=point.32.0508_44.5589","Maplink3")</f>
        <v>Maplink3</v>
      </c>
    </row>
    <row r="2887" customFormat="false" ht="15" hidden="false" customHeight="true" outlineLevel="0" collapsed="false">
      <c r="A2887" s="15" t="n">
        <v>25559</v>
      </c>
      <c r="B2887" s="16" t="s">
        <v>28</v>
      </c>
      <c r="C2887" s="16" t="s">
        <v>5490</v>
      </c>
      <c r="D2887" s="16" t="s">
        <v>5535</v>
      </c>
      <c r="E2887" s="17" t="s">
        <v>5536</v>
      </c>
      <c r="F2887" s="16" t="n">
        <v>31.97141283</v>
      </c>
      <c r="G2887" s="16" t="n">
        <v>44.60876092</v>
      </c>
      <c r="H2887" s="18" t="n">
        <v>11</v>
      </c>
      <c r="I2887" s="18" t="n">
        <v>66</v>
      </c>
      <c r="J2887" s="19" t="n">
        <v>4</v>
      </c>
      <c r="K2887" s="19"/>
      <c r="L2887" s="19" t="n">
        <v>2</v>
      </c>
      <c r="M2887" s="19"/>
      <c r="N2887" s="19"/>
      <c r="O2887" s="19" t="n">
        <v>5</v>
      </c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 t="n">
        <v>4</v>
      </c>
      <c r="AD2887" s="19"/>
      <c r="AE2887" s="19"/>
      <c r="AF2887" s="19"/>
      <c r="AG2887" s="19"/>
      <c r="AH2887" s="19" t="n">
        <v>7</v>
      </c>
      <c r="AI2887" s="19"/>
      <c r="AJ2887" s="19"/>
      <c r="AK2887" s="19"/>
      <c r="AL2887" s="19"/>
      <c r="AM2887" s="19" t="n">
        <v>2</v>
      </c>
      <c r="AN2887" s="19" t="n">
        <v>6</v>
      </c>
      <c r="AO2887" s="19" t="n">
        <v>3</v>
      </c>
      <c r="AP2887" s="19"/>
      <c r="AQ2887" s="19"/>
      <c r="AR2887" s="19"/>
      <c r="AS2887" s="20" t="str">
        <f aca="false">HYPERLINK("http://www.openstreetmap.org/?mlat=31.9714&amp;mlon=44.6088&amp;zoom=12#map=12/31.9714/44.6088","Maplink1")</f>
        <v>Maplink1</v>
      </c>
      <c r="AT2887" s="20" t="str">
        <f aca="false">HYPERLINK("https://www.google.iq/maps/search/+31.9714,44.6088/@31.9714,44.6088,14z?hl=en","Maplink2")</f>
        <v>Maplink2</v>
      </c>
      <c r="AU2887" s="20" t="str">
        <f aca="false">HYPERLINK("http://www.bing.com/maps/?lvl=14&amp;sty=h&amp;cp=31.9714~44.6088&amp;sp=point.31.9714_44.6088","Maplink3")</f>
        <v>Maplink3</v>
      </c>
    </row>
    <row r="2888" customFormat="false" ht="15" hidden="false" customHeight="true" outlineLevel="0" collapsed="false">
      <c r="A2888" s="15" t="n">
        <v>25859</v>
      </c>
      <c r="B2888" s="16" t="s">
        <v>28</v>
      </c>
      <c r="C2888" s="16" t="s">
        <v>5490</v>
      </c>
      <c r="D2888" s="16" t="s">
        <v>5537</v>
      </c>
      <c r="E2888" s="17" t="s">
        <v>5538</v>
      </c>
      <c r="F2888" s="16" t="n">
        <v>31.79572663</v>
      </c>
      <c r="G2888" s="16" t="n">
        <v>44.60304312</v>
      </c>
      <c r="H2888" s="18" t="n">
        <v>14</v>
      </c>
      <c r="I2888" s="18" t="n">
        <v>84</v>
      </c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 t="n">
        <v>14</v>
      </c>
      <c r="W2888" s="19"/>
      <c r="X2888" s="19"/>
      <c r="Y2888" s="19"/>
      <c r="Z2888" s="19"/>
      <c r="AA2888" s="19"/>
      <c r="AB2888" s="19"/>
      <c r="AC2888" s="19" t="n">
        <v>5</v>
      </c>
      <c r="AD2888" s="19"/>
      <c r="AE2888" s="19"/>
      <c r="AF2888" s="19"/>
      <c r="AG2888" s="19" t="n">
        <v>9</v>
      </c>
      <c r="AH2888" s="19"/>
      <c r="AI2888" s="19"/>
      <c r="AJ2888" s="19"/>
      <c r="AK2888" s="19"/>
      <c r="AL2888" s="19"/>
      <c r="AM2888" s="19"/>
      <c r="AN2888" s="19" t="n">
        <v>14</v>
      </c>
      <c r="AO2888" s="19"/>
      <c r="AP2888" s="19"/>
      <c r="AQ2888" s="19"/>
      <c r="AR2888" s="19"/>
      <c r="AS2888" s="20" t="str">
        <f aca="false">HYPERLINK("http://www.openstreetmap.org/?mlat=31.7957&amp;mlon=44.603&amp;zoom=12#map=12/31.7957/44.603","Maplink1")</f>
        <v>Maplink1</v>
      </c>
      <c r="AT2888" s="20" t="str">
        <f aca="false">HYPERLINK("https://www.google.iq/maps/search/+31.7957,44.603/@31.7957,44.603,14z?hl=en","Maplink2")</f>
        <v>Maplink2</v>
      </c>
      <c r="AU2888" s="20" t="str">
        <f aca="false">HYPERLINK("http://www.bing.com/maps/?lvl=14&amp;sty=h&amp;cp=31.7957~44.603&amp;sp=point.31.7957_44.603","Maplink3")</f>
        <v>Maplink3</v>
      </c>
    </row>
    <row r="2889" customFormat="false" ht="15" hidden="false" customHeight="true" outlineLevel="0" collapsed="false">
      <c r="A2889" s="15" t="n">
        <v>25792</v>
      </c>
      <c r="B2889" s="16" t="s">
        <v>28</v>
      </c>
      <c r="C2889" s="16" t="s">
        <v>5539</v>
      </c>
      <c r="D2889" s="16" t="s">
        <v>5540</v>
      </c>
      <c r="E2889" s="17" t="s">
        <v>5541</v>
      </c>
      <c r="F2889" s="16" t="n">
        <v>32.23268542</v>
      </c>
      <c r="G2889" s="16" t="n">
        <v>44.80663737</v>
      </c>
      <c r="H2889" s="18" t="n">
        <v>5</v>
      </c>
      <c r="I2889" s="18" t="n">
        <v>30</v>
      </c>
      <c r="J2889" s="19" t="n">
        <v>4</v>
      </c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 t="n">
        <v>1</v>
      </c>
      <c r="W2889" s="19"/>
      <c r="X2889" s="19"/>
      <c r="Y2889" s="19"/>
      <c r="Z2889" s="19"/>
      <c r="AA2889" s="19"/>
      <c r="AB2889" s="19"/>
      <c r="AC2889" s="19" t="n">
        <v>4</v>
      </c>
      <c r="AD2889" s="19"/>
      <c r="AE2889" s="19"/>
      <c r="AF2889" s="19"/>
      <c r="AG2889" s="19"/>
      <c r="AH2889" s="19" t="n">
        <v>1</v>
      </c>
      <c r="AI2889" s="19"/>
      <c r="AJ2889" s="19"/>
      <c r="AK2889" s="19"/>
      <c r="AL2889" s="19"/>
      <c r="AM2889" s="19"/>
      <c r="AN2889" s="19" t="n">
        <v>1</v>
      </c>
      <c r="AO2889" s="19" t="n">
        <v>4</v>
      </c>
      <c r="AP2889" s="19"/>
      <c r="AQ2889" s="19"/>
      <c r="AR2889" s="19"/>
      <c r="AS2889" s="20" t="str">
        <f aca="false">HYPERLINK("http://www.openstreetmap.org/?mlat=32.2327&amp;mlon=44.8066&amp;zoom=12#map=12/32.2327/44.8066","Maplink1")</f>
        <v>Maplink1</v>
      </c>
      <c r="AT2889" s="20" t="str">
        <f aca="false">HYPERLINK("https://www.google.iq/maps/search/+32.2327,44.8066/@32.2327,44.8066,14z?hl=en","Maplink2")</f>
        <v>Maplink2</v>
      </c>
      <c r="AU2889" s="20" t="str">
        <f aca="false">HYPERLINK("http://www.bing.com/maps/?lvl=14&amp;sty=h&amp;cp=32.2327~44.8066&amp;sp=point.32.2327_44.8066","Maplink3")</f>
        <v>Maplink3</v>
      </c>
    </row>
    <row r="2890" customFormat="false" ht="15" hidden="false" customHeight="true" outlineLevel="0" collapsed="false">
      <c r="A2890" s="15" t="n">
        <v>2943</v>
      </c>
      <c r="B2890" s="16" t="s">
        <v>28</v>
      </c>
      <c r="C2890" s="16" t="s">
        <v>5539</v>
      </c>
      <c r="D2890" s="16" t="s">
        <v>5542</v>
      </c>
      <c r="E2890" s="17" t="s">
        <v>5543</v>
      </c>
      <c r="F2890" s="16" t="n">
        <v>31.99941718</v>
      </c>
      <c r="G2890" s="16" t="n">
        <v>44.98124155</v>
      </c>
      <c r="H2890" s="18" t="n">
        <v>45</v>
      </c>
      <c r="I2890" s="18" t="n">
        <v>270</v>
      </c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 t="n">
        <v>45</v>
      </c>
      <c r="W2890" s="19"/>
      <c r="X2890" s="19"/>
      <c r="Y2890" s="19"/>
      <c r="Z2890" s="19"/>
      <c r="AA2890" s="19"/>
      <c r="AB2890" s="19"/>
      <c r="AC2890" s="19" t="n">
        <v>12</v>
      </c>
      <c r="AD2890" s="19"/>
      <c r="AE2890" s="19"/>
      <c r="AF2890" s="19"/>
      <c r="AG2890" s="19" t="n">
        <v>14</v>
      </c>
      <c r="AH2890" s="19" t="n">
        <v>12</v>
      </c>
      <c r="AI2890" s="19"/>
      <c r="AJ2890" s="19" t="n">
        <v>7</v>
      </c>
      <c r="AK2890" s="19"/>
      <c r="AL2890" s="19"/>
      <c r="AM2890" s="19"/>
      <c r="AN2890" s="19" t="n">
        <v>45</v>
      </c>
      <c r="AO2890" s="19"/>
      <c r="AP2890" s="19"/>
      <c r="AQ2890" s="19"/>
      <c r="AR2890" s="19"/>
      <c r="AS2890" s="20" t="str">
        <f aca="false">HYPERLINK("http://www.openstreetmap.org/?mlat=31.9994&amp;mlon=44.9812&amp;zoom=12#map=12/31.9994/44.9812","Maplink1")</f>
        <v>Maplink1</v>
      </c>
      <c r="AT2890" s="20" t="str">
        <f aca="false">HYPERLINK("https://www.google.iq/maps/search/+31.9994,44.9812/@31.9994,44.9812,14z?hl=en","Maplink2")</f>
        <v>Maplink2</v>
      </c>
      <c r="AU2890" s="20" t="str">
        <f aca="false">HYPERLINK("http://www.bing.com/maps/?lvl=14&amp;sty=h&amp;cp=31.9994~44.9812&amp;sp=point.31.9994_44.9812","Maplink3")</f>
        <v>Maplink3</v>
      </c>
    </row>
    <row r="2891" customFormat="false" ht="15" hidden="false" customHeight="true" outlineLevel="0" collapsed="false">
      <c r="A2891" s="15" t="n">
        <v>24905</v>
      </c>
      <c r="B2891" s="16" t="s">
        <v>28</v>
      </c>
      <c r="C2891" s="16" t="s">
        <v>5539</v>
      </c>
      <c r="D2891" s="16" t="s">
        <v>5544</v>
      </c>
      <c r="E2891" s="17" t="s">
        <v>5545</v>
      </c>
      <c r="F2891" s="16" t="n">
        <v>32.03052511</v>
      </c>
      <c r="G2891" s="16" t="n">
        <v>44.79092105</v>
      </c>
      <c r="H2891" s="18" t="n">
        <v>31</v>
      </c>
      <c r="I2891" s="18" t="n">
        <v>186</v>
      </c>
      <c r="J2891" s="19"/>
      <c r="K2891" s="19"/>
      <c r="L2891" s="19"/>
      <c r="M2891" s="19"/>
      <c r="N2891" s="19"/>
      <c r="O2891" s="19"/>
      <c r="P2891" s="19"/>
      <c r="Q2891" s="19"/>
      <c r="R2891" s="19" t="n">
        <v>1</v>
      </c>
      <c r="S2891" s="19"/>
      <c r="T2891" s="19"/>
      <c r="U2891" s="19"/>
      <c r="V2891" s="19" t="n">
        <v>30</v>
      </c>
      <c r="W2891" s="19"/>
      <c r="X2891" s="19"/>
      <c r="Y2891" s="19"/>
      <c r="Z2891" s="19"/>
      <c r="AA2891" s="19"/>
      <c r="AB2891" s="19"/>
      <c r="AC2891" s="19" t="n">
        <v>3</v>
      </c>
      <c r="AD2891" s="19"/>
      <c r="AE2891" s="19"/>
      <c r="AF2891" s="19"/>
      <c r="AG2891" s="19" t="n">
        <v>19</v>
      </c>
      <c r="AH2891" s="19" t="n">
        <v>1</v>
      </c>
      <c r="AI2891" s="19"/>
      <c r="AJ2891" s="19" t="n">
        <v>8</v>
      </c>
      <c r="AK2891" s="19"/>
      <c r="AL2891" s="19"/>
      <c r="AM2891" s="19" t="n">
        <v>29</v>
      </c>
      <c r="AN2891" s="19" t="n">
        <v>2</v>
      </c>
      <c r="AO2891" s="19"/>
      <c r="AP2891" s="19"/>
      <c r="AQ2891" s="19"/>
      <c r="AR2891" s="19"/>
      <c r="AS2891" s="20" t="str">
        <f aca="false">HYPERLINK("http://www.openstreetmap.org/?mlat=32.0305&amp;mlon=44.7909&amp;zoom=12#map=12/32.0305/44.7909","Maplink1")</f>
        <v>Maplink1</v>
      </c>
      <c r="AT2891" s="20" t="str">
        <f aca="false">HYPERLINK("https://www.google.iq/maps/search/+32.0305,44.7909/@32.0305,44.7909,14z?hl=en","Maplink2")</f>
        <v>Maplink2</v>
      </c>
      <c r="AU2891" s="20" t="str">
        <f aca="false">HYPERLINK("http://www.bing.com/maps/?lvl=14&amp;sty=h&amp;cp=32.0305~44.7909&amp;sp=point.32.0305_44.7909","Maplink3")</f>
        <v>Maplink3</v>
      </c>
    </row>
    <row r="2892" customFormat="false" ht="15" hidden="false" customHeight="true" outlineLevel="0" collapsed="false">
      <c r="A2892" s="15" t="n">
        <v>25793</v>
      </c>
      <c r="B2892" s="16" t="s">
        <v>28</v>
      </c>
      <c r="C2892" s="16" t="s">
        <v>5539</v>
      </c>
      <c r="D2892" s="16" t="s">
        <v>5546</v>
      </c>
      <c r="E2892" s="17" t="s">
        <v>5547</v>
      </c>
      <c r="F2892" s="16" t="n">
        <v>32.13534119</v>
      </c>
      <c r="G2892" s="16" t="n">
        <v>44.95027268</v>
      </c>
      <c r="H2892" s="18" t="n">
        <v>5</v>
      </c>
      <c r="I2892" s="18" t="n">
        <v>30</v>
      </c>
      <c r="J2892" s="19" t="n">
        <v>3</v>
      </c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 t="n">
        <v>2</v>
      </c>
      <c r="W2892" s="19"/>
      <c r="X2892" s="19"/>
      <c r="Y2892" s="19"/>
      <c r="Z2892" s="19"/>
      <c r="AA2892" s="19"/>
      <c r="AB2892" s="19"/>
      <c r="AC2892" s="19" t="n">
        <v>3</v>
      </c>
      <c r="AD2892" s="19"/>
      <c r="AE2892" s="19"/>
      <c r="AF2892" s="19"/>
      <c r="AG2892" s="19"/>
      <c r="AH2892" s="19" t="n">
        <v>2</v>
      </c>
      <c r="AI2892" s="19"/>
      <c r="AJ2892" s="19"/>
      <c r="AK2892" s="19"/>
      <c r="AL2892" s="19"/>
      <c r="AM2892" s="19"/>
      <c r="AN2892" s="19" t="n">
        <v>2</v>
      </c>
      <c r="AO2892" s="19" t="n">
        <v>2</v>
      </c>
      <c r="AP2892" s="19" t="n">
        <v>1</v>
      </c>
      <c r="AQ2892" s="19"/>
      <c r="AR2892" s="19"/>
      <c r="AS2892" s="20" t="str">
        <f aca="false">HYPERLINK("http://www.openstreetmap.org/?mlat=32.1353&amp;mlon=44.9503&amp;zoom=12#map=12/32.1353/44.9503","Maplink1")</f>
        <v>Maplink1</v>
      </c>
      <c r="AT2892" s="20" t="str">
        <f aca="false">HYPERLINK("https://www.google.iq/maps/search/+32.1353,44.9503/@32.1353,44.9503,14z?hl=en","Maplink2")</f>
        <v>Maplink2</v>
      </c>
      <c r="AU2892" s="20" t="str">
        <f aca="false">HYPERLINK("http://www.bing.com/maps/?lvl=14&amp;sty=h&amp;cp=32.1353~44.9503&amp;sp=point.32.1353_44.9503","Maplink3")</f>
        <v>Maplink3</v>
      </c>
    </row>
    <row r="2893" customFormat="false" ht="15" hidden="false" customHeight="true" outlineLevel="0" collapsed="false">
      <c r="A2893" s="15" t="n">
        <v>22326</v>
      </c>
      <c r="B2893" s="16" t="s">
        <v>28</v>
      </c>
      <c r="C2893" s="16" t="s">
        <v>5539</v>
      </c>
      <c r="D2893" s="16" t="s">
        <v>5548</v>
      </c>
      <c r="E2893" s="17" t="s">
        <v>5549</v>
      </c>
      <c r="F2893" s="16" t="n">
        <v>31.98277039</v>
      </c>
      <c r="G2893" s="16" t="n">
        <v>44.97193613</v>
      </c>
      <c r="H2893" s="18" t="n">
        <v>391</v>
      </c>
      <c r="I2893" s="18" t="n">
        <v>2346</v>
      </c>
      <c r="J2893" s="19" t="n">
        <v>5</v>
      </c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 t="n">
        <v>386</v>
      </c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 t="n">
        <v>391</v>
      </c>
      <c r="AG2893" s="19"/>
      <c r="AH2893" s="19"/>
      <c r="AI2893" s="19"/>
      <c r="AJ2893" s="19"/>
      <c r="AK2893" s="19"/>
      <c r="AL2893" s="19"/>
      <c r="AM2893" s="19" t="n">
        <v>5</v>
      </c>
      <c r="AN2893" s="19" t="n">
        <v>381</v>
      </c>
      <c r="AO2893" s="19" t="n">
        <v>4</v>
      </c>
      <c r="AP2893" s="19" t="n">
        <v>1</v>
      </c>
      <c r="AQ2893" s="19"/>
      <c r="AR2893" s="19"/>
      <c r="AS2893" s="20" t="str">
        <f aca="false">HYPERLINK("http://www.openstreetmap.org/?mlat=31.9828&amp;mlon=44.9719&amp;zoom=12#map=12/31.9828/44.9719","Maplink1")</f>
        <v>Maplink1</v>
      </c>
      <c r="AT2893" s="20" t="str">
        <f aca="false">HYPERLINK("https://www.google.iq/maps/search/+31.9828,44.9719/@31.9828,44.9719,14z?hl=en","Maplink2")</f>
        <v>Maplink2</v>
      </c>
      <c r="AU2893" s="20" t="str">
        <f aca="false">HYPERLINK("http://www.bing.com/maps/?lvl=14&amp;sty=h&amp;cp=31.9828~44.9719&amp;sp=point.31.9828_44.9719","Maplink3")</f>
        <v>Maplink3</v>
      </c>
    </row>
    <row r="2894" customFormat="false" ht="15" hidden="false" customHeight="true" outlineLevel="0" collapsed="false">
      <c r="A2894" s="15" t="n">
        <v>2672</v>
      </c>
      <c r="B2894" s="16" t="s">
        <v>28</v>
      </c>
      <c r="C2894" s="16" t="s">
        <v>5539</v>
      </c>
      <c r="D2894" s="16" t="s">
        <v>5550</v>
      </c>
      <c r="E2894" s="17" t="s">
        <v>5551</v>
      </c>
      <c r="F2894" s="16" t="n">
        <v>31.924062</v>
      </c>
      <c r="G2894" s="16" t="n">
        <v>44.911975</v>
      </c>
      <c r="H2894" s="18" t="n">
        <v>25</v>
      </c>
      <c r="I2894" s="18" t="n">
        <v>150</v>
      </c>
      <c r="J2894" s="19"/>
      <c r="K2894" s="19"/>
      <c r="L2894" s="19"/>
      <c r="M2894" s="19"/>
      <c r="N2894" s="19"/>
      <c r="O2894" s="19"/>
      <c r="P2894" s="19"/>
      <c r="Q2894" s="19"/>
      <c r="R2894" s="19" t="n">
        <v>4</v>
      </c>
      <c r="S2894" s="19"/>
      <c r="T2894" s="19"/>
      <c r="U2894" s="19"/>
      <c r="V2894" s="19" t="n">
        <v>21</v>
      </c>
      <c r="W2894" s="19"/>
      <c r="X2894" s="19"/>
      <c r="Y2894" s="19"/>
      <c r="Z2894" s="19"/>
      <c r="AA2894" s="19"/>
      <c r="AB2894" s="19"/>
      <c r="AC2894" s="19" t="n">
        <v>6</v>
      </c>
      <c r="AD2894" s="19"/>
      <c r="AE2894" s="19"/>
      <c r="AF2894" s="19"/>
      <c r="AG2894" s="19" t="n">
        <v>18</v>
      </c>
      <c r="AH2894" s="19" t="n">
        <v>1</v>
      </c>
      <c r="AI2894" s="19"/>
      <c r="AJ2894" s="19"/>
      <c r="AK2894" s="19"/>
      <c r="AL2894" s="19"/>
      <c r="AM2894" s="19" t="n">
        <v>14</v>
      </c>
      <c r="AN2894" s="19" t="n">
        <v>11</v>
      </c>
      <c r="AO2894" s="19"/>
      <c r="AP2894" s="19"/>
      <c r="AQ2894" s="19"/>
      <c r="AR2894" s="19"/>
      <c r="AS2894" s="20" t="str">
        <f aca="false">HYPERLINK("http://www.openstreetmap.org/?mlat=31.9241&amp;mlon=44.912&amp;zoom=12#map=12/31.9241/44.912","Maplink1")</f>
        <v>Maplink1</v>
      </c>
      <c r="AT2894" s="20" t="str">
        <f aca="false">HYPERLINK("https://www.google.iq/maps/search/+31.9241,44.912/@31.9241,44.912,14z?hl=en","Maplink2")</f>
        <v>Maplink2</v>
      </c>
      <c r="AU2894" s="20" t="str">
        <f aca="false">HYPERLINK("http://www.bing.com/maps/?lvl=14&amp;sty=h&amp;cp=31.9241~44.912&amp;sp=point.31.9241_44.912","Maplink3")</f>
        <v>Maplink3</v>
      </c>
    </row>
    <row r="2895" customFormat="false" ht="15" hidden="false" customHeight="true" outlineLevel="0" collapsed="false">
      <c r="A2895" s="15" t="n">
        <v>3033</v>
      </c>
      <c r="B2895" s="16" t="s">
        <v>28</v>
      </c>
      <c r="C2895" s="16" t="s">
        <v>5539</v>
      </c>
      <c r="D2895" s="16" t="s">
        <v>5552</v>
      </c>
      <c r="E2895" s="17" t="s">
        <v>5553</v>
      </c>
      <c r="F2895" s="16" t="n">
        <v>32.02731421</v>
      </c>
      <c r="G2895" s="16" t="n">
        <v>44.8727783</v>
      </c>
      <c r="H2895" s="18" t="n">
        <v>15</v>
      </c>
      <c r="I2895" s="18" t="n">
        <v>90</v>
      </c>
      <c r="J2895" s="19" t="n">
        <v>3</v>
      </c>
      <c r="K2895" s="19" t="n">
        <v>7</v>
      </c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 t="n">
        <v>5</v>
      </c>
      <c r="W2895" s="19"/>
      <c r="X2895" s="19"/>
      <c r="Y2895" s="19"/>
      <c r="Z2895" s="19"/>
      <c r="AA2895" s="19"/>
      <c r="AB2895" s="19"/>
      <c r="AC2895" s="19" t="n">
        <v>6</v>
      </c>
      <c r="AD2895" s="19"/>
      <c r="AE2895" s="19"/>
      <c r="AF2895" s="19"/>
      <c r="AG2895" s="19"/>
      <c r="AH2895" s="19" t="n">
        <v>9</v>
      </c>
      <c r="AI2895" s="19"/>
      <c r="AJ2895" s="19"/>
      <c r="AK2895" s="19"/>
      <c r="AL2895" s="19"/>
      <c r="AM2895" s="19"/>
      <c r="AN2895" s="19" t="n">
        <v>12</v>
      </c>
      <c r="AO2895" s="19" t="n">
        <v>3</v>
      </c>
      <c r="AP2895" s="19"/>
      <c r="AQ2895" s="19"/>
      <c r="AR2895" s="19"/>
      <c r="AS2895" s="20" t="str">
        <f aca="false">HYPERLINK("http://www.openstreetmap.org/?mlat=32.0273&amp;mlon=44.8728&amp;zoom=12#map=12/32.0273/44.8728","Maplink1")</f>
        <v>Maplink1</v>
      </c>
      <c r="AT2895" s="20" t="str">
        <f aca="false">HYPERLINK("https://www.google.iq/maps/search/+32.0273,44.8728/@32.0273,44.8728,14z?hl=en","Maplink2")</f>
        <v>Maplink2</v>
      </c>
      <c r="AU2895" s="20" t="str">
        <f aca="false">HYPERLINK("http://www.bing.com/maps/?lvl=14&amp;sty=h&amp;cp=32.0273~44.8728&amp;sp=point.32.0273_44.8728","Maplink3")</f>
        <v>Maplink3</v>
      </c>
    </row>
    <row r="2896" customFormat="false" ht="15" hidden="false" customHeight="true" outlineLevel="0" collapsed="false">
      <c r="A2896" s="15" t="n">
        <v>3248</v>
      </c>
      <c r="B2896" s="16" t="s">
        <v>28</v>
      </c>
      <c r="C2896" s="16" t="s">
        <v>5539</v>
      </c>
      <c r="D2896" s="16" t="s">
        <v>5554</v>
      </c>
      <c r="E2896" s="17" t="s">
        <v>5555</v>
      </c>
      <c r="F2896" s="16" t="n">
        <v>32.16042395</v>
      </c>
      <c r="G2896" s="16" t="n">
        <v>44.89303418</v>
      </c>
      <c r="H2896" s="18" t="n">
        <v>10</v>
      </c>
      <c r="I2896" s="18" t="n">
        <v>60</v>
      </c>
      <c r="J2896" s="19" t="n">
        <v>1</v>
      </c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 t="n">
        <v>9</v>
      </c>
      <c r="W2896" s="19"/>
      <c r="X2896" s="19"/>
      <c r="Y2896" s="19"/>
      <c r="Z2896" s="19"/>
      <c r="AA2896" s="19"/>
      <c r="AB2896" s="19"/>
      <c r="AC2896" s="19" t="n">
        <v>1</v>
      </c>
      <c r="AD2896" s="19"/>
      <c r="AE2896" s="19"/>
      <c r="AF2896" s="19"/>
      <c r="AG2896" s="19" t="n">
        <v>7</v>
      </c>
      <c r="AH2896" s="19" t="n">
        <v>2</v>
      </c>
      <c r="AI2896" s="19"/>
      <c r="AJ2896" s="19"/>
      <c r="AK2896" s="19"/>
      <c r="AL2896" s="19"/>
      <c r="AM2896" s="19"/>
      <c r="AN2896" s="19" t="n">
        <v>9</v>
      </c>
      <c r="AO2896" s="19" t="n">
        <v>1</v>
      </c>
      <c r="AP2896" s="19"/>
      <c r="AQ2896" s="19"/>
      <c r="AR2896" s="19"/>
      <c r="AS2896" s="20" t="str">
        <f aca="false">HYPERLINK("http://www.openstreetmap.org/?mlat=32.1604&amp;mlon=44.893&amp;zoom=12#map=12/32.1604/44.893","Maplink1")</f>
        <v>Maplink1</v>
      </c>
      <c r="AT2896" s="20" t="str">
        <f aca="false">HYPERLINK("https://www.google.iq/maps/search/+32.1604,44.893/@32.1604,44.893,14z?hl=en","Maplink2")</f>
        <v>Maplink2</v>
      </c>
      <c r="AU2896" s="20" t="str">
        <f aca="false">HYPERLINK("http://www.bing.com/maps/?lvl=14&amp;sty=h&amp;cp=32.1604~44.893&amp;sp=point.32.1604_44.893","Maplink3")</f>
        <v>Maplink3</v>
      </c>
    </row>
    <row r="2897" customFormat="false" ht="15" hidden="false" customHeight="true" outlineLevel="0" collapsed="false">
      <c r="A2897" s="15" t="n">
        <v>3250</v>
      </c>
      <c r="B2897" s="16" t="s">
        <v>28</v>
      </c>
      <c r="C2897" s="16" t="s">
        <v>5539</v>
      </c>
      <c r="D2897" s="16" t="s">
        <v>5556</v>
      </c>
      <c r="E2897" s="17" t="s">
        <v>5557</v>
      </c>
      <c r="F2897" s="16" t="n">
        <v>32.18098543</v>
      </c>
      <c r="G2897" s="16" t="n">
        <v>44.8613919</v>
      </c>
      <c r="H2897" s="18" t="n">
        <v>9</v>
      </c>
      <c r="I2897" s="18" t="n">
        <v>54</v>
      </c>
      <c r="J2897" s="19" t="n">
        <v>2</v>
      </c>
      <c r="K2897" s="19"/>
      <c r="L2897" s="19"/>
      <c r="M2897" s="19"/>
      <c r="N2897" s="19"/>
      <c r="O2897" s="19"/>
      <c r="P2897" s="19"/>
      <c r="Q2897" s="19"/>
      <c r="R2897" s="19" t="n">
        <v>1</v>
      </c>
      <c r="S2897" s="19"/>
      <c r="T2897" s="19"/>
      <c r="U2897" s="19"/>
      <c r="V2897" s="19" t="n">
        <v>6</v>
      </c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9" t="n">
        <v>6</v>
      </c>
      <c r="AH2897" s="19" t="n">
        <v>3</v>
      </c>
      <c r="AI2897" s="19"/>
      <c r="AJ2897" s="19"/>
      <c r="AK2897" s="19"/>
      <c r="AL2897" s="19"/>
      <c r="AM2897" s="19" t="n">
        <v>1</v>
      </c>
      <c r="AN2897" s="19" t="n">
        <v>6</v>
      </c>
      <c r="AO2897" s="19" t="n">
        <v>2</v>
      </c>
      <c r="AP2897" s="19"/>
      <c r="AQ2897" s="19"/>
      <c r="AR2897" s="19"/>
      <c r="AS2897" s="20" t="str">
        <f aca="false">HYPERLINK("http://www.openstreetmap.org/?mlat=32.181&amp;mlon=44.8614&amp;zoom=12#map=12/32.181/44.8614","Maplink1")</f>
        <v>Maplink1</v>
      </c>
      <c r="AT2897" s="20" t="str">
        <f aca="false">HYPERLINK("https://www.google.iq/maps/search/+32.181,44.8614/@32.181,44.8614,14z?hl=en","Maplink2")</f>
        <v>Maplink2</v>
      </c>
      <c r="AU2897" s="20" t="str">
        <f aca="false">HYPERLINK("http://www.bing.com/maps/?lvl=14&amp;sty=h&amp;cp=32.181~44.8614&amp;sp=point.32.181_44.8614","Maplink3")</f>
        <v>Maplink3</v>
      </c>
    </row>
    <row r="2898" customFormat="false" ht="15" hidden="false" customHeight="true" outlineLevel="0" collapsed="false">
      <c r="A2898" s="15" t="n">
        <v>25515</v>
      </c>
      <c r="B2898" s="16" t="s">
        <v>28</v>
      </c>
      <c r="C2898" s="16" t="s">
        <v>5539</v>
      </c>
      <c r="D2898" s="16" t="s">
        <v>5558</v>
      </c>
      <c r="E2898" s="17" t="s">
        <v>5559</v>
      </c>
      <c r="F2898" s="16" t="n">
        <v>32.19767405</v>
      </c>
      <c r="G2898" s="16" t="n">
        <v>44.84809753</v>
      </c>
      <c r="H2898" s="18" t="n">
        <v>10</v>
      </c>
      <c r="I2898" s="18" t="n">
        <v>60</v>
      </c>
      <c r="J2898" s="19"/>
      <c r="K2898" s="19"/>
      <c r="L2898" s="19"/>
      <c r="M2898" s="19"/>
      <c r="N2898" s="19"/>
      <c r="O2898" s="19"/>
      <c r="P2898" s="19"/>
      <c r="Q2898" s="19"/>
      <c r="R2898" s="19" t="n">
        <v>3</v>
      </c>
      <c r="S2898" s="19"/>
      <c r="T2898" s="19"/>
      <c r="U2898" s="19"/>
      <c r="V2898" s="19" t="n">
        <v>7</v>
      </c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9" t="n">
        <v>7</v>
      </c>
      <c r="AH2898" s="19" t="n">
        <v>3</v>
      </c>
      <c r="AI2898" s="19"/>
      <c r="AJ2898" s="19"/>
      <c r="AK2898" s="19"/>
      <c r="AL2898" s="19"/>
      <c r="AM2898" s="19" t="n">
        <v>3</v>
      </c>
      <c r="AN2898" s="19" t="n">
        <v>7</v>
      </c>
      <c r="AO2898" s="19"/>
      <c r="AP2898" s="19"/>
      <c r="AQ2898" s="19"/>
      <c r="AR2898" s="19"/>
      <c r="AS2898" s="20" t="str">
        <f aca="false">HYPERLINK("http://www.openstreetmap.org/?mlat=32.1977&amp;mlon=44.8481&amp;zoom=12#map=12/32.1977/44.8481","Maplink1")</f>
        <v>Maplink1</v>
      </c>
      <c r="AT2898" s="20" t="str">
        <f aca="false">HYPERLINK("https://www.google.iq/maps/search/+32.1977,44.8481/@32.1977,44.8481,14z?hl=en","Maplink2")</f>
        <v>Maplink2</v>
      </c>
      <c r="AU2898" s="20" t="str">
        <f aca="false">HYPERLINK("http://www.bing.com/maps/?lvl=14&amp;sty=h&amp;cp=32.1977~44.8481&amp;sp=point.32.1977_44.8481","Maplink3")</f>
        <v>Maplink3</v>
      </c>
    </row>
    <row r="2899" customFormat="false" ht="15" hidden="false" customHeight="true" outlineLevel="0" collapsed="false">
      <c r="A2899" s="15" t="n">
        <v>2892</v>
      </c>
      <c r="B2899" s="16" t="s">
        <v>28</v>
      </c>
      <c r="C2899" s="16" t="s">
        <v>5539</v>
      </c>
      <c r="D2899" s="16" t="s">
        <v>5560</v>
      </c>
      <c r="E2899" s="17" t="s">
        <v>5561</v>
      </c>
      <c r="F2899" s="16" t="n">
        <v>32.16582906</v>
      </c>
      <c r="G2899" s="16" t="n">
        <v>44.92249967</v>
      </c>
      <c r="H2899" s="18" t="n">
        <v>7</v>
      </c>
      <c r="I2899" s="18" t="n">
        <v>42</v>
      </c>
      <c r="J2899" s="19"/>
      <c r="K2899" s="19"/>
      <c r="L2899" s="19"/>
      <c r="M2899" s="19"/>
      <c r="N2899" s="19"/>
      <c r="O2899" s="19"/>
      <c r="P2899" s="19"/>
      <c r="Q2899" s="19"/>
      <c r="R2899" s="19" t="n">
        <v>2</v>
      </c>
      <c r="S2899" s="19"/>
      <c r="T2899" s="19"/>
      <c r="U2899" s="19"/>
      <c r="V2899" s="19" t="n">
        <v>5</v>
      </c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9"/>
      <c r="AH2899" s="19" t="n">
        <v>4</v>
      </c>
      <c r="AI2899" s="19" t="n">
        <v>3</v>
      </c>
      <c r="AJ2899" s="19"/>
      <c r="AK2899" s="19"/>
      <c r="AL2899" s="19"/>
      <c r="AM2899" s="19" t="n">
        <v>5</v>
      </c>
      <c r="AN2899" s="19" t="n">
        <v>2</v>
      </c>
      <c r="AO2899" s="19"/>
      <c r="AP2899" s="19"/>
      <c r="AQ2899" s="19"/>
      <c r="AR2899" s="19"/>
      <c r="AS2899" s="20" t="str">
        <f aca="false">HYPERLINK("http://www.openstreetmap.org/?mlat=32.1658&amp;mlon=44.9225&amp;zoom=12#map=12/32.1658/44.9225","Maplink1")</f>
        <v>Maplink1</v>
      </c>
      <c r="AT2899" s="20" t="str">
        <f aca="false">HYPERLINK("https://www.google.iq/maps/search/+32.1658,44.9225/@32.1658,44.9225,14z?hl=en","Maplink2")</f>
        <v>Maplink2</v>
      </c>
      <c r="AU2899" s="20" t="str">
        <f aca="false">HYPERLINK("http://www.bing.com/maps/?lvl=14&amp;sty=h&amp;cp=32.1658~44.9225&amp;sp=point.32.1658_44.9225","Maplink3")</f>
        <v>Maplink3</v>
      </c>
    </row>
    <row r="2900" customFormat="false" ht="15" hidden="false" customHeight="true" outlineLevel="0" collapsed="false">
      <c r="A2900" s="15" t="n">
        <v>25071</v>
      </c>
      <c r="B2900" s="16" t="s">
        <v>28</v>
      </c>
      <c r="C2900" s="16" t="s">
        <v>5539</v>
      </c>
      <c r="D2900" s="16" t="s">
        <v>5562</v>
      </c>
      <c r="E2900" s="17" t="s">
        <v>5563</v>
      </c>
      <c r="F2900" s="16" t="n">
        <v>32.02865037</v>
      </c>
      <c r="G2900" s="16" t="n">
        <v>44.79539355</v>
      </c>
      <c r="H2900" s="18" t="n">
        <v>22</v>
      </c>
      <c r="I2900" s="18" t="n">
        <v>132</v>
      </c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 t="n">
        <v>22</v>
      </c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9" t="n">
        <v>20</v>
      </c>
      <c r="AH2900" s="19" t="n">
        <v>2</v>
      </c>
      <c r="AI2900" s="19"/>
      <c r="AJ2900" s="19"/>
      <c r="AK2900" s="19"/>
      <c r="AL2900" s="19"/>
      <c r="AM2900" s="19" t="n">
        <v>4</v>
      </c>
      <c r="AN2900" s="19" t="n">
        <v>18</v>
      </c>
      <c r="AO2900" s="19"/>
      <c r="AP2900" s="19"/>
      <c r="AQ2900" s="19"/>
      <c r="AR2900" s="19"/>
      <c r="AS2900" s="20" t="str">
        <f aca="false">HYPERLINK("http://www.openstreetmap.org/?mlat=32.0287&amp;mlon=44.7954&amp;zoom=12#map=12/32.0287/44.7954","Maplink1")</f>
        <v>Maplink1</v>
      </c>
      <c r="AT2900" s="20" t="str">
        <f aca="false">HYPERLINK("https://www.google.iq/maps/search/+32.0287,44.7954/@32.0287,44.7954,14z?hl=en","Maplink2")</f>
        <v>Maplink2</v>
      </c>
      <c r="AU2900" s="20" t="str">
        <f aca="false">HYPERLINK("http://www.bing.com/maps/?lvl=14&amp;sty=h&amp;cp=32.0287~44.7954&amp;sp=point.32.0287_44.7954","Maplink3")</f>
        <v>Maplink3</v>
      </c>
    </row>
    <row r="2901" customFormat="false" ht="15" hidden="false" customHeight="true" outlineLevel="0" collapsed="false">
      <c r="A2901" s="15" t="n">
        <v>3381</v>
      </c>
      <c r="B2901" s="16" t="s">
        <v>28</v>
      </c>
      <c r="C2901" s="16" t="s">
        <v>5539</v>
      </c>
      <c r="D2901" s="16" t="s">
        <v>5564</v>
      </c>
      <c r="E2901" s="17" t="s">
        <v>308</v>
      </c>
      <c r="F2901" s="16" t="n">
        <v>31.97714446</v>
      </c>
      <c r="G2901" s="16" t="n">
        <v>44.94807461</v>
      </c>
      <c r="H2901" s="18" t="n">
        <v>9</v>
      </c>
      <c r="I2901" s="18" t="n">
        <v>54</v>
      </c>
      <c r="J2901" s="19" t="n">
        <v>5</v>
      </c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 t="n">
        <v>4</v>
      </c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9"/>
      <c r="AH2901" s="19" t="n">
        <v>9</v>
      </c>
      <c r="AI2901" s="19"/>
      <c r="AJ2901" s="19"/>
      <c r="AK2901" s="19"/>
      <c r="AL2901" s="19"/>
      <c r="AM2901" s="19"/>
      <c r="AN2901" s="19" t="n">
        <v>4</v>
      </c>
      <c r="AO2901" s="19" t="n">
        <v>5</v>
      </c>
      <c r="AP2901" s="19"/>
      <c r="AQ2901" s="19"/>
      <c r="AR2901" s="19"/>
      <c r="AS2901" s="20" t="str">
        <f aca="false">HYPERLINK("http://www.openstreetmap.org/?mlat=31.9771&amp;mlon=44.9481&amp;zoom=12#map=12/31.9771/44.9481","Maplink1")</f>
        <v>Maplink1</v>
      </c>
      <c r="AT2901" s="20" t="str">
        <f aca="false">HYPERLINK("https://www.google.iq/maps/search/+31.9771,44.9481/@31.9771,44.9481,14z?hl=en","Maplink2")</f>
        <v>Maplink2</v>
      </c>
      <c r="AU2901" s="20" t="str">
        <f aca="false">HYPERLINK("http://www.bing.com/maps/?lvl=14&amp;sty=h&amp;cp=31.9771~44.9481&amp;sp=point.31.9771_44.9481","Maplink3")</f>
        <v>Maplink3</v>
      </c>
    </row>
    <row r="2902" customFormat="false" ht="15" hidden="false" customHeight="true" outlineLevel="0" collapsed="false">
      <c r="A2902" s="15" t="n">
        <v>25288</v>
      </c>
      <c r="B2902" s="16" t="s">
        <v>28</v>
      </c>
      <c r="C2902" s="16" t="s">
        <v>5539</v>
      </c>
      <c r="D2902" s="16" t="s">
        <v>5565</v>
      </c>
      <c r="E2902" s="17" t="s">
        <v>5566</v>
      </c>
      <c r="F2902" s="16" t="n">
        <v>32.02273426</v>
      </c>
      <c r="G2902" s="16" t="n">
        <v>44.89665968</v>
      </c>
      <c r="H2902" s="18" t="n">
        <v>17</v>
      </c>
      <c r="I2902" s="18" t="n">
        <v>102</v>
      </c>
      <c r="J2902" s="19" t="n">
        <v>3</v>
      </c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 t="n">
        <v>14</v>
      </c>
      <c r="W2902" s="19"/>
      <c r="X2902" s="19"/>
      <c r="Y2902" s="19"/>
      <c r="Z2902" s="19"/>
      <c r="AA2902" s="19"/>
      <c r="AB2902" s="19"/>
      <c r="AC2902" s="19" t="n">
        <v>9</v>
      </c>
      <c r="AD2902" s="19"/>
      <c r="AE2902" s="19"/>
      <c r="AF2902" s="19"/>
      <c r="AG2902" s="19"/>
      <c r="AH2902" s="19" t="n">
        <v>8</v>
      </c>
      <c r="AI2902" s="19"/>
      <c r="AJ2902" s="19"/>
      <c r="AK2902" s="19"/>
      <c r="AL2902" s="19"/>
      <c r="AM2902" s="19" t="n">
        <v>10</v>
      </c>
      <c r="AN2902" s="19" t="n">
        <v>4</v>
      </c>
      <c r="AO2902" s="19" t="n">
        <v>1</v>
      </c>
      <c r="AP2902" s="19" t="n">
        <v>2</v>
      </c>
      <c r="AQ2902" s="19"/>
      <c r="AR2902" s="19"/>
      <c r="AS2902" s="20" t="str">
        <f aca="false">HYPERLINK("http://www.openstreetmap.org/?mlat=32.0227&amp;mlon=44.8967&amp;zoom=12#map=12/32.0227/44.8967","Maplink1")</f>
        <v>Maplink1</v>
      </c>
      <c r="AT2902" s="20" t="str">
        <f aca="false">HYPERLINK("https://www.google.iq/maps/search/+32.0227,44.8967/@32.0227,44.8967,14z?hl=en","Maplink2")</f>
        <v>Maplink2</v>
      </c>
      <c r="AU2902" s="20" t="str">
        <f aca="false">HYPERLINK("http://www.bing.com/maps/?lvl=14&amp;sty=h&amp;cp=32.0227~44.8967&amp;sp=point.32.0227_44.8967","Maplink3")</f>
        <v>Maplink3</v>
      </c>
    </row>
    <row r="2903" customFormat="false" ht="15" hidden="false" customHeight="true" outlineLevel="0" collapsed="false">
      <c r="A2903" s="15" t="n">
        <v>25957</v>
      </c>
      <c r="B2903" s="16" t="s">
        <v>28</v>
      </c>
      <c r="C2903" s="16" t="s">
        <v>5539</v>
      </c>
      <c r="D2903" s="16" t="s">
        <v>5567</v>
      </c>
      <c r="E2903" s="17" t="s">
        <v>5568</v>
      </c>
      <c r="F2903" s="16" t="n">
        <v>31.98786495</v>
      </c>
      <c r="G2903" s="16" t="n">
        <v>44.90367718</v>
      </c>
      <c r="H2903" s="18" t="n">
        <v>14</v>
      </c>
      <c r="I2903" s="18" t="n">
        <v>84</v>
      </c>
      <c r="J2903" s="19" t="n">
        <v>6</v>
      </c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 t="n">
        <v>8</v>
      </c>
      <c r="W2903" s="19"/>
      <c r="X2903" s="19"/>
      <c r="Y2903" s="19"/>
      <c r="Z2903" s="19"/>
      <c r="AA2903" s="19"/>
      <c r="AB2903" s="19"/>
      <c r="AC2903" s="19" t="n">
        <v>5</v>
      </c>
      <c r="AD2903" s="19"/>
      <c r="AE2903" s="19"/>
      <c r="AF2903" s="19"/>
      <c r="AG2903" s="19"/>
      <c r="AH2903" s="19" t="n">
        <v>9</v>
      </c>
      <c r="AI2903" s="19"/>
      <c r="AJ2903" s="19"/>
      <c r="AK2903" s="19"/>
      <c r="AL2903" s="19"/>
      <c r="AM2903" s="19" t="n">
        <v>5</v>
      </c>
      <c r="AN2903" s="19" t="n">
        <v>3</v>
      </c>
      <c r="AO2903" s="19" t="n">
        <v>2</v>
      </c>
      <c r="AP2903" s="19" t="n">
        <v>4</v>
      </c>
      <c r="AQ2903" s="19"/>
      <c r="AR2903" s="19"/>
      <c r="AS2903" s="20" t="str">
        <f aca="false">HYPERLINK("http://www.openstreetmap.org/?mlat=31.9879&amp;mlon=44.9037&amp;zoom=12#map=12/31.9879/44.9037","Maplink1")</f>
        <v>Maplink1</v>
      </c>
      <c r="AT2903" s="20" t="str">
        <f aca="false">HYPERLINK("https://www.google.iq/maps/search/+31.9879,44.9037/@31.9879,44.9037,14z?hl=en","Maplink2")</f>
        <v>Maplink2</v>
      </c>
      <c r="AU2903" s="20" t="str">
        <f aca="false">HYPERLINK("http://www.bing.com/maps/?lvl=14&amp;sty=h&amp;cp=31.9879~44.9037&amp;sp=point.31.9879_44.9037","Maplink3")</f>
        <v>Maplink3</v>
      </c>
    </row>
    <row r="2904" customFormat="false" ht="15" hidden="false" customHeight="true" outlineLevel="0" collapsed="false">
      <c r="A2904" s="15" t="n">
        <v>2885</v>
      </c>
      <c r="B2904" s="16" t="s">
        <v>28</v>
      </c>
      <c r="C2904" s="16" t="s">
        <v>5539</v>
      </c>
      <c r="D2904" s="16" t="s">
        <v>5569</v>
      </c>
      <c r="E2904" s="17" t="s">
        <v>5570</v>
      </c>
      <c r="F2904" s="16" t="n">
        <v>31.98669471</v>
      </c>
      <c r="G2904" s="16" t="n">
        <v>44.89608678</v>
      </c>
      <c r="H2904" s="18" t="n">
        <v>26</v>
      </c>
      <c r="I2904" s="18" t="n">
        <v>156</v>
      </c>
      <c r="J2904" s="19" t="n">
        <v>3</v>
      </c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 t="n">
        <v>23</v>
      </c>
      <c r="W2904" s="19"/>
      <c r="X2904" s="19"/>
      <c r="Y2904" s="19"/>
      <c r="Z2904" s="19"/>
      <c r="AA2904" s="19"/>
      <c r="AB2904" s="19"/>
      <c r="AC2904" s="19" t="n">
        <v>4</v>
      </c>
      <c r="AD2904" s="19"/>
      <c r="AE2904" s="19"/>
      <c r="AF2904" s="19"/>
      <c r="AG2904" s="19" t="n">
        <v>9</v>
      </c>
      <c r="AH2904" s="19" t="n">
        <v>13</v>
      </c>
      <c r="AI2904" s="19"/>
      <c r="AJ2904" s="19"/>
      <c r="AK2904" s="19"/>
      <c r="AL2904" s="19"/>
      <c r="AM2904" s="19" t="n">
        <v>12</v>
      </c>
      <c r="AN2904" s="19" t="n">
        <v>11</v>
      </c>
      <c r="AO2904" s="19" t="n">
        <v>3</v>
      </c>
      <c r="AP2904" s="19"/>
      <c r="AQ2904" s="19"/>
      <c r="AR2904" s="19"/>
      <c r="AS2904" s="20" t="str">
        <f aca="false">HYPERLINK("http://www.openstreetmap.org/?mlat=31.9867&amp;mlon=44.8961&amp;zoom=12#map=12/31.9867/44.8961","Maplink1")</f>
        <v>Maplink1</v>
      </c>
      <c r="AT2904" s="20" t="str">
        <f aca="false">HYPERLINK("https://www.google.iq/maps/search/+31.9867,44.8961/@31.9867,44.8961,14z?hl=en","Maplink2")</f>
        <v>Maplink2</v>
      </c>
      <c r="AU2904" s="20" t="str">
        <f aca="false">HYPERLINK("http://www.bing.com/maps/?lvl=14&amp;sty=h&amp;cp=31.9867~44.8961&amp;sp=point.31.9867_44.8961","Maplink3")</f>
        <v>Maplink3</v>
      </c>
    </row>
    <row r="2905" customFormat="false" ht="15" hidden="false" customHeight="true" outlineLevel="0" collapsed="false">
      <c r="A2905" s="15" t="n">
        <v>25514</v>
      </c>
      <c r="B2905" s="16" t="s">
        <v>28</v>
      </c>
      <c r="C2905" s="16" t="s">
        <v>5539</v>
      </c>
      <c r="D2905" s="16" t="s">
        <v>5571</v>
      </c>
      <c r="E2905" s="17" t="s">
        <v>5572</v>
      </c>
      <c r="F2905" s="16" t="n">
        <v>32.00969055</v>
      </c>
      <c r="G2905" s="16" t="n">
        <v>44.90640189</v>
      </c>
      <c r="H2905" s="18" t="n">
        <v>12</v>
      </c>
      <c r="I2905" s="18" t="n">
        <v>72</v>
      </c>
      <c r="J2905" s="19" t="n">
        <v>10</v>
      </c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 t="n">
        <v>2</v>
      </c>
      <c r="W2905" s="19"/>
      <c r="X2905" s="19"/>
      <c r="Y2905" s="19"/>
      <c r="Z2905" s="19"/>
      <c r="AA2905" s="19"/>
      <c r="AB2905" s="19"/>
      <c r="AC2905" s="19" t="n">
        <v>6</v>
      </c>
      <c r="AD2905" s="19"/>
      <c r="AE2905" s="19"/>
      <c r="AF2905" s="19"/>
      <c r="AG2905" s="19"/>
      <c r="AH2905" s="19" t="n">
        <v>6</v>
      </c>
      <c r="AI2905" s="19"/>
      <c r="AJ2905" s="19"/>
      <c r="AK2905" s="19"/>
      <c r="AL2905" s="19"/>
      <c r="AM2905" s="19"/>
      <c r="AN2905" s="19" t="n">
        <v>2</v>
      </c>
      <c r="AO2905" s="19" t="n">
        <v>7</v>
      </c>
      <c r="AP2905" s="19" t="n">
        <v>3</v>
      </c>
      <c r="AQ2905" s="19"/>
      <c r="AR2905" s="19"/>
      <c r="AS2905" s="20" t="str">
        <f aca="false">HYPERLINK("http://www.openstreetmap.org/?mlat=32.0097&amp;mlon=44.9064&amp;zoom=12#map=12/32.0097/44.9064","Maplink1")</f>
        <v>Maplink1</v>
      </c>
      <c r="AT2905" s="20" t="str">
        <f aca="false">HYPERLINK("https://www.google.iq/maps/search/+32.0097,44.9064/@32.0097,44.9064,14z?hl=en","Maplink2")</f>
        <v>Maplink2</v>
      </c>
      <c r="AU2905" s="20" t="str">
        <f aca="false">HYPERLINK("http://www.bing.com/maps/?lvl=14&amp;sty=h&amp;cp=32.0097~44.9064&amp;sp=point.32.0097_44.9064","Maplink3")</f>
        <v>Maplink3</v>
      </c>
    </row>
    <row r="2906" customFormat="false" ht="15" hidden="false" customHeight="true" outlineLevel="0" collapsed="false">
      <c r="A2906" s="15" t="n">
        <v>3011</v>
      </c>
      <c r="B2906" s="16" t="s">
        <v>28</v>
      </c>
      <c r="C2906" s="16" t="s">
        <v>5539</v>
      </c>
      <c r="D2906" s="16" t="s">
        <v>5573</v>
      </c>
      <c r="E2906" s="17" t="s">
        <v>5574</v>
      </c>
      <c r="F2906" s="16" t="n">
        <v>32.01843665</v>
      </c>
      <c r="G2906" s="16" t="n">
        <v>44.81992001</v>
      </c>
      <c r="H2906" s="18" t="n">
        <v>20</v>
      </c>
      <c r="I2906" s="18" t="n">
        <v>120</v>
      </c>
      <c r="J2906" s="19" t="n">
        <v>6</v>
      </c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 t="n">
        <v>14</v>
      </c>
      <c r="W2906" s="19"/>
      <c r="X2906" s="19"/>
      <c r="Y2906" s="19"/>
      <c r="Z2906" s="19"/>
      <c r="AA2906" s="19"/>
      <c r="AB2906" s="19"/>
      <c r="AC2906" s="19" t="n">
        <v>4</v>
      </c>
      <c r="AD2906" s="19"/>
      <c r="AE2906" s="19"/>
      <c r="AF2906" s="19"/>
      <c r="AG2906" s="19" t="n">
        <v>16</v>
      </c>
      <c r="AH2906" s="19"/>
      <c r="AI2906" s="19"/>
      <c r="AJ2906" s="19"/>
      <c r="AK2906" s="19"/>
      <c r="AL2906" s="19"/>
      <c r="AM2906" s="19"/>
      <c r="AN2906" s="19" t="n">
        <v>14</v>
      </c>
      <c r="AO2906" s="19"/>
      <c r="AP2906" s="19" t="n">
        <v>6</v>
      </c>
      <c r="AQ2906" s="19"/>
      <c r="AR2906" s="19"/>
      <c r="AS2906" s="20" t="str">
        <f aca="false">HYPERLINK("http://www.openstreetmap.org/?mlat=32.0184&amp;mlon=44.8199&amp;zoom=12#map=12/32.0184/44.8199","Maplink1")</f>
        <v>Maplink1</v>
      </c>
      <c r="AT2906" s="20" t="str">
        <f aca="false">HYPERLINK("https://www.google.iq/maps/search/+32.0184,44.8199/@32.0184,44.8199,14z?hl=en","Maplink2")</f>
        <v>Maplink2</v>
      </c>
      <c r="AU2906" s="20" t="str">
        <f aca="false">HYPERLINK("http://www.bing.com/maps/?lvl=14&amp;sty=h&amp;cp=32.0184~44.8199&amp;sp=point.32.0184_44.8199","Maplink3")</f>
        <v>Maplink3</v>
      </c>
    </row>
    <row r="2907" customFormat="false" ht="15" hidden="false" customHeight="true" outlineLevel="0" collapsed="false">
      <c r="A2907" s="15" t="n">
        <v>25075</v>
      </c>
      <c r="B2907" s="16" t="s">
        <v>28</v>
      </c>
      <c r="C2907" s="16" t="s">
        <v>5539</v>
      </c>
      <c r="D2907" s="16" t="s">
        <v>5575</v>
      </c>
      <c r="E2907" s="17" t="s">
        <v>5576</v>
      </c>
      <c r="F2907" s="16" t="n">
        <v>32.03992449</v>
      </c>
      <c r="G2907" s="16" t="n">
        <v>44.77835692</v>
      </c>
      <c r="H2907" s="18" t="n">
        <v>20</v>
      </c>
      <c r="I2907" s="18" t="n">
        <v>120</v>
      </c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 t="n">
        <v>20</v>
      </c>
      <c r="W2907" s="19"/>
      <c r="X2907" s="19"/>
      <c r="Y2907" s="19"/>
      <c r="Z2907" s="19"/>
      <c r="AA2907" s="19"/>
      <c r="AB2907" s="19"/>
      <c r="AC2907" s="19" t="n">
        <v>4</v>
      </c>
      <c r="AD2907" s="19"/>
      <c r="AE2907" s="19"/>
      <c r="AF2907" s="19"/>
      <c r="AG2907" s="19" t="n">
        <v>16</v>
      </c>
      <c r="AH2907" s="19"/>
      <c r="AI2907" s="19"/>
      <c r="AJ2907" s="19"/>
      <c r="AK2907" s="19"/>
      <c r="AL2907" s="19"/>
      <c r="AM2907" s="19" t="n">
        <v>2</v>
      </c>
      <c r="AN2907" s="19" t="n">
        <v>18</v>
      </c>
      <c r="AO2907" s="19"/>
      <c r="AP2907" s="19"/>
      <c r="AQ2907" s="19"/>
      <c r="AR2907" s="19"/>
      <c r="AS2907" s="20" t="str">
        <f aca="false">HYPERLINK("http://www.openstreetmap.org/?mlat=32.0399&amp;mlon=44.7784&amp;zoom=12#map=12/32.0399/44.7784","Maplink1")</f>
        <v>Maplink1</v>
      </c>
      <c r="AT2907" s="20" t="str">
        <f aca="false">HYPERLINK("https://www.google.iq/maps/search/+32.0399,44.7784/@32.0399,44.7784,14z?hl=en","Maplink2")</f>
        <v>Maplink2</v>
      </c>
      <c r="AU2907" s="20" t="str">
        <f aca="false">HYPERLINK("http://www.bing.com/maps/?lvl=14&amp;sty=h&amp;cp=32.0399~44.7784&amp;sp=point.32.0399_44.7784","Maplink3")</f>
        <v>Maplink3</v>
      </c>
    </row>
    <row r="2908" customFormat="false" ht="15" hidden="false" customHeight="true" outlineLevel="0" collapsed="false">
      <c r="A2908" s="15" t="n">
        <v>25370</v>
      </c>
      <c r="B2908" s="16" t="s">
        <v>28</v>
      </c>
      <c r="C2908" s="16" t="s">
        <v>5539</v>
      </c>
      <c r="D2908" s="16" t="s">
        <v>5577</v>
      </c>
      <c r="E2908" s="17" t="s">
        <v>5578</v>
      </c>
      <c r="F2908" s="16" t="n">
        <v>31.98118244</v>
      </c>
      <c r="G2908" s="16" t="n">
        <v>44.92391537</v>
      </c>
      <c r="H2908" s="18" t="n">
        <v>17</v>
      </c>
      <c r="I2908" s="18" t="n">
        <v>102</v>
      </c>
      <c r="J2908" s="19"/>
      <c r="K2908" s="19"/>
      <c r="L2908" s="19"/>
      <c r="M2908" s="19"/>
      <c r="N2908" s="19"/>
      <c r="O2908" s="19"/>
      <c r="P2908" s="19"/>
      <c r="Q2908" s="19"/>
      <c r="R2908" s="19" t="n">
        <v>11</v>
      </c>
      <c r="S2908" s="19"/>
      <c r="T2908" s="19"/>
      <c r="U2908" s="19"/>
      <c r="V2908" s="19" t="n">
        <v>6</v>
      </c>
      <c r="W2908" s="19"/>
      <c r="X2908" s="19"/>
      <c r="Y2908" s="19"/>
      <c r="Z2908" s="19"/>
      <c r="AA2908" s="19"/>
      <c r="AB2908" s="19"/>
      <c r="AC2908" s="19"/>
      <c r="AD2908" s="19"/>
      <c r="AE2908" s="19" t="n">
        <v>7</v>
      </c>
      <c r="AF2908" s="19"/>
      <c r="AG2908" s="19"/>
      <c r="AH2908" s="19"/>
      <c r="AI2908" s="19"/>
      <c r="AJ2908" s="19" t="n">
        <v>10</v>
      </c>
      <c r="AK2908" s="19"/>
      <c r="AL2908" s="19"/>
      <c r="AM2908" s="19" t="n">
        <v>11</v>
      </c>
      <c r="AN2908" s="19" t="n">
        <v>6</v>
      </c>
      <c r="AO2908" s="19"/>
      <c r="AP2908" s="19"/>
      <c r="AQ2908" s="19"/>
      <c r="AR2908" s="19"/>
      <c r="AS2908" s="20" t="str">
        <f aca="false">HYPERLINK("http://www.openstreetmap.org/?mlat=31.9812&amp;mlon=44.9239&amp;zoom=12#map=12/31.9812/44.9239","Maplink1")</f>
        <v>Maplink1</v>
      </c>
      <c r="AT2908" s="20" t="str">
        <f aca="false">HYPERLINK("https://www.google.iq/maps/search/+31.9812,44.9239/@31.9812,44.9239,14z?hl=en","Maplink2")</f>
        <v>Maplink2</v>
      </c>
      <c r="AU2908" s="20" t="str">
        <f aca="false">HYPERLINK("http://www.bing.com/maps/?lvl=14&amp;sty=h&amp;cp=31.9812~44.9239&amp;sp=point.31.9812_44.9239","Maplink3")</f>
        <v>Maplink3</v>
      </c>
    </row>
    <row r="2909" customFormat="false" ht="15" hidden="false" customHeight="true" outlineLevel="0" collapsed="false">
      <c r="A2909" s="15" t="n">
        <v>3364</v>
      </c>
      <c r="B2909" s="16" t="s">
        <v>28</v>
      </c>
      <c r="C2909" s="16" t="s">
        <v>5539</v>
      </c>
      <c r="D2909" s="16" t="s">
        <v>5579</v>
      </c>
      <c r="E2909" s="17" t="s">
        <v>5580</v>
      </c>
      <c r="F2909" s="16" t="n">
        <v>31.97838753</v>
      </c>
      <c r="G2909" s="16" t="n">
        <v>44.93754795</v>
      </c>
      <c r="H2909" s="18" t="n">
        <v>5</v>
      </c>
      <c r="I2909" s="18" t="n">
        <v>30</v>
      </c>
      <c r="J2909" s="19" t="n">
        <v>3</v>
      </c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 t="n">
        <v>2</v>
      </c>
      <c r="W2909" s="19"/>
      <c r="X2909" s="19"/>
      <c r="Y2909" s="19"/>
      <c r="Z2909" s="19"/>
      <c r="AA2909" s="19"/>
      <c r="AB2909" s="19"/>
      <c r="AC2909" s="19" t="n">
        <v>2</v>
      </c>
      <c r="AD2909" s="19"/>
      <c r="AE2909" s="19"/>
      <c r="AF2909" s="19"/>
      <c r="AG2909" s="19"/>
      <c r="AH2909" s="19" t="n">
        <v>3</v>
      </c>
      <c r="AI2909" s="19"/>
      <c r="AJ2909" s="19"/>
      <c r="AK2909" s="19"/>
      <c r="AL2909" s="19"/>
      <c r="AM2909" s="19" t="n">
        <v>2</v>
      </c>
      <c r="AN2909" s="19" t="n">
        <v>2</v>
      </c>
      <c r="AO2909" s="19" t="n">
        <v>1</v>
      </c>
      <c r="AP2909" s="19"/>
      <c r="AQ2909" s="19"/>
      <c r="AR2909" s="19"/>
      <c r="AS2909" s="20" t="str">
        <f aca="false">HYPERLINK("http://www.openstreetmap.org/?mlat=31.9784&amp;mlon=44.9375&amp;zoom=12#map=12/31.9784/44.9375","Maplink1")</f>
        <v>Maplink1</v>
      </c>
      <c r="AT2909" s="20" t="str">
        <f aca="false">HYPERLINK("https://www.google.iq/maps/search/+31.9784,44.9375/@31.9784,44.9375,14z?hl=en","Maplink2")</f>
        <v>Maplink2</v>
      </c>
      <c r="AU2909" s="20" t="str">
        <f aca="false">HYPERLINK("http://www.bing.com/maps/?lvl=14&amp;sty=h&amp;cp=31.9784~44.9375&amp;sp=point.31.9784_44.9375","Maplink3")</f>
        <v>Maplink3</v>
      </c>
    </row>
    <row r="2910" customFormat="false" ht="15" hidden="false" customHeight="true" outlineLevel="0" collapsed="false">
      <c r="A2910" s="15" t="n">
        <v>25069</v>
      </c>
      <c r="B2910" s="16" t="s">
        <v>28</v>
      </c>
      <c r="C2910" s="16" t="s">
        <v>5539</v>
      </c>
      <c r="D2910" s="16" t="s">
        <v>5581</v>
      </c>
      <c r="E2910" s="17" t="s">
        <v>5582</v>
      </c>
      <c r="F2910" s="16" t="n">
        <v>31.97602354</v>
      </c>
      <c r="G2910" s="16" t="n">
        <v>44.9349649</v>
      </c>
      <c r="H2910" s="18" t="n">
        <v>18</v>
      </c>
      <c r="I2910" s="18" t="n">
        <v>108</v>
      </c>
      <c r="J2910" s="19" t="n">
        <v>5</v>
      </c>
      <c r="K2910" s="19"/>
      <c r="L2910" s="19" t="n">
        <v>1</v>
      </c>
      <c r="M2910" s="19"/>
      <c r="N2910" s="19"/>
      <c r="O2910" s="19"/>
      <c r="P2910" s="19"/>
      <c r="Q2910" s="19"/>
      <c r="R2910" s="19" t="n">
        <v>4</v>
      </c>
      <c r="S2910" s="19"/>
      <c r="T2910" s="19"/>
      <c r="U2910" s="19"/>
      <c r="V2910" s="19" t="n">
        <v>7</v>
      </c>
      <c r="W2910" s="19"/>
      <c r="X2910" s="19" t="n">
        <v>1</v>
      </c>
      <c r="Y2910" s="19"/>
      <c r="Z2910" s="19"/>
      <c r="AA2910" s="19"/>
      <c r="AB2910" s="19"/>
      <c r="AC2910" s="19" t="n">
        <v>5</v>
      </c>
      <c r="AD2910" s="19"/>
      <c r="AE2910" s="19"/>
      <c r="AF2910" s="19"/>
      <c r="AG2910" s="19" t="n">
        <v>3</v>
      </c>
      <c r="AH2910" s="19" t="n">
        <v>10</v>
      </c>
      <c r="AI2910" s="19"/>
      <c r="AJ2910" s="19"/>
      <c r="AK2910" s="19"/>
      <c r="AL2910" s="19"/>
      <c r="AM2910" s="19" t="n">
        <v>7</v>
      </c>
      <c r="AN2910" s="19" t="n">
        <v>6</v>
      </c>
      <c r="AO2910" s="19" t="n">
        <v>5</v>
      </c>
      <c r="AP2910" s="19"/>
      <c r="AQ2910" s="19"/>
      <c r="AR2910" s="19"/>
      <c r="AS2910" s="20" t="str">
        <f aca="false">HYPERLINK("http://www.openstreetmap.org/?mlat=31.976&amp;mlon=44.935&amp;zoom=12#map=12/31.976/44.935","Maplink1")</f>
        <v>Maplink1</v>
      </c>
      <c r="AT2910" s="20" t="str">
        <f aca="false">HYPERLINK("https://www.google.iq/maps/search/+31.976,44.935/@31.976,44.935,14z?hl=en","Maplink2")</f>
        <v>Maplink2</v>
      </c>
      <c r="AU2910" s="20" t="str">
        <f aca="false">HYPERLINK("http://www.bing.com/maps/?lvl=14&amp;sty=h&amp;cp=31.976~44.935&amp;sp=point.31.976_44.935","Maplink3")</f>
        <v>Maplink3</v>
      </c>
    </row>
    <row r="2911" customFormat="false" ht="15" hidden="false" customHeight="true" outlineLevel="0" collapsed="false">
      <c r="A2911" s="15" t="n">
        <v>25509</v>
      </c>
      <c r="B2911" s="16" t="s">
        <v>28</v>
      </c>
      <c r="C2911" s="16" t="s">
        <v>5539</v>
      </c>
      <c r="D2911" s="16" t="s">
        <v>5583</v>
      </c>
      <c r="E2911" s="17" t="s">
        <v>5584</v>
      </c>
      <c r="F2911" s="16" t="n">
        <v>31.97935</v>
      </c>
      <c r="G2911" s="16" t="n">
        <v>44.949442</v>
      </c>
      <c r="H2911" s="18" t="n">
        <v>12</v>
      </c>
      <c r="I2911" s="18" t="n">
        <v>72</v>
      </c>
      <c r="J2911" s="19" t="n">
        <v>5</v>
      </c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 t="n">
        <v>7</v>
      </c>
      <c r="W2911" s="19"/>
      <c r="X2911" s="19"/>
      <c r="Y2911" s="19"/>
      <c r="Z2911" s="19"/>
      <c r="AA2911" s="19"/>
      <c r="AB2911" s="19"/>
      <c r="AC2911" s="19"/>
      <c r="AD2911" s="19"/>
      <c r="AE2911" s="19"/>
      <c r="AF2911" s="19"/>
      <c r="AG2911" s="19"/>
      <c r="AH2911" s="19" t="n">
        <v>12</v>
      </c>
      <c r="AI2911" s="19"/>
      <c r="AJ2911" s="19"/>
      <c r="AK2911" s="19"/>
      <c r="AL2911" s="19"/>
      <c r="AM2911" s="19"/>
      <c r="AN2911" s="19" t="n">
        <v>7</v>
      </c>
      <c r="AO2911" s="19"/>
      <c r="AP2911" s="19" t="n">
        <v>5</v>
      </c>
      <c r="AQ2911" s="19"/>
      <c r="AR2911" s="19"/>
      <c r="AS2911" s="20" t="str">
        <f aca="false">HYPERLINK("http://www.openstreetmap.org/?mlat=31.9794&amp;mlon=44.9494&amp;zoom=12#map=12/31.9794/44.9494","Maplink1")</f>
        <v>Maplink1</v>
      </c>
      <c r="AT2911" s="20" t="str">
        <f aca="false">HYPERLINK("https://www.google.iq/maps/search/+31.9794,44.9494/@31.9794,44.9494,14z?hl=en","Maplink2")</f>
        <v>Maplink2</v>
      </c>
      <c r="AU2911" s="20" t="str">
        <f aca="false">HYPERLINK("http://www.bing.com/maps/?lvl=14&amp;sty=h&amp;cp=31.9794~44.9494&amp;sp=point.31.9794_44.9494","Maplink3")</f>
        <v>Maplink3</v>
      </c>
    </row>
    <row r="2912" customFormat="false" ht="15" hidden="false" customHeight="true" outlineLevel="0" collapsed="false">
      <c r="A2912" s="15" t="n">
        <v>24381</v>
      </c>
      <c r="B2912" s="16" t="s">
        <v>28</v>
      </c>
      <c r="C2912" s="16" t="s">
        <v>5539</v>
      </c>
      <c r="D2912" s="16" t="s">
        <v>5585</v>
      </c>
      <c r="E2912" s="17" t="s">
        <v>5586</v>
      </c>
      <c r="F2912" s="16" t="n">
        <v>31.96986331</v>
      </c>
      <c r="G2912" s="16" t="n">
        <v>44.8971408</v>
      </c>
      <c r="H2912" s="18" t="n">
        <v>55</v>
      </c>
      <c r="I2912" s="18" t="n">
        <v>330</v>
      </c>
      <c r="J2912" s="19"/>
      <c r="K2912" s="19"/>
      <c r="L2912" s="19"/>
      <c r="M2912" s="19"/>
      <c r="N2912" s="19"/>
      <c r="O2912" s="19"/>
      <c r="P2912" s="19"/>
      <c r="Q2912" s="19"/>
      <c r="R2912" s="19" t="n">
        <v>2</v>
      </c>
      <c r="S2912" s="19"/>
      <c r="T2912" s="19"/>
      <c r="U2912" s="19"/>
      <c r="V2912" s="19" t="n">
        <v>53</v>
      </c>
      <c r="W2912" s="19"/>
      <c r="X2912" s="19"/>
      <c r="Y2912" s="19"/>
      <c r="Z2912" s="19"/>
      <c r="AA2912" s="19"/>
      <c r="AB2912" s="19"/>
      <c r="AC2912" s="19" t="n">
        <v>8</v>
      </c>
      <c r="AD2912" s="19"/>
      <c r="AE2912" s="19"/>
      <c r="AF2912" s="19"/>
      <c r="AG2912" s="19" t="n">
        <v>47</v>
      </c>
      <c r="AH2912" s="19"/>
      <c r="AI2912" s="19"/>
      <c r="AJ2912" s="19"/>
      <c r="AK2912" s="19"/>
      <c r="AL2912" s="19"/>
      <c r="AM2912" s="19" t="n">
        <v>4</v>
      </c>
      <c r="AN2912" s="19" t="n">
        <v>51</v>
      </c>
      <c r="AO2912" s="19"/>
      <c r="AP2912" s="19"/>
      <c r="AQ2912" s="19"/>
      <c r="AR2912" s="19"/>
      <c r="AS2912" s="20" t="str">
        <f aca="false">HYPERLINK("http://www.openstreetmap.org/?mlat=31.9699&amp;mlon=44.8971&amp;zoom=12#map=12/31.9699/44.8971","Maplink1")</f>
        <v>Maplink1</v>
      </c>
      <c r="AT2912" s="20" t="str">
        <f aca="false">HYPERLINK("https://www.google.iq/maps/search/+31.9699,44.8971/@31.9699,44.8971,14z?hl=en","Maplink2")</f>
        <v>Maplink2</v>
      </c>
      <c r="AU2912" s="20" t="str">
        <f aca="false">HYPERLINK("http://www.bing.com/maps/?lvl=14&amp;sty=h&amp;cp=31.9699~44.8971&amp;sp=point.31.9699_44.8971","Maplink3")</f>
        <v>Maplink3</v>
      </c>
    </row>
    <row r="2913" customFormat="false" ht="15" hidden="false" customHeight="true" outlineLevel="0" collapsed="false">
      <c r="A2913" s="15" t="n">
        <v>25068</v>
      </c>
      <c r="B2913" s="16" t="s">
        <v>28</v>
      </c>
      <c r="C2913" s="16" t="s">
        <v>5539</v>
      </c>
      <c r="D2913" s="16" t="s">
        <v>5587</v>
      </c>
      <c r="E2913" s="17" t="s">
        <v>5588</v>
      </c>
      <c r="F2913" s="16" t="n">
        <v>31.9376465</v>
      </c>
      <c r="G2913" s="16" t="n">
        <v>44.90608723</v>
      </c>
      <c r="H2913" s="18" t="n">
        <v>59</v>
      </c>
      <c r="I2913" s="18" t="n">
        <v>354</v>
      </c>
      <c r="J2913" s="19"/>
      <c r="K2913" s="19"/>
      <c r="L2913" s="19"/>
      <c r="M2913" s="19"/>
      <c r="N2913" s="19"/>
      <c r="O2913" s="19"/>
      <c r="P2913" s="19"/>
      <c r="Q2913" s="19"/>
      <c r="R2913" s="19" t="n">
        <v>1</v>
      </c>
      <c r="S2913" s="19"/>
      <c r="T2913" s="19"/>
      <c r="U2913" s="19"/>
      <c r="V2913" s="19" t="n">
        <v>58</v>
      </c>
      <c r="W2913" s="19"/>
      <c r="X2913" s="19"/>
      <c r="Y2913" s="19"/>
      <c r="Z2913" s="19"/>
      <c r="AA2913" s="19"/>
      <c r="AB2913" s="19"/>
      <c r="AC2913" s="19" t="n">
        <v>13</v>
      </c>
      <c r="AD2913" s="19"/>
      <c r="AE2913" s="19"/>
      <c r="AF2913" s="19"/>
      <c r="AG2913" s="19" t="n">
        <v>46</v>
      </c>
      <c r="AH2913" s="19"/>
      <c r="AI2913" s="19"/>
      <c r="AJ2913" s="19"/>
      <c r="AK2913" s="19"/>
      <c r="AL2913" s="19"/>
      <c r="AM2913" s="19" t="n">
        <v>32</v>
      </c>
      <c r="AN2913" s="19" t="n">
        <v>27</v>
      </c>
      <c r="AO2913" s="19"/>
      <c r="AP2913" s="19"/>
      <c r="AQ2913" s="19"/>
      <c r="AR2913" s="19"/>
      <c r="AS2913" s="20" t="str">
        <f aca="false">HYPERLINK("http://www.openstreetmap.org/?mlat=31.9376&amp;mlon=44.9061&amp;zoom=12#map=12/31.9376/44.9061","Maplink1")</f>
        <v>Maplink1</v>
      </c>
      <c r="AT2913" s="20" t="str">
        <f aca="false">HYPERLINK("https://www.google.iq/maps/search/+31.9376,44.9061/@31.9376,44.9061,14z?hl=en","Maplink2")</f>
        <v>Maplink2</v>
      </c>
      <c r="AU2913" s="20" t="str">
        <f aca="false">HYPERLINK("http://www.bing.com/maps/?lvl=14&amp;sty=h&amp;cp=31.9376~44.9061&amp;sp=point.31.9376_44.9061","Maplink3")</f>
        <v>Maplink3</v>
      </c>
    </row>
    <row r="2914" customFormat="false" ht="15" hidden="false" customHeight="true" outlineLevel="0" collapsed="false">
      <c r="A2914" s="15" t="n">
        <v>2705</v>
      </c>
      <c r="B2914" s="16" t="s">
        <v>28</v>
      </c>
      <c r="C2914" s="16" t="s">
        <v>5539</v>
      </c>
      <c r="D2914" s="16" t="s">
        <v>5589</v>
      </c>
      <c r="E2914" s="17" t="s">
        <v>5590</v>
      </c>
      <c r="F2914" s="16" t="n">
        <v>31.95512712</v>
      </c>
      <c r="G2914" s="16" t="n">
        <v>44.77169481</v>
      </c>
      <c r="H2914" s="18" t="n">
        <v>29</v>
      </c>
      <c r="I2914" s="18" t="n">
        <v>174</v>
      </c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 t="n">
        <v>29</v>
      </c>
      <c r="W2914" s="19"/>
      <c r="X2914" s="19"/>
      <c r="Y2914" s="19"/>
      <c r="Z2914" s="19"/>
      <c r="AA2914" s="19"/>
      <c r="AB2914" s="19"/>
      <c r="AC2914" s="19" t="n">
        <v>7</v>
      </c>
      <c r="AD2914" s="19"/>
      <c r="AE2914" s="19"/>
      <c r="AF2914" s="19"/>
      <c r="AG2914" s="19" t="n">
        <v>14</v>
      </c>
      <c r="AH2914" s="19"/>
      <c r="AI2914" s="19"/>
      <c r="AJ2914" s="19" t="n">
        <v>8</v>
      </c>
      <c r="AK2914" s="19"/>
      <c r="AL2914" s="19"/>
      <c r="AM2914" s="19" t="n">
        <v>8</v>
      </c>
      <c r="AN2914" s="19" t="n">
        <v>21</v>
      </c>
      <c r="AO2914" s="19"/>
      <c r="AP2914" s="19"/>
      <c r="AQ2914" s="19"/>
      <c r="AR2914" s="19"/>
      <c r="AS2914" s="20" t="str">
        <f aca="false">HYPERLINK("http://www.openstreetmap.org/?mlat=31.9551&amp;mlon=44.7717&amp;zoom=12#map=12/31.9551/44.7717","Maplink1")</f>
        <v>Maplink1</v>
      </c>
      <c r="AT2914" s="20" t="str">
        <f aca="false">HYPERLINK("https://www.google.iq/maps/search/+31.9551,44.7717/@31.9551,44.7717,14z?hl=en","Maplink2")</f>
        <v>Maplink2</v>
      </c>
      <c r="AU2914" s="20" t="str">
        <f aca="false">HYPERLINK("http://www.bing.com/maps/?lvl=14&amp;sty=h&amp;cp=31.9551~44.7717&amp;sp=point.31.9551_44.7717","Maplink3")</f>
        <v>Maplink3</v>
      </c>
    </row>
    <row r="2915" customFormat="false" ht="15" hidden="false" customHeight="true" outlineLevel="0" collapsed="false">
      <c r="A2915" s="15" t="n">
        <v>24756</v>
      </c>
      <c r="B2915" s="16" t="s">
        <v>28</v>
      </c>
      <c r="C2915" s="16" t="s">
        <v>5539</v>
      </c>
      <c r="D2915" s="16" t="s">
        <v>5591</v>
      </c>
      <c r="E2915" s="17" t="s">
        <v>5592</v>
      </c>
      <c r="F2915" s="16" t="n">
        <v>32.00211104</v>
      </c>
      <c r="G2915" s="16" t="n">
        <v>44.99635932</v>
      </c>
      <c r="H2915" s="18" t="n">
        <v>22</v>
      </c>
      <c r="I2915" s="18" t="n">
        <v>132</v>
      </c>
      <c r="J2915" s="19"/>
      <c r="K2915" s="19"/>
      <c r="L2915" s="19"/>
      <c r="M2915" s="19"/>
      <c r="N2915" s="19"/>
      <c r="O2915" s="19"/>
      <c r="P2915" s="19"/>
      <c r="Q2915" s="19"/>
      <c r="R2915" s="19" t="n">
        <v>5</v>
      </c>
      <c r="S2915" s="19"/>
      <c r="T2915" s="19"/>
      <c r="U2915" s="19"/>
      <c r="V2915" s="19" t="n">
        <v>17</v>
      </c>
      <c r="W2915" s="19"/>
      <c r="X2915" s="19"/>
      <c r="Y2915" s="19"/>
      <c r="Z2915" s="19"/>
      <c r="AA2915" s="19"/>
      <c r="AB2915" s="19"/>
      <c r="AC2915" s="19" t="n">
        <v>4</v>
      </c>
      <c r="AD2915" s="19"/>
      <c r="AE2915" s="19"/>
      <c r="AF2915" s="19"/>
      <c r="AG2915" s="19" t="n">
        <v>13</v>
      </c>
      <c r="AH2915" s="19" t="n">
        <v>5</v>
      </c>
      <c r="AI2915" s="19"/>
      <c r="AJ2915" s="19"/>
      <c r="AK2915" s="19"/>
      <c r="AL2915" s="19"/>
      <c r="AM2915" s="19" t="n">
        <v>12</v>
      </c>
      <c r="AN2915" s="19" t="n">
        <v>10</v>
      </c>
      <c r="AO2915" s="19"/>
      <c r="AP2915" s="19"/>
      <c r="AQ2915" s="19"/>
      <c r="AR2915" s="19"/>
      <c r="AS2915" s="20" t="str">
        <f aca="false">HYPERLINK("http://www.openstreetmap.org/?mlat=32.0021&amp;mlon=44.9964&amp;zoom=12#map=12/32.0021/44.9964","Maplink1")</f>
        <v>Maplink1</v>
      </c>
      <c r="AT2915" s="20" t="str">
        <f aca="false">HYPERLINK("https://www.google.iq/maps/search/+32.0021,44.9964/@32.0021,44.9964,14z?hl=en","Maplink2")</f>
        <v>Maplink2</v>
      </c>
      <c r="AU2915" s="20" t="str">
        <f aca="false">HYPERLINK("http://www.bing.com/maps/?lvl=14&amp;sty=h&amp;cp=32.0021~44.9964&amp;sp=point.32.0021_44.9964","Maplink3")</f>
        <v>Maplink3</v>
      </c>
    </row>
    <row r="2916" customFormat="false" ht="15" hidden="false" customHeight="true" outlineLevel="0" collapsed="false">
      <c r="A2916" s="15" t="n">
        <v>24436</v>
      </c>
      <c r="B2916" s="16" t="s">
        <v>28</v>
      </c>
      <c r="C2916" s="16" t="s">
        <v>5539</v>
      </c>
      <c r="D2916" s="16" t="s">
        <v>5593</v>
      </c>
      <c r="E2916" s="17" t="s">
        <v>5594</v>
      </c>
      <c r="F2916" s="16" t="n">
        <v>32.04827052</v>
      </c>
      <c r="G2916" s="16" t="n">
        <v>44.77321277</v>
      </c>
      <c r="H2916" s="18" t="n">
        <v>23</v>
      </c>
      <c r="I2916" s="18" t="n">
        <v>138</v>
      </c>
      <c r="J2916" s="19" t="n">
        <v>5</v>
      </c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 t="n">
        <v>18</v>
      </c>
      <c r="W2916" s="19"/>
      <c r="X2916" s="19"/>
      <c r="Y2916" s="19"/>
      <c r="Z2916" s="19"/>
      <c r="AA2916" s="19"/>
      <c r="AB2916" s="19"/>
      <c r="AC2916" s="19" t="n">
        <v>5</v>
      </c>
      <c r="AD2916" s="19"/>
      <c r="AE2916" s="19"/>
      <c r="AF2916" s="19"/>
      <c r="AG2916" s="19" t="n">
        <v>10</v>
      </c>
      <c r="AH2916" s="19" t="n">
        <v>8</v>
      </c>
      <c r="AI2916" s="19"/>
      <c r="AJ2916" s="19"/>
      <c r="AK2916" s="19"/>
      <c r="AL2916" s="19"/>
      <c r="AM2916" s="19"/>
      <c r="AN2916" s="19" t="n">
        <v>17</v>
      </c>
      <c r="AO2916" s="19"/>
      <c r="AP2916" s="19" t="n">
        <v>6</v>
      </c>
      <c r="AQ2916" s="19"/>
      <c r="AR2916" s="19"/>
      <c r="AS2916" s="20" t="str">
        <f aca="false">HYPERLINK("http://www.openstreetmap.org/?mlat=32.0483&amp;mlon=44.7732&amp;zoom=12#map=12/32.0483/44.7732","Maplink1")</f>
        <v>Maplink1</v>
      </c>
      <c r="AT2916" s="20" t="str">
        <f aca="false">HYPERLINK("https://www.google.iq/maps/search/+32.0483,44.7732/@32.0483,44.7732,14z?hl=en","Maplink2")</f>
        <v>Maplink2</v>
      </c>
      <c r="AU2916" s="20" t="str">
        <f aca="false">HYPERLINK("http://www.bing.com/maps/?lvl=14&amp;sty=h&amp;cp=32.0483~44.7732&amp;sp=point.32.0483_44.7732","Maplink3")</f>
        <v>Maplink3</v>
      </c>
    </row>
    <row r="2917" customFormat="false" ht="15" hidden="false" customHeight="true" outlineLevel="0" collapsed="false">
      <c r="A2917" s="15" t="n">
        <v>2621</v>
      </c>
      <c r="B2917" s="16" t="s">
        <v>28</v>
      </c>
      <c r="C2917" s="16" t="s">
        <v>5539</v>
      </c>
      <c r="D2917" s="16" t="s">
        <v>5595</v>
      </c>
      <c r="E2917" s="17" t="s">
        <v>5596</v>
      </c>
      <c r="F2917" s="16" t="n">
        <v>32.02069892</v>
      </c>
      <c r="G2917" s="16" t="n">
        <v>44.85781585</v>
      </c>
      <c r="H2917" s="18" t="n">
        <v>16</v>
      </c>
      <c r="I2917" s="18" t="n">
        <v>96</v>
      </c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 t="n">
        <v>16</v>
      </c>
      <c r="W2917" s="19"/>
      <c r="X2917" s="19"/>
      <c r="Y2917" s="19"/>
      <c r="Z2917" s="19"/>
      <c r="AA2917" s="19"/>
      <c r="AB2917" s="19"/>
      <c r="AC2917" s="19" t="n">
        <v>7</v>
      </c>
      <c r="AD2917" s="19"/>
      <c r="AE2917" s="19"/>
      <c r="AF2917" s="19"/>
      <c r="AG2917" s="19" t="n">
        <v>9</v>
      </c>
      <c r="AH2917" s="19"/>
      <c r="AI2917" s="19"/>
      <c r="AJ2917" s="19"/>
      <c r="AK2917" s="19"/>
      <c r="AL2917" s="19"/>
      <c r="AM2917" s="19" t="n">
        <v>6</v>
      </c>
      <c r="AN2917" s="19" t="n">
        <v>10</v>
      </c>
      <c r="AO2917" s="19"/>
      <c r="AP2917" s="19"/>
      <c r="AQ2917" s="19"/>
      <c r="AR2917" s="19"/>
      <c r="AS2917" s="20" t="str">
        <f aca="false">HYPERLINK("http://www.openstreetmap.org/?mlat=32.0207&amp;mlon=44.8578&amp;zoom=12#map=12/32.0207/44.8578","Maplink1")</f>
        <v>Maplink1</v>
      </c>
      <c r="AT2917" s="20" t="str">
        <f aca="false">HYPERLINK("https://www.google.iq/maps/search/+32.0207,44.8578/@32.0207,44.8578,14z?hl=en","Maplink2")</f>
        <v>Maplink2</v>
      </c>
      <c r="AU2917" s="20" t="str">
        <f aca="false">HYPERLINK("http://www.bing.com/maps/?lvl=14&amp;sty=h&amp;cp=32.0207~44.8578&amp;sp=point.32.0207_44.8578","Maplink3")</f>
        <v>Maplink3</v>
      </c>
    </row>
    <row r="2918" customFormat="false" ht="15" hidden="false" customHeight="true" outlineLevel="0" collapsed="false">
      <c r="A2918" s="15" t="n">
        <v>25072</v>
      </c>
      <c r="B2918" s="16" t="s">
        <v>28</v>
      </c>
      <c r="C2918" s="16" t="s">
        <v>5539</v>
      </c>
      <c r="D2918" s="16" t="s">
        <v>5597</v>
      </c>
      <c r="E2918" s="17" t="s">
        <v>5598</v>
      </c>
      <c r="F2918" s="16" t="n">
        <v>32.0018401</v>
      </c>
      <c r="G2918" s="16" t="n">
        <v>44.99396989</v>
      </c>
      <c r="H2918" s="18" t="n">
        <v>10</v>
      </c>
      <c r="I2918" s="18" t="n">
        <v>60</v>
      </c>
      <c r="J2918" s="19"/>
      <c r="K2918" s="19"/>
      <c r="L2918" s="19"/>
      <c r="M2918" s="19"/>
      <c r="N2918" s="19"/>
      <c r="O2918" s="19" t="n">
        <v>4</v>
      </c>
      <c r="P2918" s="19"/>
      <c r="Q2918" s="19"/>
      <c r="R2918" s="19"/>
      <c r="S2918" s="19"/>
      <c r="T2918" s="19"/>
      <c r="U2918" s="19"/>
      <c r="V2918" s="19" t="n">
        <v>3</v>
      </c>
      <c r="W2918" s="19"/>
      <c r="X2918" s="19" t="n">
        <v>3</v>
      </c>
      <c r="Y2918" s="19"/>
      <c r="Z2918" s="19"/>
      <c r="AA2918" s="19"/>
      <c r="AB2918" s="19"/>
      <c r="AC2918" s="19"/>
      <c r="AD2918" s="19"/>
      <c r="AE2918" s="19"/>
      <c r="AF2918" s="19"/>
      <c r="AG2918" s="19" t="n">
        <v>8</v>
      </c>
      <c r="AH2918" s="19" t="n">
        <v>2</v>
      </c>
      <c r="AI2918" s="19"/>
      <c r="AJ2918" s="19"/>
      <c r="AK2918" s="19"/>
      <c r="AL2918" s="19"/>
      <c r="AM2918" s="19"/>
      <c r="AN2918" s="19" t="n">
        <v>7</v>
      </c>
      <c r="AO2918" s="19" t="n">
        <v>3</v>
      </c>
      <c r="AP2918" s="19"/>
      <c r="AQ2918" s="19"/>
      <c r="AR2918" s="19"/>
      <c r="AS2918" s="20" t="str">
        <f aca="false">HYPERLINK("http://www.openstreetmap.org/?mlat=32.0018&amp;mlon=44.994&amp;zoom=12#map=12/32.0018/44.994","Maplink1")</f>
        <v>Maplink1</v>
      </c>
      <c r="AT2918" s="20" t="str">
        <f aca="false">HYPERLINK("https://www.google.iq/maps/search/+32.0018,44.994/@32.0018,44.994,14z?hl=en","Maplink2")</f>
        <v>Maplink2</v>
      </c>
      <c r="AU2918" s="20" t="str">
        <f aca="false">HYPERLINK("http://www.bing.com/maps/?lvl=14&amp;sty=h&amp;cp=32.0018~44.994&amp;sp=point.32.0018_44.994","Maplink3")</f>
        <v>Maplink3</v>
      </c>
    </row>
    <row r="2919" customFormat="false" ht="15" hidden="false" customHeight="true" outlineLevel="0" collapsed="false">
      <c r="A2919" s="15" t="n">
        <v>2700</v>
      </c>
      <c r="B2919" s="16" t="s">
        <v>28</v>
      </c>
      <c r="C2919" s="16" t="s">
        <v>5539</v>
      </c>
      <c r="D2919" s="16" t="s">
        <v>5599</v>
      </c>
      <c r="E2919" s="17" t="s">
        <v>5600</v>
      </c>
      <c r="F2919" s="16" t="n">
        <v>31.9426116</v>
      </c>
      <c r="G2919" s="16" t="n">
        <v>44.97433126</v>
      </c>
      <c r="H2919" s="18" t="n">
        <v>4</v>
      </c>
      <c r="I2919" s="18" t="n">
        <v>24</v>
      </c>
      <c r="J2919" s="19" t="n">
        <v>2</v>
      </c>
      <c r="K2919" s="19"/>
      <c r="L2919" s="19"/>
      <c r="M2919" s="19"/>
      <c r="N2919" s="19"/>
      <c r="O2919" s="19"/>
      <c r="P2919" s="19"/>
      <c r="Q2919" s="19"/>
      <c r="R2919" s="19" t="n">
        <v>1</v>
      </c>
      <c r="S2919" s="19"/>
      <c r="T2919" s="19"/>
      <c r="U2919" s="19"/>
      <c r="V2919" s="19" t="n">
        <v>1</v>
      </c>
      <c r="W2919" s="19"/>
      <c r="X2919" s="19"/>
      <c r="Y2919" s="19"/>
      <c r="Z2919" s="19"/>
      <c r="AA2919" s="19"/>
      <c r="AB2919" s="19"/>
      <c r="AC2919" s="19" t="n">
        <v>1</v>
      </c>
      <c r="AD2919" s="19"/>
      <c r="AE2919" s="19"/>
      <c r="AF2919" s="19"/>
      <c r="AG2919" s="19"/>
      <c r="AH2919" s="19" t="n">
        <v>3</v>
      </c>
      <c r="AI2919" s="19"/>
      <c r="AJ2919" s="19"/>
      <c r="AK2919" s="19"/>
      <c r="AL2919" s="19"/>
      <c r="AM2919" s="19" t="n">
        <v>1</v>
      </c>
      <c r="AN2919" s="19" t="n">
        <v>1</v>
      </c>
      <c r="AO2919" s="19" t="n">
        <v>2</v>
      </c>
      <c r="AP2919" s="19"/>
      <c r="AQ2919" s="19"/>
      <c r="AR2919" s="19"/>
      <c r="AS2919" s="20" t="str">
        <f aca="false">HYPERLINK("http://www.openstreetmap.org/?mlat=31.9426&amp;mlon=44.9743&amp;zoom=12#map=12/31.9426/44.9743","Maplink1")</f>
        <v>Maplink1</v>
      </c>
      <c r="AT2919" s="20" t="str">
        <f aca="false">HYPERLINK("https://www.google.iq/maps/search/+31.9426,44.9743/@31.9426,44.9743,14z?hl=en","Maplink2")</f>
        <v>Maplink2</v>
      </c>
      <c r="AU2919" s="20" t="str">
        <f aca="false">HYPERLINK("http://www.bing.com/maps/?lvl=14&amp;sty=h&amp;cp=31.9426~44.9743&amp;sp=point.31.9426_44.9743","Maplink3")</f>
        <v>Maplink3</v>
      </c>
    </row>
    <row r="2920" customFormat="false" ht="15" hidden="false" customHeight="true" outlineLevel="0" collapsed="false">
      <c r="A2920" s="15" t="n">
        <v>25513</v>
      </c>
      <c r="B2920" s="16" t="s">
        <v>28</v>
      </c>
      <c r="C2920" s="16" t="s">
        <v>5539</v>
      </c>
      <c r="D2920" s="16" t="s">
        <v>5601</v>
      </c>
      <c r="E2920" s="17" t="s">
        <v>5602</v>
      </c>
      <c r="F2920" s="16" t="n">
        <v>32.011775</v>
      </c>
      <c r="G2920" s="16" t="n">
        <v>44.91097673</v>
      </c>
      <c r="H2920" s="18" t="n">
        <v>31</v>
      </c>
      <c r="I2920" s="18" t="n">
        <v>186</v>
      </c>
      <c r="J2920" s="19" t="n">
        <v>16</v>
      </c>
      <c r="K2920" s="19"/>
      <c r="L2920" s="19"/>
      <c r="M2920" s="19"/>
      <c r="N2920" s="19"/>
      <c r="O2920" s="19"/>
      <c r="P2920" s="19"/>
      <c r="Q2920" s="19"/>
      <c r="R2920" s="19" t="n">
        <v>4</v>
      </c>
      <c r="S2920" s="19"/>
      <c r="T2920" s="19"/>
      <c r="U2920" s="19"/>
      <c r="V2920" s="19" t="n">
        <v>11</v>
      </c>
      <c r="W2920" s="19"/>
      <c r="X2920" s="19"/>
      <c r="Y2920" s="19"/>
      <c r="Z2920" s="19"/>
      <c r="AA2920" s="19"/>
      <c r="AB2920" s="19"/>
      <c r="AC2920" s="19" t="n">
        <v>11</v>
      </c>
      <c r="AD2920" s="19"/>
      <c r="AE2920" s="19"/>
      <c r="AF2920" s="19"/>
      <c r="AG2920" s="19"/>
      <c r="AH2920" s="19" t="n">
        <v>20</v>
      </c>
      <c r="AI2920" s="19"/>
      <c r="AJ2920" s="19"/>
      <c r="AK2920" s="19"/>
      <c r="AL2920" s="19"/>
      <c r="AM2920" s="19" t="n">
        <v>4</v>
      </c>
      <c r="AN2920" s="19" t="n">
        <v>15</v>
      </c>
      <c r="AO2920" s="19" t="n">
        <v>12</v>
      </c>
      <c r="AP2920" s="19"/>
      <c r="AQ2920" s="19"/>
      <c r="AR2920" s="19"/>
      <c r="AS2920" s="20" t="str">
        <f aca="false">HYPERLINK("http://www.openstreetmap.org/?mlat=32.0118&amp;mlon=44.911&amp;zoom=12#map=12/32.0118/44.911","Maplink1")</f>
        <v>Maplink1</v>
      </c>
      <c r="AT2920" s="20" t="str">
        <f aca="false">HYPERLINK("https://www.google.iq/maps/search/+32.0118,44.911/@32.0118,44.911,14z?hl=en","Maplink2")</f>
        <v>Maplink2</v>
      </c>
      <c r="AU2920" s="20" t="str">
        <f aca="false">HYPERLINK("http://www.bing.com/maps/?lvl=14&amp;sty=h&amp;cp=32.0118~44.911&amp;sp=point.32.0118_44.911","Maplink3")</f>
        <v>Maplink3</v>
      </c>
    </row>
    <row r="2921" customFormat="false" ht="15" hidden="false" customHeight="true" outlineLevel="0" collapsed="false">
      <c r="A2921" s="15" t="n">
        <v>23681</v>
      </c>
      <c r="B2921" s="16" t="s">
        <v>28</v>
      </c>
      <c r="C2921" s="16" t="s">
        <v>5539</v>
      </c>
      <c r="D2921" s="16" t="s">
        <v>5603</v>
      </c>
      <c r="E2921" s="17" t="s">
        <v>5604</v>
      </c>
      <c r="F2921" s="16" t="n">
        <v>32.0214701</v>
      </c>
      <c r="G2921" s="16" t="n">
        <v>44.89765177</v>
      </c>
      <c r="H2921" s="18" t="n">
        <v>22</v>
      </c>
      <c r="I2921" s="18" t="n">
        <v>132</v>
      </c>
      <c r="J2921" s="19" t="n">
        <v>8</v>
      </c>
      <c r="K2921" s="19"/>
      <c r="L2921" s="19"/>
      <c r="M2921" s="19"/>
      <c r="N2921" s="19"/>
      <c r="O2921" s="19"/>
      <c r="P2921" s="19"/>
      <c r="Q2921" s="19"/>
      <c r="R2921" s="19" t="n">
        <v>2</v>
      </c>
      <c r="S2921" s="19"/>
      <c r="T2921" s="19"/>
      <c r="U2921" s="19"/>
      <c r="V2921" s="19" t="n">
        <v>12</v>
      </c>
      <c r="W2921" s="19"/>
      <c r="X2921" s="19"/>
      <c r="Y2921" s="19"/>
      <c r="Z2921" s="19"/>
      <c r="AA2921" s="19"/>
      <c r="AB2921" s="19"/>
      <c r="AC2921" s="19" t="n">
        <v>6</v>
      </c>
      <c r="AD2921" s="19"/>
      <c r="AE2921" s="19"/>
      <c r="AF2921" s="19"/>
      <c r="AG2921" s="19"/>
      <c r="AH2921" s="19" t="n">
        <v>16</v>
      </c>
      <c r="AI2921" s="19"/>
      <c r="AJ2921" s="19"/>
      <c r="AK2921" s="19"/>
      <c r="AL2921" s="19"/>
      <c r="AM2921" s="19" t="n">
        <v>11</v>
      </c>
      <c r="AN2921" s="19" t="n">
        <v>6</v>
      </c>
      <c r="AO2921" s="19" t="n">
        <v>5</v>
      </c>
      <c r="AP2921" s="19"/>
      <c r="AQ2921" s="19"/>
      <c r="AR2921" s="19"/>
      <c r="AS2921" s="20" t="str">
        <f aca="false">HYPERLINK("http://www.openstreetmap.org/?mlat=32.0215&amp;mlon=44.8977&amp;zoom=12#map=12/32.0215/44.8977","Maplink1")</f>
        <v>Maplink1</v>
      </c>
      <c r="AT2921" s="20" t="str">
        <f aca="false">HYPERLINK("https://www.google.iq/maps/search/+32.0215,44.8977/@32.0215,44.8977,14z?hl=en","Maplink2")</f>
        <v>Maplink2</v>
      </c>
      <c r="AU2921" s="20" t="str">
        <f aca="false">HYPERLINK("http://www.bing.com/maps/?lvl=14&amp;sty=h&amp;cp=32.0215~44.8977&amp;sp=point.32.0215_44.8977","Maplink3")</f>
        <v>Maplink3</v>
      </c>
    </row>
    <row r="2922" customFormat="false" ht="15" hidden="false" customHeight="true" outlineLevel="0" collapsed="false">
      <c r="A2922" s="15" t="n">
        <v>21817</v>
      </c>
      <c r="B2922" s="16" t="s">
        <v>28</v>
      </c>
      <c r="C2922" s="16" t="s">
        <v>5539</v>
      </c>
      <c r="D2922" s="16" t="s">
        <v>5605</v>
      </c>
      <c r="E2922" s="17" t="s">
        <v>674</v>
      </c>
      <c r="F2922" s="16" t="n">
        <v>31.97186495</v>
      </c>
      <c r="G2922" s="16" t="n">
        <v>44.95451745</v>
      </c>
      <c r="H2922" s="18" t="n">
        <v>9</v>
      </c>
      <c r="I2922" s="18" t="n">
        <v>54</v>
      </c>
      <c r="J2922" s="19"/>
      <c r="K2922" s="19"/>
      <c r="L2922" s="19" t="n">
        <v>2</v>
      </c>
      <c r="M2922" s="19"/>
      <c r="N2922" s="19"/>
      <c r="O2922" s="19"/>
      <c r="P2922" s="19"/>
      <c r="Q2922" s="19"/>
      <c r="R2922" s="19"/>
      <c r="S2922" s="19"/>
      <c r="T2922" s="19"/>
      <c r="U2922" s="19"/>
      <c r="V2922" s="19" t="n">
        <v>7</v>
      </c>
      <c r="W2922" s="19"/>
      <c r="X2922" s="19"/>
      <c r="Y2922" s="19"/>
      <c r="Z2922" s="19"/>
      <c r="AA2922" s="19"/>
      <c r="AB2922" s="19"/>
      <c r="AC2922" s="19" t="n">
        <v>3</v>
      </c>
      <c r="AD2922" s="19"/>
      <c r="AE2922" s="19"/>
      <c r="AF2922" s="19"/>
      <c r="AG2922" s="19"/>
      <c r="AH2922" s="19" t="n">
        <v>6</v>
      </c>
      <c r="AI2922" s="19"/>
      <c r="AJ2922" s="19"/>
      <c r="AK2922" s="19"/>
      <c r="AL2922" s="19"/>
      <c r="AM2922" s="19" t="n">
        <v>2</v>
      </c>
      <c r="AN2922" s="19" t="n">
        <v>7</v>
      </c>
      <c r="AO2922" s="19"/>
      <c r="AP2922" s="19"/>
      <c r="AQ2922" s="19"/>
      <c r="AR2922" s="19"/>
      <c r="AS2922" s="20" t="str">
        <f aca="false">HYPERLINK("http://www.openstreetmap.org/?mlat=31.9719&amp;mlon=44.9545&amp;zoom=12#map=12/31.9719/44.9545","Maplink1")</f>
        <v>Maplink1</v>
      </c>
      <c r="AT2922" s="20" t="str">
        <f aca="false">HYPERLINK("https://www.google.iq/maps/search/+31.9719,44.9545/@31.9719,44.9545,14z?hl=en","Maplink2")</f>
        <v>Maplink2</v>
      </c>
      <c r="AU2922" s="20" t="str">
        <f aca="false">HYPERLINK("http://www.bing.com/maps/?lvl=14&amp;sty=h&amp;cp=31.9719~44.9545&amp;sp=point.31.9719_44.9545","Maplink3")</f>
        <v>Maplink3</v>
      </c>
    </row>
    <row r="2923" customFormat="false" ht="15" hidden="false" customHeight="true" outlineLevel="0" collapsed="false">
      <c r="A2923" s="15" t="n">
        <v>24966</v>
      </c>
      <c r="B2923" s="16" t="s">
        <v>28</v>
      </c>
      <c r="C2923" s="16" t="s">
        <v>5539</v>
      </c>
      <c r="D2923" s="16" t="s">
        <v>295</v>
      </c>
      <c r="E2923" s="17" t="s">
        <v>4296</v>
      </c>
      <c r="F2923" s="16" t="n">
        <v>32.14380791</v>
      </c>
      <c r="G2923" s="16" t="n">
        <v>44.93050539</v>
      </c>
      <c r="H2923" s="18" t="n">
        <v>24</v>
      </c>
      <c r="I2923" s="18" t="n">
        <v>144</v>
      </c>
      <c r="J2923" s="19" t="n">
        <v>12</v>
      </c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 t="n">
        <v>12</v>
      </c>
      <c r="W2923" s="19"/>
      <c r="X2923" s="19"/>
      <c r="Y2923" s="19"/>
      <c r="Z2923" s="19"/>
      <c r="AA2923" s="19"/>
      <c r="AB2923" s="19"/>
      <c r="AC2923" s="19" t="n">
        <v>9</v>
      </c>
      <c r="AD2923" s="19"/>
      <c r="AE2923" s="19"/>
      <c r="AF2923" s="19"/>
      <c r="AG2923" s="19"/>
      <c r="AH2923" s="19" t="n">
        <v>15</v>
      </c>
      <c r="AI2923" s="19"/>
      <c r="AJ2923" s="19"/>
      <c r="AK2923" s="19"/>
      <c r="AL2923" s="19"/>
      <c r="AM2923" s="19" t="n">
        <v>17</v>
      </c>
      <c r="AN2923" s="19"/>
      <c r="AO2923" s="19" t="n">
        <v>7</v>
      </c>
      <c r="AP2923" s="19"/>
      <c r="AQ2923" s="19"/>
      <c r="AR2923" s="19"/>
      <c r="AS2923" s="20" t="str">
        <f aca="false">HYPERLINK("http://www.openstreetmap.org/?mlat=32.1438&amp;mlon=44.9305&amp;zoom=12#map=12/32.1438/44.9305","Maplink1")</f>
        <v>Maplink1</v>
      </c>
      <c r="AT2923" s="20" t="str">
        <f aca="false">HYPERLINK("https://www.google.iq/maps/search/+32.1438,44.9305/@32.1438,44.9305,14z?hl=en","Maplink2")</f>
        <v>Maplink2</v>
      </c>
      <c r="AU2923" s="20" t="str">
        <f aca="false">HYPERLINK("http://www.bing.com/maps/?lvl=14&amp;sty=h&amp;cp=32.1438~44.9305&amp;sp=point.32.1438_44.9305","Maplink3")</f>
        <v>Maplink3</v>
      </c>
    </row>
    <row r="2924" customFormat="false" ht="15" hidden="false" customHeight="true" outlineLevel="0" collapsed="false">
      <c r="A2924" s="15" t="n">
        <v>25790</v>
      </c>
      <c r="B2924" s="16" t="s">
        <v>28</v>
      </c>
      <c r="C2924" s="16" t="s">
        <v>5539</v>
      </c>
      <c r="D2924" s="16" t="s">
        <v>5606</v>
      </c>
      <c r="E2924" s="17" t="s">
        <v>5607</v>
      </c>
      <c r="F2924" s="16" t="n">
        <v>31.99676176</v>
      </c>
      <c r="G2924" s="16" t="n">
        <v>44.87976872</v>
      </c>
      <c r="H2924" s="18" t="n">
        <v>27</v>
      </c>
      <c r="I2924" s="18" t="n">
        <v>162</v>
      </c>
      <c r="J2924" s="19" t="n">
        <v>6</v>
      </c>
      <c r="K2924" s="19"/>
      <c r="L2924" s="19"/>
      <c r="M2924" s="19"/>
      <c r="N2924" s="19"/>
      <c r="O2924" s="19" t="n">
        <v>2</v>
      </c>
      <c r="P2924" s="19"/>
      <c r="Q2924" s="19"/>
      <c r="R2924" s="19" t="n">
        <v>6</v>
      </c>
      <c r="S2924" s="19"/>
      <c r="T2924" s="19"/>
      <c r="U2924" s="19"/>
      <c r="V2924" s="19" t="n">
        <v>13</v>
      </c>
      <c r="W2924" s="19"/>
      <c r="X2924" s="19"/>
      <c r="Y2924" s="19"/>
      <c r="Z2924" s="19"/>
      <c r="AA2924" s="19"/>
      <c r="AB2924" s="19"/>
      <c r="AC2924" s="19" t="n">
        <v>2</v>
      </c>
      <c r="AD2924" s="19"/>
      <c r="AE2924" s="19"/>
      <c r="AF2924" s="19"/>
      <c r="AG2924" s="19"/>
      <c r="AH2924" s="19" t="n">
        <v>25</v>
      </c>
      <c r="AI2924" s="19"/>
      <c r="AJ2924" s="19"/>
      <c r="AK2924" s="19"/>
      <c r="AL2924" s="19"/>
      <c r="AM2924" s="19" t="n">
        <v>8</v>
      </c>
      <c r="AN2924" s="19" t="n">
        <v>13</v>
      </c>
      <c r="AO2924" s="19" t="n">
        <v>6</v>
      </c>
      <c r="AP2924" s="19"/>
      <c r="AQ2924" s="19"/>
      <c r="AR2924" s="19"/>
      <c r="AS2924" s="20" t="str">
        <f aca="false">HYPERLINK("http://www.openstreetmap.org/?mlat=31.9968&amp;mlon=44.8798&amp;zoom=12#map=12/31.9968/44.8798","Maplink1")</f>
        <v>Maplink1</v>
      </c>
      <c r="AT2924" s="20" t="str">
        <f aca="false">HYPERLINK("https://www.google.iq/maps/search/+31.9968,44.8798/@31.9968,44.8798,14z?hl=en","Maplink2")</f>
        <v>Maplink2</v>
      </c>
      <c r="AU2924" s="20" t="str">
        <f aca="false">HYPERLINK("http://www.bing.com/maps/?lvl=14&amp;sty=h&amp;cp=31.9968~44.8798&amp;sp=point.31.9968_44.8798","Maplink3")</f>
        <v>Maplink3</v>
      </c>
    </row>
    <row r="2925" customFormat="false" ht="15" hidden="false" customHeight="true" outlineLevel="0" collapsed="false">
      <c r="A2925" s="15" t="n">
        <v>23551</v>
      </c>
      <c r="B2925" s="16" t="s">
        <v>28</v>
      </c>
      <c r="C2925" s="16" t="s">
        <v>5539</v>
      </c>
      <c r="D2925" s="16" t="s">
        <v>5608</v>
      </c>
      <c r="E2925" s="17" t="s">
        <v>5609</v>
      </c>
      <c r="F2925" s="16" t="n">
        <v>32.00235156</v>
      </c>
      <c r="G2925" s="16" t="n">
        <v>44.87018561</v>
      </c>
      <c r="H2925" s="18" t="n">
        <v>30</v>
      </c>
      <c r="I2925" s="18" t="n">
        <v>180</v>
      </c>
      <c r="J2925" s="19" t="n">
        <v>4</v>
      </c>
      <c r="K2925" s="19"/>
      <c r="L2925" s="19"/>
      <c r="M2925" s="19"/>
      <c r="N2925" s="19"/>
      <c r="O2925" s="19"/>
      <c r="P2925" s="19"/>
      <c r="Q2925" s="19"/>
      <c r="R2925" s="19" t="n">
        <v>9</v>
      </c>
      <c r="S2925" s="19"/>
      <c r="T2925" s="19"/>
      <c r="U2925" s="19"/>
      <c r="V2925" s="19" t="n">
        <v>17</v>
      </c>
      <c r="W2925" s="19"/>
      <c r="X2925" s="19"/>
      <c r="Y2925" s="19"/>
      <c r="Z2925" s="19"/>
      <c r="AA2925" s="19"/>
      <c r="AB2925" s="19"/>
      <c r="AC2925" s="19" t="n">
        <v>9</v>
      </c>
      <c r="AD2925" s="19"/>
      <c r="AE2925" s="19" t="n">
        <v>5</v>
      </c>
      <c r="AF2925" s="19"/>
      <c r="AG2925" s="19"/>
      <c r="AH2925" s="19" t="n">
        <v>16</v>
      </c>
      <c r="AI2925" s="19"/>
      <c r="AJ2925" s="19"/>
      <c r="AK2925" s="19"/>
      <c r="AL2925" s="19"/>
      <c r="AM2925" s="19" t="n">
        <v>23</v>
      </c>
      <c r="AN2925" s="19" t="n">
        <v>3</v>
      </c>
      <c r="AO2925" s="19" t="n">
        <v>4</v>
      </c>
      <c r="AP2925" s="19"/>
      <c r="AQ2925" s="19"/>
      <c r="AR2925" s="19"/>
      <c r="AS2925" s="20" t="str">
        <f aca="false">HYPERLINK("http://www.openstreetmap.org/?mlat=32.0024&amp;mlon=44.8702&amp;zoom=12#map=12/32.0024/44.8702","Maplink1")</f>
        <v>Maplink1</v>
      </c>
      <c r="AT2925" s="20" t="str">
        <f aca="false">HYPERLINK("https://www.google.iq/maps/search/+32.0024,44.8702/@32.0024,44.8702,14z?hl=en","Maplink2")</f>
        <v>Maplink2</v>
      </c>
      <c r="AU2925" s="20" t="str">
        <f aca="false">HYPERLINK("http://www.bing.com/maps/?lvl=14&amp;sty=h&amp;cp=32.0024~44.8702&amp;sp=point.32.0024_44.8702","Maplink3")</f>
        <v>Maplink3</v>
      </c>
    </row>
    <row r="2926" customFormat="false" ht="15" hidden="false" customHeight="true" outlineLevel="0" collapsed="false">
      <c r="A2926" s="15" t="n">
        <v>22815</v>
      </c>
      <c r="B2926" s="16" t="s">
        <v>28</v>
      </c>
      <c r="C2926" s="16" t="s">
        <v>5539</v>
      </c>
      <c r="D2926" s="16" t="s">
        <v>5610</v>
      </c>
      <c r="E2926" s="17" t="s">
        <v>5611</v>
      </c>
      <c r="F2926" s="16" t="n">
        <v>31.992399</v>
      </c>
      <c r="G2926" s="16" t="n">
        <v>44.929238</v>
      </c>
      <c r="H2926" s="18" t="n">
        <v>8</v>
      </c>
      <c r="I2926" s="18" t="n">
        <v>48</v>
      </c>
      <c r="J2926" s="19" t="n">
        <v>2</v>
      </c>
      <c r="K2926" s="19"/>
      <c r="L2926" s="19"/>
      <c r="M2926" s="19"/>
      <c r="N2926" s="19"/>
      <c r="O2926" s="19" t="n">
        <v>2</v>
      </c>
      <c r="P2926" s="19"/>
      <c r="Q2926" s="19"/>
      <c r="R2926" s="19"/>
      <c r="S2926" s="19"/>
      <c r="T2926" s="19"/>
      <c r="U2926" s="19"/>
      <c r="V2926" s="19" t="n">
        <v>4</v>
      </c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9"/>
      <c r="AH2926" s="19" t="n">
        <v>8</v>
      </c>
      <c r="AI2926" s="19"/>
      <c r="AJ2926" s="19"/>
      <c r="AK2926" s="19"/>
      <c r="AL2926" s="19"/>
      <c r="AM2926" s="19"/>
      <c r="AN2926" s="19" t="n">
        <v>6</v>
      </c>
      <c r="AO2926" s="19" t="n">
        <v>2</v>
      </c>
      <c r="AP2926" s="19"/>
      <c r="AQ2926" s="19"/>
      <c r="AR2926" s="19"/>
      <c r="AS2926" s="20" t="str">
        <f aca="false">HYPERLINK("http://www.openstreetmap.org/?mlat=31.9924&amp;mlon=44.9292&amp;zoom=12#map=12/31.9924/44.9292","Maplink1")</f>
        <v>Maplink1</v>
      </c>
      <c r="AT2926" s="20" t="str">
        <f aca="false">HYPERLINK("https://www.google.iq/maps/search/+31.9924,44.9292/@31.9924,44.9292,14z?hl=en","Maplink2")</f>
        <v>Maplink2</v>
      </c>
      <c r="AU2926" s="20" t="str">
        <f aca="false">HYPERLINK("http://www.bing.com/maps/?lvl=14&amp;sty=h&amp;cp=31.9924~44.9292&amp;sp=point.31.9924_44.9292","Maplink3")</f>
        <v>Maplink3</v>
      </c>
    </row>
    <row r="2927" customFormat="false" ht="15" hidden="false" customHeight="true" outlineLevel="0" collapsed="false">
      <c r="A2927" s="15" t="n">
        <v>24739</v>
      </c>
      <c r="B2927" s="16" t="s">
        <v>28</v>
      </c>
      <c r="C2927" s="16" t="s">
        <v>5539</v>
      </c>
      <c r="D2927" s="16" t="s">
        <v>350</v>
      </c>
      <c r="E2927" s="17" t="s">
        <v>241</v>
      </c>
      <c r="F2927" s="16" t="n">
        <v>32.13480558</v>
      </c>
      <c r="G2927" s="16" t="n">
        <v>44.93631489</v>
      </c>
      <c r="H2927" s="18" t="n">
        <v>25</v>
      </c>
      <c r="I2927" s="18" t="n">
        <v>150</v>
      </c>
      <c r="J2927" s="19"/>
      <c r="K2927" s="19"/>
      <c r="L2927" s="19"/>
      <c r="M2927" s="19"/>
      <c r="N2927" s="19"/>
      <c r="O2927" s="19"/>
      <c r="P2927" s="19"/>
      <c r="Q2927" s="19"/>
      <c r="R2927" s="19" t="n">
        <v>1</v>
      </c>
      <c r="S2927" s="19"/>
      <c r="T2927" s="19"/>
      <c r="U2927" s="19"/>
      <c r="V2927" s="19" t="n">
        <v>24</v>
      </c>
      <c r="W2927" s="19"/>
      <c r="X2927" s="19"/>
      <c r="Y2927" s="19"/>
      <c r="Z2927" s="19"/>
      <c r="AA2927" s="19"/>
      <c r="AB2927" s="19"/>
      <c r="AC2927" s="19" t="n">
        <v>3</v>
      </c>
      <c r="AD2927" s="19"/>
      <c r="AE2927" s="19"/>
      <c r="AF2927" s="19"/>
      <c r="AG2927" s="19" t="n">
        <v>12</v>
      </c>
      <c r="AH2927" s="19" t="n">
        <v>10</v>
      </c>
      <c r="AI2927" s="19"/>
      <c r="AJ2927" s="19"/>
      <c r="AK2927" s="19"/>
      <c r="AL2927" s="19"/>
      <c r="AM2927" s="19" t="n">
        <v>4</v>
      </c>
      <c r="AN2927" s="19" t="n">
        <v>21</v>
      </c>
      <c r="AO2927" s="19"/>
      <c r="AP2927" s="19"/>
      <c r="AQ2927" s="19"/>
      <c r="AR2927" s="19"/>
      <c r="AS2927" s="20" t="str">
        <f aca="false">HYPERLINK("http://www.openstreetmap.org/?mlat=32.1348&amp;mlon=44.9363&amp;zoom=12#map=12/32.1348/44.9363","Maplink1")</f>
        <v>Maplink1</v>
      </c>
      <c r="AT2927" s="20" t="str">
        <f aca="false">HYPERLINK("https://www.google.iq/maps/search/+32.1348,44.9363/@32.1348,44.9363,14z?hl=en","Maplink2")</f>
        <v>Maplink2</v>
      </c>
      <c r="AU2927" s="20" t="str">
        <f aca="false">HYPERLINK("http://www.bing.com/maps/?lvl=14&amp;sty=h&amp;cp=32.1348~44.9363&amp;sp=point.32.1348_44.9363","Maplink3")</f>
        <v>Maplink3</v>
      </c>
    </row>
    <row r="2928" customFormat="false" ht="15" hidden="false" customHeight="true" outlineLevel="0" collapsed="false">
      <c r="A2928" s="15" t="n">
        <v>24148</v>
      </c>
      <c r="B2928" s="16" t="s">
        <v>28</v>
      </c>
      <c r="C2928" s="16" t="s">
        <v>5539</v>
      </c>
      <c r="D2928" s="16" t="s">
        <v>5612</v>
      </c>
      <c r="E2928" s="17" t="s">
        <v>5613</v>
      </c>
      <c r="F2928" s="16" t="n">
        <v>31.98822693</v>
      </c>
      <c r="G2928" s="16" t="n">
        <v>44.94753566</v>
      </c>
      <c r="H2928" s="18" t="n">
        <v>30</v>
      </c>
      <c r="I2928" s="18" t="n">
        <v>180</v>
      </c>
      <c r="J2928" s="19" t="n">
        <v>9</v>
      </c>
      <c r="K2928" s="19"/>
      <c r="L2928" s="19"/>
      <c r="M2928" s="19"/>
      <c r="N2928" s="19"/>
      <c r="O2928" s="19"/>
      <c r="P2928" s="19"/>
      <c r="Q2928" s="19"/>
      <c r="R2928" s="19" t="n">
        <v>3</v>
      </c>
      <c r="S2928" s="19"/>
      <c r="T2928" s="19"/>
      <c r="U2928" s="19"/>
      <c r="V2928" s="19" t="n">
        <v>18</v>
      </c>
      <c r="W2928" s="19"/>
      <c r="X2928" s="19"/>
      <c r="Y2928" s="19"/>
      <c r="Z2928" s="19"/>
      <c r="AA2928" s="19"/>
      <c r="AB2928" s="19"/>
      <c r="AC2928" s="19" t="n">
        <v>16</v>
      </c>
      <c r="AD2928" s="19"/>
      <c r="AE2928" s="19"/>
      <c r="AF2928" s="19"/>
      <c r="AG2928" s="19"/>
      <c r="AH2928" s="19" t="n">
        <v>14</v>
      </c>
      <c r="AI2928" s="19"/>
      <c r="AJ2928" s="19"/>
      <c r="AK2928" s="19"/>
      <c r="AL2928" s="19"/>
      <c r="AM2928" s="19" t="n">
        <v>13</v>
      </c>
      <c r="AN2928" s="19" t="n">
        <v>7</v>
      </c>
      <c r="AO2928" s="19" t="n">
        <v>10</v>
      </c>
      <c r="AP2928" s="19"/>
      <c r="AQ2928" s="19"/>
      <c r="AR2928" s="19"/>
      <c r="AS2928" s="20" t="str">
        <f aca="false">HYPERLINK("http://www.openstreetmap.org/?mlat=31.9882&amp;mlon=44.9475&amp;zoom=12#map=12/31.9882/44.9475","Maplink1")</f>
        <v>Maplink1</v>
      </c>
      <c r="AT2928" s="20" t="str">
        <f aca="false">HYPERLINK("https://www.google.iq/maps/search/+31.9882,44.9475/@31.9882,44.9475,14z?hl=en","Maplink2")</f>
        <v>Maplink2</v>
      </c>
      <c r="AU2928" s="20" t="str">
        <f aca="false">HYPERLINK("http://www.bing.com/maps/?lvl=14&amp;sty=h&amp;cp=31.9882~44.9475&amp;sp=point.31.9882_44.9475","Maplink3")</f>
        <v>Maplink3</v>
      </c>
    </row>
    <row r="2929" customFormat="false" ht="15" hidden="false" customHeight="true" outlineLevel="0" collapsed="false">
      <c r="A2929" s="15" t="n">
        <v>23680</v>
      </c>
      <c r="B2929" s="16" t="s">
        <v>28</v>
      </c>
      <c r="C2929" s="16" t="s">
        <v>5539</v>
      </c>
      <c r="D2929" s="16" t="s">
        <v>5614</v>
      </c>
      <c r="E2929" s="17" t="s">
        <v>5615</v>
      </c>
      <c r="F2929" s="16" t="n">
        <v>32.00898894</v>
      </c>
      <c r="G2929" s="16" t="n">
        <v>44.93087864</v>
      </c>
      <c r="H2929" s="18" t="n">
        <v>32</v>
      </c>
      <c r="I2929" s="18" t="n">
        <v>192</v>
      </c>
      <c r="J2929" s="19" t="n">
        <v>10</v>
      </c>
      <c r="K2929" s="19"/>
      <c r="L2929" s="19" t="n">
        <v>10</v>
      </c>
      <c r="M2929" s="19"/>
      <c r="N2929" s="19"/>
      <c r="O2929" s="19" t="n">
        <v>3</v>
      </c>
      <c r="P2929" s="19"/>
      <c r="Q2929" s="19"/>
      <c r="R2929" s="19" t="n">
        <v>5</v>
      </c>
      <c r="S2929" s="19"/>
      <c r="T2929" s="19"/>
      <c r="U2929" s="19"/>
      <c r="V2929" s="19" t="n">
        <v>4</v>
      </c>
      <c r="W2929" s="19"/>
      <c r="X2929" s="19"/>
      <c r="Y2929" s="19"/>
      <c r="Z2929" s="19"/>
      <c r="AA2929" s="19"/>
      <c r="AB2929" s="19"/>
      <c r="AC2929" s="19" t="n">
        <v>3</v>
      </c>
      <c r="AD2929" s="19"/>
      <c r="AE2929" s="19"/>
      <c r="AF2929" s="19"/>
      <c r="AG2929" s="19"/>
      <c r="AH2929" s="19" t="n">
        <v>29</v>
      </c>
      <c r="AI2929" s="19"/>
      <c r="AJ2929" s="19"/>
      <c r="AK2929" s="19"/>
      <c r="AL2929" s="19"/>
      <c r="AM2929" s="19" t="n">
        <v>14</v>
      </c>
      <c r="AN2929" s="19" t="n">
        <v>10</v>
      </c>
      <c r="AO2929" s="19" t="n">
        <v>5</v>
      </c>
      <c r="AP2929" s="19" t="n">
        <v>3</v>
      </c>
      <c r="AQ2929" s="19"/>
      <c r="AR2929" s="19"/>
      <c r="AS2929" s="20" t="str">
        <f aca="false">HYPERLINK("http://www.openstreetmap.org/?mlat=32.009&amp;mlon=44.9309&amp;zoom=12#map=12/32.009/44.9309","Maplink1")</f>
        <v>Maplink1</v>
      </c>
      <c r="AT2929" s="20" t="str">
        <f aca="false">HYPERLINK("https://www.google.iq/maps/search/+32.009,44.9309/@32.009,44.9309,14z?hl=en","Maplink2")</f>
        <v>Maplink2</v>
      </c>
      <c r="AU2929" s="20" t="str">
        <f aca="false">HYPERLINK("http://www.bing.com/maps/?lvl=14&amp;sty=h&amp;cp=32.009~44.9309&amp;sp=point.32.009_44.9309","Maplink3")</f>
        <v>Maplink3</v>
      </c>
    </row>
    <row r="2930" customFormat="false" ht="15" hidden="false" customHeight="true" outlineLevel="0" collapsed="false">
      <c r="A2930" s="15" t="n">
        <v>24903</v>
      </c>
      <c r="B2930" s="16" t="s">
        <v>28</v>
      </c>
      <c r="C2930" s="16" t="s">
        <v>5539</v>
      </c>
      <c r="D2930" s="16" t="s">
        <v>5616</v>
      </c>
      <c r="E2930" s="17" t="s">
        <v>5617</v>
      </c>
      <c r="F2930" s="16" t="n">
        <v>32.00679154</v>
      </c>
      <c r="G2930" s="16" t="n">
        <v>44.94234315</v>
      </c>
      <c r="H2930" s="18" t="n">
        <v>15</v>
      </c>
      <c r="I2930" s="18" t="n">
        <v>90</v>
      </c>
      <c r="J2930" s="19" t="n">
        <v>7</v>
      </c>
      <c r="K2930" s="19"/>
      <c r="L2930" s="19"/>
      <c r="M2930" s="19"/>
      <c r="N2930" s="19"/>
      <c r="O2930" s="19"/>
      <c r="P2930" s="19"/>
      <c r="Q2930" s="19"/>
      <c r="R2930" s="19" t="n">
        <v>6</v>
      </c>
      <c r="S2930" s="19"/>
      <c r="T2930" s="19"/>
      <c r="U2930" s="19"/>
      <c r="V2930" s="19" t="n">
        <v>2</v>
      </c>
      <c r="W2930" s="19"/>
      <c r="X2930" s="19"/>
      <c r="Y2930" s="19"/>
      <c r="Z2930" s="19"/>
      <c r="AA2930" s="19"/>
      <c r="AB2930" s="19"/>
      <c r="AC2930" s="19" t="n">
        <v>2</v>
      </c>
      <c r="AD2930" s="19"/>
      <c r="AE2930" s="19"/>
      <c r="AF2930" s="19"/>
      <c r="AG2930" s="19"/>
      <c r="AH2930" s="19" t="n">
        <v>13</v>
      </c>
      <c r="AI2930" s="19"/>
      <c r="AJ2930" s="19"/>
      <c r="AK2930" s="19"/>
      <c r="AL2930" s="19" t="n">
        <v>1</v>
      </c>
      <c r="AM2930" s="19" t="n">
        <v>6</v>
      </c>
      <c r="AN2930" s="19" t="n">
        <v>2</v>
      </c>
      <c r="AO2930" s="19" t="n">
        <v>1</v>
      </c>
      <c r="AP2930" s="19" t="n">
        <v>5</v>
      </c>
      <c r="AQ2930" s="19"/>
      <c r="AR2930" s="19"/>
      <c r="AS2930" s="20" t="str">
        <f aca="false">HYPERLINK("http://www.openstreetmap.org/?mlat=32.0068&amp;mlon=44.9423&amp;zoom=12#map=12/32.0068/44.9423","Maplink1")</f>
        <v>Maplink1</v>
      </c>
      <c r="AT2930" s="20" t="str">
        <f aca="false">HYPERLINK("https://www.google.iq/maps/search/+32.0068,44.9423/@32.0068,44.9423,14z?hl=en","Maplink2")</f>
        <v>Maplink2</v>
      </c>
      <c r="AU2930" s="20" t="str">
        <f aca="false">HYPERLINK("http://www.bing.com/maps/?lvl=14&amp;sty=h&amp;cp=32.0068~44.9423&amp;sp=point.32.0068_44.9423","Maplink3")</f>
        <v>Maplink3</v>
      </c>
    </row>
    <row r="2931" customFormat="false" ht="15" hidden="false" customHeight="true" outlineLevel="0" collapsed="false">
      <c r="A2931" s="15" t="n">
        <v>24208</v>
      </c>
      <c r="B2931" s="16" t="s">
        <v>28</v>
      </c>
      <c r="C2931" s="16" t="s">
        <v>5539</v>
      </c>
      <c r="D2931" s="16" t="s">
        <v>5618</v>
      </c>
      <c r="E2931" s="17" t="s">
        <v>5619</v>
      </c>
      <c r="F2931" s="16" t="n">
        <v>32.00527995</v>
      </c>
      <c r="G2931" s="16" t="n">
        <v>44.94180411</v>
      </c>
      <c r="H2931" s="18" t="n">
        <v>43</v>
      </c>
      <c r="I2931" s="18" t="n">
        <v>258</v>
      </c>
      <c r="J2931" s="19" t="n">
        <v>23</v>
      </c>
      <c r="K2931" s="19"/>
      <c r="L2931" s="19" t="n">
        <v>3</v>
      </c>
      <c r="M2931" s="19"/>
      <c r="N2931" s="19"/>
      <c r="O2931" s="19"/>
      <c r="P2931" s="19"/>
      <c r="Q2931" s="19"/>
      <c r="R2931" s="19" t="n">
        <v>8</v>
      </c>
      <c r="S2931" s="19"/>
      <c r="T2931" s="19"/>
      <c r="U2931" s="19"/>
      <c r="V2931" s="19" t="n">
        <v>5</v>
      </c>
      <c r="W2931" s="19"/>
      <c r="X2931" s="19" t="n">
        <v>4</v>
      </c>
      <c r="Y2931" s="19"/>
      <c r="Z2931" s="19"/>
      <c r="AA2931" s="19"/>
      <c r="AB2931" s="19"/>
      <c r="AC2931" s="19" t="n">
        <v>5</v>
      </c>
      <c r="AD2931" s="19"/>
      <c r="AE2931" s="19"/>
      <c r="AF2931" s="19"/>
      <c r="AG2931" s="19"/>
      <c r="AH2931" s="19" t="n">
        <v>38</v>
      </c>
      <c r="AI2931" s="19"/>
      <c r="AJ2931" s="19"/>
      <c r="AK2931" s="19"/>
      <c r="AL2931" s="19"/>
      <c r="AM2931" s="19" t="n">
        <v>11</v>
      </c>
      <c r="AN2931" s="19" t="n">
        <v>7</v>
      </c>
      <c r="AO2931" s="19" t="n">
        <v>7</v>
      </c>
      <c r="AP2931" s="19" t="n">
        <v>18</v>
      </c>
      <c r="AQ2931" s="19"/>
      <c r="AR2931" s="19"/>
      <c r="AS2931" s="20" t="str">
        <f aca="false">HYPERLINK("http://www.openstreetmap.org/?mlat=32.0053&amp;mlon=44.9418&amp;zoom=12#map=12/32.0053/44.9418","Maplink1")</f>
        <v>Maplink1</v>
      </c>
      <c r="AT2931" s="20" t="str">
        <f aca="false">HYPERLINK("https://www.google.iq/maps/search/+32.0053,44.9418/@32.0053,44.9418,14z?hl=en","Maplink2")</f>
        <v>Maplink2</v>
      </c>
      <c r="AU2931" s="20" t="str">
        <f aca="false">HYPERLINK("http://www.bing.com/maps/?lvl=14&amp;sty=h&amp;cp=32.0053~44.9418&amp;sp=point.32.0053_44.9418","Maplink3")</f>
        <v>Maplink3</v>
      </c>
    </row>
    <row r="2932" customFormat="false" ht="15" hidden="false" customHeight="true" outlineLevel="0" collapsed="false">
      <c r="A2932" s="15" t="n">
        <v>21554</v>
      </c>
      <c r="B2932" s="16" t="s">
        <v>28</v>
      </c>
      <c r="C2932" s="16" t="s">
        <v>5539</v>
      </c>
      <c r="D2932" s="16" t="s">
        <v>136</v>
      </c>
      <c r="E2932" s="17" t="s">
        <v>327</v>
      </c>
      <c r="F2932" s="16" t="n">
        <v>32.01366902</v>
      </c>
      <c r="G2932" s="16" t="n">
        <v>44.93357702</v>
      </c>
      <c r="H2932" s="18" t="n">
        <v>18</v>
      </c>
      <c r="I2932" s="18" t="n">
        <v>108</v>
      </c>
      <c r="J2932" s="19" t="n">
        <v>6</v>
      </c>
      <c r="K2932" s="19"/>
      <c r="L2932" s="19" t="n">
        <v>2</v>
      </c>
      <c r="M2932" s="19"/>
      <c r="N2932" s="19"/>
      <c r="O2932" s="19" t="n">
        <v>4</v>
      </c>
      <c r="P2932" s="19"/>
      <c r="Q2932" s="19"/>
      <c r="R2932" s="19"/>
      <c r="S2932" s="19"/>
      <c r="T2932" s="19"/>
      <c r="U2932" s="19"/>
      <c r="V2932" s="19" t="n">
        <v>6</v>
      </c>
      <c r="W2932" s="19"/>
      <c r="X2932" s="19"/>
      <c r="Y2932" s="19"/>
      <c r="Z2932" s="19"/>
      <c r="AA2932" s="19"/>
      <c r="AB2932" s="19"/>
      <c r="AC2932" s="19" t="n">
        <v>1</v>
      </c>
      <c r="AD2932" s="19"/>
      <c r="AE2932" s="19"/>
      <c r="AF2932" s="19"/>
      <c r="AG2932" s="19"/>
      <c r="AH2932" s="19" t="n">
        <v>17</v>
      </c>
      <c r="AI2932" s="19"/>
      <c r="AJ2932" s="19"/>
      <c r="AK2932" s="19"/>
      <c r="AL2932" s="19"/>
      <c r="AM2932" s="19"/>
      <c r="AN2932" s="19" t="n">
        <v>8</v>
      </c>
      <c r="AO2932" s="19" t="n">
        <v>10</v>
      </c>
      <c r="AP2932" s="19"/>
      <c r="AQ2932" s="19"/>
      <c r="AR2932" s="19"/>
      <c r="AS2932" s="20" t="str">
        <f aca="false">HYPERLINK("http://www.openstreetmap.org/?mlat=32.0137&amp;mlon=44.9336&amp;zoom=12#map=12/32.0137/44.9336","Maplink1")</f>
        <v>Maplink1</v>
      </c>
      <c r="AT2932" s="20" t="str">
        <f aca="false">HYPERLINK("https://www.google.iq/maps/search/+32.0137,44.9336/@32.0137,44.9336,14z?hl=en","Maplink2")</f>
        <v>Maplink2</v>
      </c>
      <c r="AU2932" s="20" t="str">
        <f aca="false">HYPERLINK("http://www.bing.com/maps/?lvl=14&amp;sty=h&amp;cp=32.0137~44.9336&amp;sp=point.32.0137_44.9336","Maplink3")</f>
        <v>Maplink3</v>
      </c>
    </row>
    <row r="2933" customFormat="false" ht="15" hidden="false" customHeight="true" outlineLevel="0" collapsed="false">
      <c r="A2933" s="15" t="n">
        <v>24149</v>
      </c>
      <c r="B2933" s="16" t="s">
        <v>28</v>
      </c>
      <c r="C2933" s="16" t="s">
        <v>5539</v>
      </c>
      <c r="D2933" s="16" t="s">
        <v>5620</v>
      </c>
      <c r="E2933" s="17" t="s">
        <v>5621</v>
      </c>
      <c r="F2933" s="16" t="n">
        <v>32.13644274</v>
      </c>
      <c r="G2933" s="16" t="n">
        <v>44.93360368</v>
      </c>
      <c r="H2933" s="18" t="n">
        <v>14</v>
      </c>
      <c r="I2933" s="18" t="n">
        <v>84</v>
      </c>
      <c r="J2933" s="19" t="n">
        <v>2</v>
      </c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 t="n">
        <v>12</v>
      </c>
      <c r="W2933" s="19"/>
      <c r="X2933" s="19"/>
      <c r="Y2933" s="19"/>
      <c r="Z2933" s="19"/>
      <c r="AA2933" s="19"/>
      <c r="AB2933" s="19"/>
      <c r="AC2933" s="19" t="n">
        <v>4</v>
      </c>
      <c r="AD2933" s="19"/>
      <c r="AE2933" s="19"/>
      <c r="AF2933" s="19"/>
      <c r="AG2933" s="19" t="n">
        <v>9</v>
      </c>
      <c r="AH2933" s="19" t="n">
        <v>1</v>
      </c>
      <c r="AI2933" s="19"/>
      <c r="AJ2933" s="19"/>
      <c r="AK2933" s="19"/>
      <c r="AL2933" s="19"/>
      <c r="AM2933" s="19" t="n">
        <v>2</v>
      </c>
      <c r="AN2933" s="19" t="n">
        <v>10</v>
      </c>
      <c r="AO2933" s="19" t="n">
        <v>2</v>
      </c>
      <c r="AP2933" s="19"/>
      <c r="AQ2933" s="19"/>
      <c r="AR2933" s="19"/>
      <c r="AS2933" s="20" t="str">
        <f aca="false">HYPERLINK("http://www.openstreetmap.org/?mlat=32.1364&amp;mlon=44.9336&amp;zoom=12#map=12/32.1364/44.9336","Maplink1")</f>
        <v>Maplink1</v>
      </c>
      <c r="AT2933" s="20" t="str">
        <f aca="false">HYPERLINK("https://www.google.iq/maps/search/+32.1364,44.9336/@32.1364,44.9336,14z?hl=en","Maplink2")</f>
        <v>Maplink2</v>
      </c>
      <c r="AU2933" s="20" t="str">
        <f aca="false">HYPERLINK("http://www.bing.com/maps/?lvl=14&amp;sty=h&amp;cp=32.1364~44.9336&amp;sp=point.32.1364_44.9336","Maplink3")</f>
        <v>Maplink3</v>
      </c>
    </row>
    <row r="2934" customFormat="false" ht="15" hidden="false" customHeight="true" outlineLevel="0" collapsed="false">
      <c r="A2934" s="15" t="n">
        <v>24382</v>
      </c>
      <c r="B2934" s="16" t="s">
        <v>28</v>
      </c>
      <c r="C2934" s="16" t="s">
        <v>5539</v>
      </c>
      <c r="D2934" s="16" t="s">
        <v>5622</v>
      </c>
      <c r="E2934" s="17" t="s">
        <v>5623</v>
      </c>
      <c r="F2934" s="16" t="n">
        <v>32.00307492</v>
      </c>
      <c r="G2934" s="16" t="n">
        <v>44.86254542</v>
      </c>
      <c r="H2934" s="18" t="n">
        <v>25</v>
      </c>
      <c r="I2934" s="18" t="n">
        <v>150</v>
      </c>
      <c r="J2934" s="19"/>
      <c r="K2934" s="19"/>
      <c r="L2934" s="19"/>
      <c r="M2934" s="19"/>
      <c r="N2934" s="19"/>
      <c r="O2934" s="19"/>
      <c r="P2934" s="19"/>
      <c r="Q2934" s="19"/>
      <c r="R2934" s="19" t="n">
        <v>3</v>
      </c>
      <c r="S2934" s="19"/>
      <c r="T2934" s="19"/>
      <c r="U2934" s="19"/>
      <c r="V2934" s="19" t="n">
        <v>22</v>
      </c>
      <c r="W2934" s="19"/>
      <c r="X2934" s="19"/>
      <c r="Y2934" s="19"/>
      <c r="Z2934" s="19"/>
      <c r="AA2934" s="19"/>
      <c r="AB2934" s="19"/>
      <c r="AC2934" s="19" t="n">
        <v>6</v>
      </c>
      <c r="AD2934" s="19"/>
      <c r="AE2934" s="19"/>
      <c r="AF2934" s="19"/>
      <c r="AG2934" s="19" t="n">
        <v>10</v>
      </c>
      <c r="AH2934" s="19" t="n">
        <v>9</v>
      </c>
      <c r="AI2934" s="19"/>
      <c r="AJ2934" s="19"/>
      <c r="AK2934" s="19"/>
      <c r="AL2934" s="19"/>
      <c r="AM2934" s="19" t="n">
        <v>22</v>
      </c>
      <c r="AN2934" s="19" t="n">
        <v>3</v>
      </c>
      <c r="AO2934" s="19"/>
      <c r="AP2934" s="19"/>
      <c r="AQ2934" s="19"/>
      <c r="AR2934" s="19"/>
      <c r="AS2934" s="20" t="str">
        <f aca="false">HYPERLINK("http://www.openstreetmap.org/?mlat=32.0031&amp;mlon=44.8625&amp;zoom=12#map=12/32.0031/44.8625","Maplink1")</f>
        <v>Maplink1</v>
      </c>
      <c r="AT2934" s="20" t="str">
        <f aca="false">HYPERLINK("https://www.google.iq/maps/search/+32.0031,44.8625/@32.0031,44.8625,14z?hl=en","Maplink2")</f>
        <v>Maplink2</v>
      </c>
      <c r="AU2934" s="20" t="str">
        <f aca="false">HYPERLINK("http://www.bing.com/maps/?lvl=14&amp;sty=h&amp;cp=32.0031~44.8625&amp;sp=point.32.0031_44.8625","Maplink3")</f>
        <v>Maplink3</v>
      </c>
    </row>
    <row r="2935" customFormat="false" ht="15" hidden="false" customHeight="true" outlineLevel="0" collapsed="false">
      <c r="A2935" s="15" t="n">
        <v>21727</v>
      </c>
      <c r="B2935" s="16" t="s">
        <v>28</v>
      </c>
      <c r="C2935" s="16" t="s">
        <v>5539</v>
      </c>
      <c r="D2935" s="16" t="s">
        <v>5624</v>
      </c>
      <c r="E2935" s="17" t="s">
        <v>5625</v>
      </c>
      <c r="F2935" s="16" t="n">
        <v>31.97126116</v>
      </c>
      <c r="G2935" s="16" t="n">
        <v>44.961516</v>
      </c>
      <c r="H2935" s="18" t="n">
        <v>9</v>
      </c>
      <c r="I2935" s="18" t="n">
        <v>54</v>
      </c>
      <c r="J2935" s="19" t="n">
        <v>2</v>
      </c>
      <c r="K2935" s="19"/>
      <c r="L2935" s="19"/>
      <c r="M2935" s="19"/>
      <c r="N2935" s="19"/>
      <c r="O2935" s="19"/>
      <c r="P2935" s="19"/>
      <c r="Q2935" s="19"/>
      <c r="R2935" s="19" t="n">
        <v>2</v>
      </c>
      <c r="S2935" s="19"/>
      <c r="T2935" s="19"/>
      <c r="U2935" s="19"/>
      <c r="V2935" s="19" t="n">
        <v>5</v>
      </c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9" t="n">
        <v>6</v>
      </c>
      <c r="AH2935" s="19" t="n">
        <v>3</v>
      </c>
      <c r="AI2935" s="19"/>
      <c r="AJ2935" s="19"/>
      <c r="AK2935" s="19"/>
      <c r="AL2935" s="19"/>
      <c r="AM2935" s="19" t="n">
        <v>2</v>
      </c>
      <c r="AN2935" s="19" t="n">
        <v>5</v>
      </c>
      <c r="AO2935" s="19" t="n">
        <v>2</v>
      </c>
      <c r="AP2935" s="19"/>
      <c r="AQ2935" s="19"/>
      <c r="AR2935" s="19"/>
      <c r="AS2935" s="20" t="str">
        <f aca="false">HYPERLINK("http://www.openstreetmap.org/?mlat=31.9713&amp;mlon=44.9615&amp;zoom=12#map=12/31.9713/44.9615","Maplink1")</f>
        <v>Maplink1</v>
      </c>
      <c r="AT2935" s="20" t="str">
        <f aca="false">HYPERLINK("https://www.google.iq/maps/search/+31.9713,44.9615/@31.9713,44.9615,14z?hl=en","Maplink2")</f>
        <v>Maplink2</v>
      </c>
      <c r="AU2935" s="20" t="str">
        <f aca="false">HYPERLINK("http://www.bing.com/maps/?lvl=14&amp;sty=h&amp;cp=31.9713~44.9615&amp;sp=point.31.9713_44.9615","Maplink3")</f>
        <v>Maplink3</v>
      </c>
    </row>
    <row r="2936" customFormat="false" ht="15" hidden="false" customHeight="true" outlineLevel="0" collapsed="false">
      <c r="A2936" s="15" t="n">
        <v>24309</v>
      </c>
      <c r="B2936" s="16" t="s">
        <v>28</v>
      </c>
      <c r="C2936" s="16" t="s">
        <v>5539</v>
      </c>
      <c r="D2936" s="16" t="s">
        <v>5626</v>
      </c>
      <c r="E2936" s="17" t="s">
        <v>703</v>
      </c>
      <c r="F2936" s="16" t="n">
        <v>32.06490219</v>
      </c>
      <c r="G2936" s="16" t="n">
        <v>44.7748599</v>
      </c>
      <c r="H2936" s="18" t="n">
        <v>40</v>
      </c>
      <c r="I2936" s="18" t="n">
        <v>240</v>
      </c>
      <c r="J2936" s="19" t="n">
        <v>2</v>
      </c>
      <c r="K2936" s="19"/>
      <c r="L2936" s="19"/>
      <c r="M2936" s="19"/>
      <c r="N2936" s="19"/>
      <c r="O2936" s="19"/>
      <c r="P2936" s="19"/>
      <c r="Q2936" s="19"/>
      <c r="R2936" s="19" t="n">
        <v>3</v>
      </c>
      <c r="S2936" s="19"/>
      <c r="T2936" s="19"/>
      <c r="U2936" s="19"/>
      <c r="V2936" s="19" t="n">
        <v>35</v>
      </c>
      <c r="W2936" s="19"/>
      <c r="X2936" s="19"/>
      <c r="Y2936" s="19"/>
      <c r="Z2936" s="19"/>
      <c r="AA2936" s="19"/>
      <c r="AB2936" s="19"/>
      <c r="AC2936" s="19" t="n">
        <v>4</v>
      </c>
      <c r="AD2936" s="19"/>
      <c r="AE2936" s="19"/>
      <c r="AF2936" s="19"/>
      <c r="AG2936" s="19" t="n">
        <v>21</v>
      </c>
      <c r="AH2936" s="19" t="n">
        <v>15</v>
      </c>
      <c r="AI2936" s="19"/>
      <c r="AJ2936" s="19"/>
      <c r="AK2936" s="19"/>
      <c r="AL2936" s="19"/>
      <c r="AM2936" s="19" t="n">
        <v>17</v>
      </c>
      <c r="AN2936" s="19" t="n">
        <v>21</v>
      </c>
      <c r="AO2936" s="19" t="n">
        <v>2</v>
      </c>
      <c r="AP2936" s="19"/>
      <c r="AQ2936" s="19"/>
      <c r="AR2936" s="19"/>
      <c r="AS2936" s="20" t="str">
        <f aca="false">HYPERLINK("http://www.openstreetmap.org/?mlat=32.0649&amp;mlon=44.7749&amp;zoom=12#map=12/32.0649/44.7749","Maplink1")</f>
        <v>Maplink1</v>
      </c>
      <c r="AT2936" s="20" t="str">
        <f aca="false">HYPERLINK("https://www.google.iq/maps/search/+32.0649,44.7749/@32.0649,44.7749,14z?hl=en","Maplink2")</f>
        <v>Maplink2</v>
      </c>
      <c r="AU2936" s="20" t="str">
        <f aca="false">HYPERLINK("http://www.bing.com/maps/?lvl=14&amp;sty=h&amp;cp=32.0649~44.7749&amp;sp=point.32.0649_44.7749","Maplink3")</f>
        <v>Maplink3</v>
      </c>
    </row>
    <row r="2937" customFormat="false" ht="15" hidden="false" customHeight="true" outlineLevel="0" collapsed="false">
      <c r="A2937" s="15" t="n">
        <v>21734</v>
      </c>
      <c r="B2937" s="16" t="s">
        <v>28</v>
      </c>
      <c r="C2937" s="16" t="s">
        <v>5539</v>
      </c>
      <c r="D2937" s="16" t="s">
        <v>5627</v>
      </c>
      <c r="E2937" s="17" t="s">
        <v>5628</v>
      </c>
      <c r="F2937" s="16" t="n">
        <v>31.99673636</v>
      </c>
      <c r="G2937" s="16" t="n">
        <v>44.94460844</v>
      </c>
      <c r="H2937" s="18" t="n">
        <v>14</v>
      </c>
      <c r="I2937" s="18" t="n">
        <v>84</v>
      </c>
      <c r="J2937" s="19" t="n">
        <v>2</v>
      </c>
      <c r="K2937" s="19" t="n">
        <v>3</v>
      </c>
      <c r="L2937" s="19" t="n">
        <v>2</v>
      </c>
      <c r="M2937" s="19"/>
      <c r="N2937" s="19"/>
      <c r="O2937" s="19"/>
      <c r="P2937" s="19"/>
      <c r="Q2937" s="19"/>
      <c r="R2937" s="19" t="n">
        <v>4</v>
      </c>
      <c r="S2937" s="19"/>
      <c r="T2937" s="19"/>
      <c r="U2937" s="19"/>
      <c r="V2937" s="19" t="n">
        <v>3</v>
      </c>
      <c r="W2937" s="19"/>
      <c r="X2937" s="19"/>
      <c r="Y2937" s="19"/>
      <c r="Z2937" s="19"/>
      <c r="AA2937" s="19"/>
      <c r="AB2937" s="19"/>
      <c r="AC2937" s="19" t="n">
        <v>5</v>
      </c>
      <c r="AD2937" s="19"/>
      <c r="AE2937" s="19"/>
      <c r="AF2937" s="19"/>
      <c r="AG2937" s="19"/>
      <c r="AH2937" s="19" t="n">
        <v>9</v>
      </c>
      <c r="AI2937" s="19"/>
      <c r="AJ2937" s="19"/>
      <c r="AK2937" s="19"/>
      <c r="AL2937" s="19"/>
      <c r="AM2937" s="19" t="n">
        <v>11</v>
      </c>
      <c r="AN2937" s="19" t="n">
        <v>3</v>
      </c>
      <c r="AO2937" s="19"/>
      <c r="AP2937" s="19"/>
      <c r="AQ2937" s="19"/>
      <c r="AR2937" s="19"/>
      <c r="AS2937" s="20" t="str">
        <f aca="false">HYPERLINK("http://www.openstreetmap.org/?mlat=31.9967&amp;mlon=44.9446&amp;zoom=12#map=12/31.9967/44.9446","Maplink1")</f>
        <v>Maplink1</v>
      </c>
      <c r="AT2937" s="20" t="str">
        <f aca="false">HYPERLINK("https://www.google.iq/maps/search/+31.9967,44.9446/@31.9967,44.9446,14z?hl=en","Maplink2")</f>
        <v>Maplink2</v>
      </c>
      <c r="AU2937" s="20" t="str">
        <f aca="false">HYPERLINK("http://www.bing.com/maps/?lvl=14&amp;sty=h&amp;cp=31.9967~44.9446&amp;sp=point.31.9967_44.9446","Maplink3")</f>
        <v>Maplink3</v>
      </c>
    </row>
    <row r="2938" customFormat="false" ht="15" hidden="false" customHeight="true" outlineLevel="0" collapsed="false">
      <c r="A2938" s="15" t="n">
        <v>21946</v>
      </c>
      <c r="B2938" s="16" t="s">
        <v>28</v>
      </c>
      <c r="C2938" s="16" t="s">
        <v>5539</v>
      </c>
      <c r="D2938" s="16" t="s">
        <v>5629</v>
      </c>
      <c r="E2938" s="17" t="s">
        <v>5630</v>
      </c>
      <c r="F2938" s="16" t="n">
        <v>31.9946908</v>
      </c>
      <c r="G2938" s="16" t="n">
        <v>44.94608525</v>
      </c>
      <c r="H2938" s="18" t="n">
        <v>11</v>
      </c>
      <c r="I2938" s="18" t="n">
        <v>66</v>
      </c>
      <c r="J2938" s="19" t="n">
        <v>2</v>
      </c>
      <c r="K2938" s="19"/>
      <c r="L2938" s="19"/>
      <c r="M2938" s="19"/>
      <c r="N2938" s="19"/>
      <c r="O2938" s="19"/>
      <c r="P2938" s="19"/>
      <c r="Q2938" s="19"/>
      <c r="R2938" s="19" t="n">
        <v>5</v>
      </c>
      <c r="S2938" s="19"/>
      <c r="T2938" s="19"/>
      <c r="U2938" s="19"/>
      <c r="V2938" s="19" t="n">
        <v>4</v>
      </c>
      <c r="W2938" s="19"/>
      <c r="X2938" s="19"/>
      <c r="Y2938" s="19"/>
      <c r="Z2938" s="19"/>
      <c r="AA2938" s="19"/>
      <c r="AB2938" s="19"/>
      <c r="AC2938" s="19" t="n">
        <v>3</v>
      </c>
      <c r="AD2938" s="19"/>
      <c r="AE2938" s="19"/>
      <c r="AF2938" s="19"/>
      <c r="AG2938" s="19"/>
      <c r="AH2938" s="19" t="n">
        <v>8</v>
      </c>
      <c r="AI2938" s="19"/>
      <c r="AJ2938" s="19"/>
      <c r="AK2938" s="19"/>
      <c r="AL2938" s="19"/>
      <c r="AM2938" s="19" t="n">
        <v>8</v>
      </c>
      <c r="AN2938" s="19" t="n">
        <v>1</v>
      </c>
      <c r="AO2938" s="19" t="n">
        <v>2</v>
      </c>
      <c r="AP2938" s="19"/>
      <c r="AQ2938" s="19"/>
      <c r="AR2938" s="19"/>
      <c r="AS2938" s="20" t="str">
        <f aca="false">HYPERLINK("http://www.openstreetmap.org/?mlat=31.9947&amp;mlon=44.9461&amp;zoom=12#map=12/31.9947/44.9461","Maplink1")</f>
        <v>Maplink1</v>
      </c>
      <c r="AT2938" s="20" t="str">
        <f aca="false">HYPERLINK("https://www.google.iq/maps/search/+31.9947,44.9461/@31.9947,44.9461,14z?hl=en","Maplink2")</f>
        <v>Maplink2</v>
      </c>
      <c r="AU2938" s="20" t="str">
        <f aca="false">HYPERLINK("http://www.bing.com/maps/?lvl=14&amp;sty=h&amp;cp=31.9947~44.9461&amp;sp=point.31.9947_44.9461","Maplink3")</f>
        <v>Maplink3</v>
      </c>
    </row>
    <row r="2939" customFormat="false" ht="15" hidden="false" customHeight="true" outlineLevel="0" collapsed="false">
      <c r="A2939" s="15" t="n">
        <v>21945</v>
      </c>
      <c r="B2939" s="16" t="s">
        <v>28</v>
      </c>
      <c r="C2939" s="16" t="s">
        <v>5539</v>
      </c>
      <c r="D2939" s="16" t="s">
        <v>5631</v>
      </c>
      <c r="E2939" s="17" t="s">
        <v>5632</v>
      </c>
      <c r="F2939" s="16" t="n">
        <v>31.99579214</v>
      </c>
      <c r="G2939" s="16" t="n">
        <v>44.94225221</v>
      </c>
      <c r="H2939" s="18" t="n">
        <v>15</v>
      </c>
      <c r="I2939" s="18" t="n">
        <v>90</v>
      </c>
      <c r="J2939" s="19" t="n">
        <v>7</v>
      </c>
      <c r="K2939" s="19"/>
      <c r="L2939" s="19" t="n">
        <v>2</v>
      </c>
      <c r="M2939" s="19"/>
      <c r="N2939" s="19"/>
      <c r="O2939" s="19"/>
      <c r="P2939" s="19"/>
      <c r="Q2939" s="19"/>
      <c r="R2939" s="19" t="n">
        <v>4</v>
      </c>
      <c r="S2939" s="19"/>
      <c r="T2939" s="19"/>
      <c r="U2939" s="19"/>
      <c r="V2939" s="19" t="n">
        <v>2</v>
      </c>
      <c r="W2939" s="19"/>
      <c r="X2939" s="19"/>
      <c r="Y2939" s="19"/>
      <c r="Z2939" s="19"/>
      <c r="AA2939" s="19"/>
      <c r="AB2939" s="19"/>
      <c r="AC2939" s="19" t="n">
        <v>6</v>
      </c>
      <c r="AD2939" s="19"/>
      <c r="AE2939" s="19"/>
      <c r="AF2939" s="19"/>
      <c r="AG2939" s="19"/>
      <c r="AH2939" s="19" t="n">
        <v>9</v>
      </c>
      <c r="AI2939" s="19"/>
      <c r="AJ2939" s="19"/>
      <c r="AK2939" s="19"/>
      <c r="AL2939" s="19" t="n">
        <v>2</v>
      </c>
      <c r="AM2939" s="19"/>
      <c r="AN2939" s="19" t="n">
        <v>2</v>
      </c>
      <c r="AO2939" s="19" t="n">
        <v>11</v>
      </c>
      <c r="AP2939" s="19"/>
      <c r="AQ2939" s="19"/>
      <c r="AR2939" s="19"/>
      <c r="AS2939" s="20" t="str">
        <f aca="false">HYPERLINK("http://www.openstreetmap.org/?mlat=31.9958&amp;mlon=44.9423&amp;zoom=12#map=12/31.9958/44.9423","Maplink1")</f>
        <v>Maplink1</v>
      </c>
      <c r="AT2939" s="20" t="str">
        <f aca="false">HYPERLINK("https://www.google.iq/maps/search/+31.9958,44.9423/@31.9958,44.9423,14z?hl=en","Maplink2")</f>
        <v>Maplink2</v>
      </c>
      <c r="AU2939" s="20" t="str">
        <f aca="false">HYPERLINK("http://www.bing.com/maps/?lvl=14&amp;sty=h&amp;cp=31.9958~44.9423&amp;sp=point.31.9958_44.9423","Maplink3")</f>
        <v>Maplink3</v>
      </c>
    </row>
    <row r="2940" customFormat="false" ht="15" hidden="false" customHeight="true" outlineLevel="0" collapsed="false">
      <c r="A2940" s="15" t="n">
        <v>25327</v>
      </c>
      <c r="B2940" s="16" t="s">
        <v>28</v>
      </c>
      <c r="C2940" s="16" t="s">
        <v>5539</v>
      </c>
      <c r="D2940" s="16" t="s">
        <v>2026</v>
      </c>
      <c r="E2940" s="17" t="s">
        <v>2027</v>
      </c>
      <c r="F2940" s="16" t="n">
        <v>31.97782058</v>
      </c>
      <c r="G2940" s="16" t="n">
        <v>44.95635811</v>
      </c>
      <c r="H2940" s="18" t="n">
        <v>28</v>
      </c>
      <c r="I2940" s="18" t="n">
        <v>168</v>
      </c>
      <c r="J2940" s="19" t="n">
        <v>3</v>
      </c>
      <c r="K2940" s="19"/>
      <c r="L2940" s="19" t="n">
        <v>2</v>
      </c>
      <c r="M2940" s="19"/>
      <c r="N2940" s="19"/>
      <c r="O2940" s="19"/>
      <c r="P2940" s="19"/>
      <c r="Q2940" s="19"/>
      <c r="R2940" s="19" t="n">
        <v>3</v>
      </c>
      <c r="S2940" s="19"/>
      <c r="T2940" s="19"/>
      <c r="U2940" s="19"/>
      <c r="V2940" s="19" t="n">
        <v>20</v>
      </c>
      <c r="W2940" s="19"/>
      <c r="X2940" s="19"/>
      <c r="Y2940" s="19"/>
      <c r="Z2940" s="19"/>
      <c r="AA2940" s="19"/>
      <c r="AB2940" s="19"/>
      <c r="AC2940" s="19" t="n">
        <v>3</v>
      </c>
      <c r="AD2940" s="19"/>
      <c r="AE2940" s="19"/>
      <c r="AF2940" s="19"/>
      <c r="AG2940" s="19"/>
      <c r="AH2940" s="19" t="n">
        <v>25</v>
      </c>
      <c r="AI2940" s="19"/>
      <c r="AJ2940" s="19"/>
      <c r="AK2940" s="19"/>
      <c r="AL2940" s="19"/>
      <c r="AM2940" s="19" t="n">
        <v>13</v>
      </c>
      <c r="AN2940" s="19" t="n">
        <v>10</v>
      </c>
      <c r="AO2940" s="19" t="n">
        <v>5</v>
      </c>
      <c r="AP2940" s="19"/>
      <c r="AQ2940" s="19"/>
      <c r="AR2940" s="19"/>
      <c r="AS2940" s="20" t="str">
        <f aca="false">HYPERLINK("http://www.openstreetmap.org/?mlat=31.9778&amp;mlon=44.9564&amp;zoom=12#map=12/31.9778/44.9564","Maplink1")</f>
        <v>Maplink1</v>
      </c>
      <c r="AT2940" s="20" t="str">
        <f aca="false">HYPERLINK("https://www.google.iq/maps/search/+31.9778,44.9564/@31.9778,44.9564,14z?hl=en","Maplink2")</f>
        <v>Maplink2</v>
      </c>
      <c r="AU2940" s="20" t="str">
        <f aca="false">HYPERLINK("http://www.bing.com/maps/?lvl=14&amp;sty=h&amp;cp=31.9778~44.9564&amp;sp=point.31.9778_44.9564","Maplink3")</f>
        <v>Maplink3</v>
      </c>
    </row>
    <row r="2941" customFormat="false" ht="15" hidden="false" customHeight="true" outlineLevel="0" collapsed="false">
      <c r="A2941" s="15" t="n">
        <v>2721</v>
      </c>
      <c r="B2941" s="16" t="s">
        <v>28</v>
      </c>
      <c r="C2941" s="16" t="s">
        <v>5539</v>
      </c>
      <c r="D2941" s="16" t="s">
        <v>445</v>
      </c>
      <c r="E2941" s="17" t="s">
        <v>2027</v>
      </c>
      <c r="F2941" s="16" t="n">
        <v>31.97697456</v>
      </c>
      <c r="G2941" s="16" t="n">
        <v>44.9641594</v>
      </c>
      <c r="H2941" s="18" t="n">
        <v>5</v>
      </c>
      <c r="I2941" s="18" t="n">
        <v>30</v>
      </c>
      <c r="J2941" s="19" t="n">
        <v>1</v>
      </c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 t="n">
        <v>4</v>
      </c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9"/>
      <c r="AH2941" s="19" t="n">
        <v>5</v>
      </c>
      <c r="AI2941" s="19"/>
      <c r="AJ2941" s="19"/>
      <c r="AK2941" s="19"/>
      <c r="AL2941" s="19"/>
      <c r="AM2941" s="19"/>
      <c r="AN2941" s="19" t="n">
        <v>4</v>
      </c>
      <c r="AO2941" s="19" t="n">
        <v>1</v>
      </c>
      <c r="AP2941" s="19"/>
      <c r="AQ2941" s="19"/>
      <c r="AR2941" s="19"/>
      <c r="AS2941" s="20" t="str">
        <f aca="false">HYPERLINK("http://www.openstreetmap.org/?mlat=31.977&amp;mlon=44.9642&amp;zoom=12#map=12/31.977/44.9642","Maplink1")</f>
        <v>Maplink1</v>
      </c>
      <c r="AT2941" s="20" t="str">
        <f aca="false">HYPERLINK("https://www.google.iq/maps/search/+31.977,44.9642/@31.977,44.9642,14z?hl=en","Maplink2")</f>
        <v>Maplink2</v>
      </c>
      <c r="AU2941" s="20" t="str">
        <f aca="false">HYPERLINK("http://www.bing.com/maps/?lvl=14&amp;sty=h&amp;cp=31.977~44.9642&amp;sp=point.31.977_44.9642","Maplink3")</f>
        <v>Maplink3</v>
      </c>
    </row>
    <row r="2942" customFormat="false" ht="15" hidden="false" customHeight="true" outlineLevel="0" collapsed="false">
      <c r="A2942" s="15" t="n">
        <v>3386</v>
      </c>
      <c r="B2942" s="16" t="s">
        <v>28</v>
      </c>
      <c r="C2942" s="16" t="s">
        <v>5539</v>
      </c>
      <c r="D2942" s="16" t="s">
        <v>5633</v>
      </c>
      <c r="E2942" s="17" t="s">
        <v>4493</v>
      </c>
      <c r="F2942" s="16" t="n">
        <v>32.01959762</v>
      </c>
      <c r="G2942" s="16" t="n">
        <v>44.81717678</v>
      </c>
      <c r="H2942" s="18" t="n">
        <v>7</v>
      </c>
      <c r="I2942" s="18" t="n">
        <v>42</v>
      </c>
      <c r="J2942" s="19" t="n">
        <v>2</v>
      </c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 t="n">
        <v>5</v>
      </c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9" t="n">
        <v>3</v>
      </c>
      <c r="AH2942" s="19" t="n">
        <v>4</v>
      </c>
      <c r="AI2942" s="19"/>
      <c r="AJ2942" s="19"/>
      <c r="AK2942" s="19"/>
      <c r="AL2942" s="19"/>
      <c r="AM2942" s="19" t="n">
        <v>4</v>
      </c>
      <c r="AN2942" s="19" t="n">
        <v>1</v>
      </c>
      <c r="AO2942" s="19" t="n">
        <v>2</v>
      </c>
      <c r="AP2942" s="19"/>
      <c r="AQ2942" s="19"/>
      <c r="AR2942" s="19"/>
      <c r="AS2942" s="20" t="str">
        <f aca="false">HYPERLINK("http://www.openstreetmap.org/?mlat=32.0196&amp;mlon=44.8172&amp;zoom=12#map=12/32.0196/44.8172","Maplink1")</f>
        <v>Maplink1</v>
      </c>
      <c r="AT2942" s="20" t="str">
        <f aca="false">HYPERLINK("https://www.google.iq/maps/search/+32.0196,44.8172/@32.0196,44.8172,14z?hl=en","Maplink2")</f>
        <v>Maplink2</v>
      </c>
      <c r="AU2942" s="20" t="str">
        <f aca="false">HYPERLINK("http://www.bing.com/maps/?lvl=14&amp;sty=h&amp;cp=32.0196~44.8172&amp;sp=point.32.0196_44.8172","Maplink3")</f>
        <v>Maplink3</v>
      </c>
    </row>
    <row r="2943" customFormat="false" ht="15" hidden="false" customHeight="true" outlineLevel="0" collapsed="false">
      <c r="A2943" s="15" t="n">
        <v>25567</v>
      </c>
      <c r="B2943" s="16" t="s">
        <v>28</v>
      </c>
      <c r="C2943" s="16" t="s">
        <v>5539</v>
      </c>
      <c r="D2943" s="16" t="s">
        <v>5634</v>
      </c>
      <c r="E2943" s="17" t="s">
        <v>5635</v>
      </c>
      <c r="F2943" s="16" t="n">
        <v>32.00528435</v>
      </c>
      <c r="G2943" s="16" t="n">
        <v>44.85385481</v>
      </c>
      <c r="H2943" s="18" t="n">
        <v>60</v>
      </c>
      <c r="I2943" s="18" t="n">
        <v>360</v>
      </c>
      <c r="J2943" s="19" t="n">
        <v>12</v>
      </c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 t="n">
        <v>48</v>
      </c>
      <c r="W2943" s="19"/>
      <c r="X2943" s="19"/>
      <c r="Y2943" s="19"/>
      <c r="Z2943" s="19"/>
      <c r="AA2943" s="19"/>
      <c r="AB2943" s="19"/>
      <c r="AC2943" s="19" t="n">
        <v>9</v>
      </c>
      <c r="AD2943" s="19"/>
      <c r="AE2943" s="19"/>
      <c r="AF2943" s="19"/>
      <c r="AG2943" s="19" t="n">
        <v>25</v>
      </c>
      <c r="AH2943" s="19" t="n">
        <v>26</v>
      </c>
      <c r="AI2943" s="19"/>
      <c r="AJ2943" s="19"/>
      <c r="AK2943" s="19"/>
      <c r="AL2943" s="19"/>
      <c r="AM2943" s="19" t="n">
        <v>36</v>
      </c>
      <c r="AN2943" s="19" t="n">
        <v>22</v>
      </c>
      <c r="AO2943" s="19" t="n">
        <v>2</v>
      </c>
      <c r="AP2943" s="19"/>
      <c r="AQ2943" s="19"/>
      <c r="AR2943" s="19"/>
      <c r="AS2943" s="20" t="str">
        <f aca="false">HYPERLINK("http://www.openstreetmap.org/?mlat=32.0053&amp;mlon=44.8539&amp;zoom=12#map=12/32.0053/44.8539","Maplink1")</f>
        <v>Maplink1</v>
      </c>
      <c r="AT2943" s="20" t="str">
        <f aca="false">HYPERLINK("https://www.google.iq/maps/search/+32.0053,44.8539/@32.0053,44.8539,14z?hl=en","Maplink2")</f>
        <v>Maplink2</v>
      </c>
      <c r="AU2943" s="20" t="str">
        <f aca="false">HYPERLINK("http://www.bing.com/maps/?lvl=14&amp;sty=h&amp;cp=32.0053~44.8539&amp;sp=point.32.0053_44.8539","Maplink3")</f>
        <v>Maplink3</v>
      </c>
    </row>
    <row r="2944" customFormat="false" ht="15" hidden="false" customHeight="true" outlineLevel="0" collapsed="false">
      <c r="A2944" s="15" t="n">
        <v>25568</v>
      </c>
      <c r="B2944" s="16" t="s">
        <v>28</v>
      </c>
      <c r="C2944" s="16" t="s">
        <v>5539</v>
      </c>
      <c r="D2944" s="16" t="s">
        <v>5636</v>
      </c>
      <c r="E2944" s="17" t="s">
        <v>5637</v>
      </c>
      <c r="F2944" s="16" t="n">
        <v>32.00682067</v>
      </c>
      <c r="G2944" s="16" t="n">
        <v>44.8482759</v>
      </c>
      <c r="H2944" s="18" t="n">
        <v>49</v>
      </c>
      <c r="I2944" s="18" t="n">
        <v>294</v>
      </c>
      <c r="J2944" s="19" t="n">
        <v>9</v>
      </c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 t="n">
        <v>40</v>
      </c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9" t="n">
        <v>28</v>
      </c>
      <c r="AH2944" s="19" t="n">
        <v>21</v>
      </c>
      <c r="AI2944" s="19"/>
      <c r="AJ2944" s="19"/>
      <c r="AK2944" s="19"/>
      <c r="AL2944" s="19"/>
      <c r="AM2944" s="19"/>
      <c r="AN2944" s="19" t="n">
        <v>40</v>
      </c>
      <c r="AO2944" s="19" t="n">
        <v>9</v>
      </c>
      <c r="AP2944" s="19"/>
      <c r="AQ2944" s="19"/>
      <c r="AR2944" s="19"/>
      <c r="AS2944" s="20" t="str">
        <f aca="false">HYPERLINK("http://www.openstreetmap.org/?mlat=32.0068&amp;mlon=44.8483&amp;zoom=12#map=12/32.0068/44.8483","Maplink1")</f>
        <v>Maplink1</v>
      </c>
      <c r="AT2944" s="20" t="str">
        <f aca="false">HYPERLINK("https://www.google.iq/maps/search/+32.0068,44.8483/@32.0068,44.8483,14z?hl=en","Maplink2")</f>
        <v>Maplink2</v>
      </c>
      <c r="AU2944" s="20" t="str">
        <f aca="false">HYPERLINK("http://www.bing.com/maps/?lvl=14&amp;sty=h&amp;cp=32.0068~44.8483&amp;sp=point.32.0068_44.8483","Maplink3")</f>
        <v>Maplink3</v>
      </c>
    </row>
    <row r="2945" customFormat="false" ht="15" hidden="false" customHeight="true" outlineLevel="0" collapsed="false">
      <c r="A2945" s="15" t="n">
        <v>3308</v>
      </c>
      <c r="B2945" s="16" t="s">
        <v>28</v>
      </c>
      <c r="C2945" s="16" t="s">
        <v>5539</v>
      </c>
      <c r="D2945" s="16" t="s">
        <v>5638</v>
      </c>
      <c r="E2945" s="17" t="s">
        <v>79</v>
      </c>
      <c r="F2945" s="16" t="n">
        <v>32.13446096</v>
      </c>
      <c r="G2945" s="16" t="n">
        <v>44.93281804</v>
      </c>
      <c r="H2945" s="18" t="n">
        <v>22</v>
      </c>
      <c r="I2945" s="18" t="n">
        <v>132</v>
      </c>
      <c r="J2945" s="19" t="n">
        <v>2</v>
      </c>
      <c r="K2945" s="19"/>
      <c r="L2945" s="19"/>
      <c r="M2945" s="19"/>
      <c r="N2945" s="19"/>
      <c r="O2945" s="19"/>
      <c r="P2945" s="19"/>
      <c r="Q2945" s="19"/>
      <c r="R2945" s="19" t="n">
        <v>2</v>
      </c>
      <c r="S2945" s="19"/>
      <c r="T2945" s="19"/>
      <c r="U2945" s="19"/>
      <c r="V2945" s="19" t="n">
        <v>18</v>
      </c>
      <c r="W2945" s="19"/>
      <c r="X2945" s="19"/>
      <c r="Y2945" s="19"/>
      <c r="Z2945" s="19"/>
      <c r="AA2945" s="19"/>
      <c r="AB2945" s="19"/>
      <c r="AC2945" s="19" t="n">
        <v>6</v>
      </c>
      <c r="AD2945" s="19"/>
      <c r="AE2945" s="19"/>
      <c r="AF2945" s="19"/>
      <c r="AG2945" s="19"/>
      <c r="AH2945" s="19" t="n">
        <v>16</v>
      </c>
      <c r="AI2945" s="19"/>
      <c r="AJ2945" s="19"/>
      <c r="AK2945" s="19"/>
      <c r="AL2945" s="19"/>
      <c r="AM2945" s="19" t="n">
        <v>10</v>
      </c>
      <c r="AN2945" s="19" t="n">
        <v>10</v>
      </c>
      <c r="AO2945" s="19" t="n">
        <v>2</v>
      </c>
      <c r="AP2945" s="19"/>
      <c r="AQ2945" s="19"/>
      <c r="AR2945" s="19"/>
      <c r="AS2945" s="20" t="str">
        <f aca="false">HYPERLINK("http://www.openstreetmap.org/?mlat=32.1345&amp;mlon=44.9328&amp;zoom=12#map=12/32.1345/44.9328","Maplink1")</f>
        <v>Maplink1</v>
      </c>
      <c r="AT2945" s="20" t="str">
        <f aca="false">HYPERLINK("https://www.google.iq/maps/search/+32.1345,44.9328/@32.1345,44.9328,14z?hl=en","Maplink2")</f>
        <v>Maplink2</v>
      </c>
      <c r="AU2945" s="20" t="str">
        <f aca="false">HYPERLINK("http://www.bing.com/maps/?lvl=14&amp;sty=h&amp;cp=32.1345~44.9328&amp;sp=point.32.1345_44.9328","Maplink3")</f>
        <v>Maplink3</v>
      </c>
    </row>
    <row r="2946" customFormat="false" ht="15" hidden="false" customHeight="true" outlineLevel="0" collapsed="false">
      <c r="A2946" s="15" t="n">
        <v>24487</v>
      </c>
      <c r="B2946" s="16" t="s">
        <v>28</v>
      </c>
      <c r="C2946" s="16" t="s">
        <v>5539</v>
      </c>
      <c r="D2946" s="16" t="s">
        <v>2103</v>
      </c>
      <c r="E2946" s="17" t="s">
        <v>79</v>
      </c>
      <c r="F2946" s="16" t="n">
        <v>32.06906694</v>
      </c>
      <c r="G2946" s="16" t="n">
        <v>44.76691553</v>
      </c>
      <c r="H2946" s="18" t="n">
        <v>40</v>
      </c>
      <c r="I2946" s="18" t="n">
        <v>240</v>
      </c>
      <c r="J2946" s="19" t="n">
        <v>3</v>
      </c>
      <c r="K2946" s="19"/>
      <c r="L2946" s="19" t="n">
        <v>9</v>
      </c>
      <c r="M2946" s="19"/>
      <c r="N2946" s="19"/>
      <c r="O2946" s="19"/>
      <c r="P2946" s="19"/>
      <c r="Q2946" s="19"/>
      <c r="R2946" s="19" t="n">
        <v>8</v>
      </c>
      <c r="S2946" s="19"/>
      <c r="T2946" s="19"/>
      <c r="U2946" s="19"/>
      <c r="V2946" s="19" t="n">
        <v>20</v>
      </c>
      <c r="W2946" s="19"/>
      <c r="X2946" s="19"/>
      <c r="Y2946" s="19"/>
      <c r="Z2946" s="19"/>
      <c r="AA2946" s="19"/>
      <c r="AB2946" s="19"/>
      <c r="AC2946" s="19" t="n">
        <v>5</v>
      </c>
      <c r="AD2946" s="19"/>
      <c r="AE2946" s="19"/>
      <c r="AF2946" s="19"/>
      <c r="AG2946" s="19" t="n">
        <v>18</v>
      </c>
      <c r="AH2946" s="19" t="n">
        <v>17</v>
      </c>
      <c r="AI2946" s="19"/>
      <c r="AJ2946" s="19"/>
      <c r="AK2946" s="19"/>
      <c r="AL2946" s="19"/>
      <c r="AM2946" s="19" t="n">
        <v>20</v>
      </c>
      <c r="AN2946" s="19" t="n">
        <v>17</v>
      </c>
      <c r="AO2946" s="19" t="n">
        <v>3</v>
      </c>
      <c r="AP2946" s="19"/>
      <c r="AQ2946" s="19"/>
      <c r="AR2946" s="19"/>
      <c r="AS2946" s="20" t="str">
        <f aca="false">HYPERLINK("http://www.openstreetmap.org/?mlat=32.0691&amp;mlon=44.7669&amp;zoom=12#map=12/32.0691/44.7669","Maplink1")</f>
        <v>Maplink1</v>
      </c>
      <c r="AT2946" s="20" t="str">
        <f aca="false">HYPERLINK("https://www.google.iq/maps/search/+32.0691,44.7669/@32.0691,44.7669,14z?hl=en","Maplink2")</f>
        <v>Maplink2</v>
      </c>
      <c r="AU2946" s="20" t="str">
        <f aca="false">HYPERLINK("http://www.bing.com/maps/?lvl=14&amp;sty=h&amp;cp=32.0691~44.7669&amp;sp=point.32.0691_44.7669","Maplink3")</f>
        <v>Maplink3</v>
      </c>
    </row>
    <row r="2947" customFormat="false" ht="15" hidden="false" customHeight="true" outlineLevel="0" collapsed="false">
      <c r="A2947" s="15" t="n">
        <v>23749</v>
      </c>
      <c r="B2947" s="16" t="s">
        <v>28</v>
      </c>
      <c r="C2947" s="16" t="s">
        <v>5539</v>
      </c>
      <c r="D2947" s="16" t="s">
        <v>5639</v>
      </c>
      <c r="E2947" s="17" t="s">
        <v>5640</v>
      </c>
      <c r="F2947" s="16" t="n">
        <v>31.98668256</v>
      </c>
      <c r="G2947" s="16" t="n">
        <v>44.93312398</v>
      </c>
      <c r="H2947" s="18" t="n">
        <v>13</v>
      </c>
      <c r="I2947" s="18" t="n">
        <v>78</v>
      </c>
      <c r="J2947" s="19" t="n">
        <v>4</v>
      </c>
      <c r="K2947" s="19"/>
      <c r="L2947" s="19" t="n">
        <v>2</v>
      </c>
      <c r="M2947" s="19"/>
      <c r="N2947" s="19"/>
      <c r="O2947" s="19"/>
      <c r="P2947" s="19"/>
      <c r="Q2947" s="19"/>
      <c r="R2947" s="19" t="n">
        <v>1</v>
      </c>
      <c r="S2947" s="19"/>
      <c r="T2947" s="19"/>
      <c r="U2947" s="19"/>
      <c r="V2947" s="19" t="n">
        <v>4</v>
      </c>
      <c r="W2947" s="19"/>
      <c r="X2947" s="19" t="n">
        <v>2</v>
      </c>
      <c r="Y2947" s="19"/>
      <c r="Z2947" s="19"/>
      <c r="AA2947" s="19"/>
      <c r="AB2947" s="19"/>
      <c r="AC2947" s="19" t="n">
        <v>4</v>
      </c>
      <c r="AD2947" s="19"/>
      <c r="AE2947" s="19"/>
      <c r="AF2947" s="19"/>
      <c r="AG2947" s="19" t="n">
        <v>3</v>
      </c>
      <c r="AH2947" s="19" t="n">
        <v>6</v>
      </c>
      <c r="AI2947" s="19"/>
      <c r="AJ2947" s="19"/>
      <c r="AK2947" s="19"/>
      <c r="AL2947" s="19"/>
      <c r="AM2947" s="19" t="n">
        <v>5</v>
      </c>
      <c r="AN2947" s="19" t="n">
        <v>4</v>
      </c>
      <c r="AO2947" s="19" t="n">
        <v>4</v>
      </c>
      <c r="AP2947" s="19"/>
      <c r="AQ2947" s="19"/>
      <c r="AR2947" s="19"/>
      <c r="AS2947" s="20" t="str">
        <f aca="false">HYPERLINK("http://www.openstreetmap.org/?mlat=31.9867&amp;mlon=44.9331&amp;zoom=12#map=12/31.9867/44.9331","Maplink1")</f>
        <v>Maplink1</v>
      </c>
      <c r="AT2947" s="20" t="str">
        <f aca="false">HYPERLINK("https://www.google.iq/maps/search/+31.9867,44.9331/@31.9867,44.9331,14z?hl=en","Maplink2")</f>
        <v>Maplink2</v>
      </c>
      <c r="AU2947" s="20" t="str">
        <f aca="false">HYPERLINK("http://www.bing.com/maps/?lvl=14&amp;sty=h&amp;cp=31.9867~44.9331&amp;sp=point.31.9867_44.9331","Maplink3")</f>
        <v>Maplink3</v>
      </c>
    </row>
    <row r="2948" customFormat="false" ht="15" hidden="false" customHeight="true" outlineLevel="0" collapsed="false">
      <c r="A2948" s="15" t="n">
        <v>25371</v>
      </c>
      <c r="B2948" s="16" t="s">
        <v>28</v>
      </c>
      <c r="C2948" s="16" t="s">
        <v>5539</v>
      </c>
      <c r="D2948" s="16" t="s">
        <v>5641</v>
      </c>
      <c r="E2948" s="17" t="s">
        <v>5642</v>
      </c>
      <c r="F2948" s="16" t="n">
        <v>31.959401</v>
      </c>
      <c r="G2948" s="16" t="n">
        <v>44.94805</v>
      </c>
      <c r="H2948" s="18" t="n">
        <v>12</v>
      </c>
      <c r="I2948" s="18" t="n">
        <v>72</v>
      </c>
      <c r="J2948" s="19" t="n">
        <v>3</v>
      </c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 t="n">
        <v>9</v>
      </c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9"/>
      <c r="AH2948" s="19" t="n">
        <v>12</v>
      </c>
      <c r="AI2948" s="19"/>
      <c r="AJ2948" s="19"/>
      <c r="AK2948" s="19"/>
      <c r="AL2948" s="19"/>
      <c r="AM2948" s="19"/>
      <c r="AN2948" s="19" t="n">
        <v>9</v>
      </c>
      <c r="AO2948" s="19"/>
      <c r="AP2948" s="19" t="n">
        <v>3</v>
      </c>
      <c r="AQ2948" s="19"/>
      <c r="AR2948" s="19"/>
      <c r="AS2948" s="20" t="str">
        <f aca="false">HYPERLINK("http://www.openstreetmap.org/?mlat=31.9594&amp;mlon=44.9481&amp;zoom=12#map=12/31.9594/44.9481","Maplink1")</f>
        <v>Maplink1</v>
      </c>
      <c r="AT2948" s="20" t="str">
        <f aca="false">HYPERLINK("https://www.google.iq/maps/search/+31.9594,44.9481/@31.9594,44.9481,14z?hl=en","Maplink2")</f>
        <v>Maplink2</v>
      </c>
      <c r="AU2948" s="20" t="str">
        <f aca="false">HYPERLINK("http://www.bing.com/maps/?lvl=14&amp;sty=h&amp;cp=31.9594~44.9481&amp;sp=point.31.9594_44.9481","Maplink3")</f>
        <v>Maplink3</v>
      </c>
    </row>
    <row r="2949" customFormat="false" ht="15" hidden="false" customHeight="true" outlineLevel="0" collapsed="false">
      <c r="A2949" s="15" t="n">
        <v>3367</v>
      </c>
      <c r="B2949" s="16" t="s">
        <v>28</v>
      </c>
      <c r="C2949" s="16" t="s">
        <v>5539</v>
      </c>
      <c r="D2949" s="16" t="s">
        <v>5643</v>
      </c>
      <c r="E2949" s="17" t="s">
        <v>5644</v>
      </c>
      <c r="F2949" s="16" t="n">
        <v>32.00269707</v>
      </c>
      <c r="G2949" s="16" t="n">
        <v>44.91658565</v>
      </c>
      <c r="H2949" s="18" t="n">
        <v>19</v>
      </c>
      <c r="I2949" s="18" t="n">
        <v>114</v>
      </c>
      <c r="J2949" s="19" t="n">
        <v>6</v>
      </c>
      <c r="K2949" s="19"/>
      <c r="L2949" s="19"/>
      <c r="M2949" s="19"/>
      <c r="N2949" s="19"/>
      <c r="O2949" s="19"/>
      <c r="P2949" s="19"/>
      <c r="Q2949" s="19"/>
      <c r="R2949" s="19" t="n">
        <v>3</v>
      </c>
      <c r="S2949" s="19"/>
      <c r="T2949" s="19"/>
      <c r="U2949" s="19"/>
      <c r="V2949" s="19" t="n">
        <v>10</v>
      </c>
      <c r="W2949" s="19"/>
      <c r="X2949" s="19"/>
      <c r="Y2949" s="19"/>
      <c r="Z2949" s="19"/>
      <c r="AA2949" s="19"/>
      <c r="AB2949" s="19"/>
      <c r="AC2949" s="19" t="n">
        <v>4</v>
      </c>
      <c r="AD2949" s="19"/>
      <c r="AE2949" s="19"/>
      <c r="AF2949" s="19"/>
      <c r="AG2949" s="19"/>
      <c r="AH2949" s="19" t="n">
        <v>15</v>
      </c>
      <c r="AI2949" s="19"/>
      <c r="AJ2949" s="19"/>
      <c r="AK2949" s="19"/>
      <c r="AL2949" s="19"/>
      <c r="AM2949" s="19" t="n">
        <v>10</v>
      </c>
      <c r="AN2949" s="19" t="n">
        <v>3</v>
      </c>
      <c r="AO2949" s="19" t="n">
        <v>6</v>
      </c>
      <c r="AP2949" s="19"/>
      <c r="AQ2949" s="19"/>
      <c r="AR2949" s="19"/>
      <c r="AS2949" s="20" t="str">
        <f aca="false">HYPERLINK("http://www.openstreetmap.org/?mlat=32.0027&amp;mlon=44.9166&amp;zoom=12#map=12/32.0027/44.9166","Maplink1")</f>
        <v>Maplink1</v>
      </c>
      <c r="AT2949" s="20" t="str">
        <f aca="false">HYPERLINK("https://www.google.iq/maps/search/+32.0027,44.9166/@32.0027,44.9166,14z?hl=en","Maplink2")</f>
        <v>Maplink2</v>
      </c>
      <c r="AU2949" s="20" t="str">
        <f aca="false">HYPERLINK("http://www.bing.com/maps/?lvl=14&amp;sty=h&amp;cp=32.0027~44.9166&amp;sp=point.32.0027_44.9166","Maplink3")</f>
        <v>Maplink3</v>
      </c>
    </row>
    <row r="2950" customFormat="false" ht="15" hidden="false" customHeight="true" outlineLevel="0" collapsed="false">
      <c r="A2950" s="15" t="n">
        <v>25507</v>
      </c>
      <c r="B2950" s="16" t="s">
        <v>28</v>
      </c>
      <c r="C2950" s="16" t="s">
        <v>5539</v>
      </c>
      <c r="D2950" s="16" t="s">
        <v>5645</v>
      </c>
      <c r="E2950" s="17" t="s">
        <v>5646</v>
      </c>
      <c r="F2950" s="16" t="n">
        <v>31.99211265</v>
      </c>
      <c r="G2950" s="16" t="n">
        <v>44.92086779</v>
      </c>
      <c r="H2950" s="18" t="n">
        <v>12</v>
      </c>
      <c r="I2950" s="18" t="n">
        <v>72</v>
      </c>
      <c r="J2950" s="19" t="n">
        <v>8</v>
      </c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 t="n">
        <v>4</v>
      </c>
      <c r="W2950" s="19"/>
      <c r="X2950" s="19"/>
      <c r="Y2950" s="19"/>
      <c r="Z2950" s="19"/>
      <c r="AA2950" s="19"/>
      <c r="AB2950" s="19"/>
      <c r="AC2950" s="19" t="n">
        <v>4</v>
      </c>
      <c r="AD2950" s="19"/>
      <c r="AE2950" s="19"/>
      <c r="AF2950" s="19"/>
      <c r="AG2950" s="19"/>
      <c r="AH2950" s="19" t="n">
        <v>8</v>
      </c>
      <c r="AI2950" s="19"/>
      <c r="AJ2950" s="19"/>
      <c r="AK2950" s="19"/>
      <c r="AL2950" s="19"/>
      <c r="AM2950" s="19" t="n">
        <v>2</v>
      </c>
      <c r="AN2950" s="19" t="n">
        <v>5</v>
      </c>
      <c r="AO2950" s="19" t="n">
        <v>2</v>
      </c>
      <c r="AP2950" s="19" t="n">
        <v>3</v>
      </c>
      <c r="AQ2950" s="19"/>
      <c r="AR2950" s="19"/>
      <c r="AS2950" s="20" t="str">
        <f aca="false">HYPERLINK("http://www.openstreetmap.org/?mlat=31.9921&amp;mlon=44.9209&amp;zoom=12#map=12/31.9921/44.9209","Maplink1")</f>
        <v>Maplink1</v>
      </c>
      <c r="AT2950" s="20" t="str">
        <f aca="false">HYPERLINK("https://www.google.iq/maps/search/+31.9921,44.9209/@31.9921,44.9209,14z?hl=en","Maplink2")</f>
        <v>Maplink2</v>
      </c>
      <c r="AU2950" s="20" t="str">
        <f aca="false">HYPERLINK("http://www.bing.com/maps/?lvl=14&amp;sty=h&amp;cp=31.9921~44.9209&amp;sp=point.31.9921_44.9209","Maplink3")</f>
        <v>Maplink3</v>
      </c>
    </row>
    <row r="2951" customFormat="false" ht="15" hidden="false" customHeight="true" outlineLevel="0" collapsed="false">
      <c r="A2951" s="15" t="n">
        <v>25510</v>
      </c>
      <c r="B2951" s="16" t="s">
        <v>28</v>
      </c>
      <c r="C2951" s="16" t="s">
        <v>5539</v>
      </c>
      <c r="D2951" s="16" t="s">
        <v>5647</v>
      </c>
      <c r="E2951" s="17" t="s">
        <v>5648</v>
      </c>
      <c r="F2951" s="16" t="n">
        <v>31.9980371</v>
      </c>
      <c r="G2951" s="16" t="n">
        <v>44.94958746</v>
      </c>
      <c r="H2951" s="18" t="n">
        <v>11</v>
      </c>
      <c r="I2951" s="18" t="n">
        <v>66</v>
      </c>
      <c r="J2951" s="19"/>
      <c r="K2951" s="19"/>
      <c r="L2951" s="19" t="n">
        <v>4</v>
      </c>
      <c r="M2951" s="19"/>
      <c r="N2951" s="19"/>
      <c r="O2951" s="19" t="n">
        <v>2</v>
      </c>
      <c r="P2951" s="19"/>
      <c r="Q2951" s="19"/>
      <c r="R2951" s="19" t="n">
        <v>4</v>
      </c>
      <c r="S2951" s="19"/>
      <c r="T2951" s="19"/>
      <c r="U2951" s="19"/>
      <c r="V2951" s="19" t="n">
        <v>1</v>
      </c>
      <c r="W2951" s="19"/>
      <c r="X2951" s="19"/>
      <c r="Y2951" s="19"/>
      <c r="Z2951" s="19"/>
      <c r="AA2951" s="19"/>
      <c r="AB2951" s="19"/>
      <c r="AC2951" s="19" t="n">
        <v>1</v>
      </c>
      <c r="AD2951" s="19"/>
      <c r="AE2951" s="19"/>
      <c r="AF2951" s="19"/>
      <c r="AG2951" s="19"/>
      <c r="AH2951" s="19" t="n">
        <v>10</v>
      </c>
      <c r="AI2951" s="19"/>
      <c r="AJ2951" s="19"/>
      <c r="AK2951" s="19"/>
      <c r="AL2951" s="19"/>
      <c r="AM2951" s="19"/>
      <c r="AN2951" s="19" t="n">
        <v>11</v>
      </c>
      <c r="AO2951" s="19"/>
      <c r="AP2951" s="19"/>
      <c r="AQ2951" s="19"/>
      <c r="AR2951" s="19"/>
      <c r="AS2951" s="20" t="str">
        <f aca="false">HYPERLINK("http://www.openstreetmap.org/?mlat=31.998&amp;mlon=44.9496&amp;zoom=12#map=12/31.998/44.9496","Maplink1")</f>
        <v>Maplink1</v>
      </c>
      <c r="AT2951" s="20" t="str">
        <f aca="false">HYPERLINK("https://www.google.iq/maps/search/+31.998,44.9496/@31.998,44.9496,14z?hl=en","Maplink2")</f>
        <v>Maplink2</v>
      </c>
      <c r="AU2951" s="20" t="str">
        <f aca="false">HYPERLINK("http://www.bing.com/maps/?lvl=14&amp;sty=h&amp;cp=31.998~44.9496&amp;sp=point.31.998_44.9496","Maplink3")</f>
        <v>Maplink3</v>
      </c>
    </row>
    <row r="2952" customFormat="false" ht="15" hidden="false" customHeight="true" outlineLevel="0" collapsed="false">
      <c r="A2952" s="15" t="n">
        <v>23715</v>
      </c>
      <c r="B2952" s="16" t="s">
        <v>28</v>
      </c>
      <c r="C2952" s="16" t="s">
        <v>5539</v>
      </c>
      <c r="D2952" s="16" t="s">
        <v>5649</v>
      </c>
      <c r="E2952" s="17" t="s">
        <v>5650</v>
      </c>
      <c r="F2952" s="16" t="n">
        <v>32.01605044</v>
      </c>
      <c r="G2952" s="16" t="n">
        <v>44.91668665</v>
      </c>
      <c r="H2952" s="18" t="n">
        <v>45</v>
      </c>
      <c r="I2952" s="18" t="n">
        <v>270</v>
      </c>
      <c r="J2952" s="19" t="n">
        <v>26</v>
      </c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 t="n">
        <v>17</v>
      </c>
      <c r="W2952" s="19"/>
      <c r="X2952" s="19" t="n">
        <v>2</v>
      </c>
      <c r="Y2952" s="19"/>
      <c r="Z2952" s="19"/>
      <c r="AA2952" s="19"/>
      <c r="AB2952" s="19"/>
      <c r="AC2952" s="19" t="n">
        <v>14</v>
      </c>
      <c r="AD2952" s="19"/>
      <c r="AE2952" s="19"/>
      <c r="AF2952" s="19"/>
      <c r="AG2952" s="19" t="n">
        <v>4</v>
      </c>
      <c r="AH2952" s="19" t="n">
        <v>27</v>
      </c>
      <c r="AI2952" s="19"/>
      <c r="AJ2952" s="19"/>
      <c r="AK2952" s="19"/>
      <c r="AL2952" s="19" t="n">
        <v>5</v>
      </c>
      <c r="AM2952" s="19" t="n">
        <v>13</v>
      </c>
      <c r="AN2952" s="19" t="n">
        <v>6</v>
      </c>
      <c r="AO2952" s="19" t="n">
        <v>21</v>
      </c>
      <c r="AP2952" s="19"/>
      <c r="AQ2952" s="19"/>
      <c r="AR2952" s="19"/>
      <c r="AS2952" s="20" t="str">
        <f aca="false">HYPERLINK("http://www.openstreetmap.org/?mlat=32.0161&amp;mlon=44.9167&amp;zoom=12#map=12/32.0161/44.9167","Maplink1")</f>
        <v>Maplink1</v>
      </c>
      <c r="AT2952" s="20" t="str">
        <f aca="false">HYPERLINK("https://www.google.iq/maps/search/+32.0161,44.9167/@32.0161,44.9167,14z?hl=en","Maplink2")</f>
        <v>Maplink2</v>
      </c>
      <c r="AU2952" s="20" t="str">
        <f aca="false">HYPERLINK("http://www.bing.com/maps/?lvl=14&amp;sty=h&amp;cp=32.0161~44.9167&amp;sp=point.32.0161_44.9167","Maplink3")</f>
        <v>Maplink3</v>
      </c>
    </row>
    <row r="2953" customFormat="false" ht="15" hidden="false" customHeight="true" outlineLevel="0" collapsed="false">
      <c r="A2953" s="15" t="n">
        <v>25070</v>
      </c>
      <c r="B2953" s="16" t="s">
        <v>28</v>
      </c>
      <c r="C2953" s="16" t="s">
        <v>5539</v>
      </c>
      <c r="D2953" s="16" t="s">
        <v>4419</v>
      </c>
      <c r="E2953" s="17" t="s">
        <v>572</v>
      </c>
      <c r="F2953" s="16" t="n">
        <v>32.07455923</v>
      </c>
      <c r="G2953" s="16" t="n">
        <v>44.76552062</v>
      </c>
      <c r="H2953" s="18" t="n">
        <v>26</v>
      </c>
      <c r="I2953" s="18" t="n">
        <v>156</v>
      </c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 t="n">
        <v>26</v>
      </c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9" t="n">
        <v>26</v>
      </c>
      <c r="AH2953" s="19"/>
      <c r="AI2953" s="19"/>
      <c r="AJ2953" s="19"/>
      <c r="AK2953" s="19"/>
      <c r="AL2953" s="19"/>
      <c r="AM2953" s="19"/>
      <c r="AN2953" s="19" t="n">
        <v>26</v>
      </c>
      <c r="AO2953" s="19"/>
      <c r="AP2953" s="19"/>
      <c r="AQ2953" s="19"/>
      <c r="AR2953" s="19"/>
      <c r="AS2953" s="20" t="str">
        <f aca="false">HYPERLINK("http://www.openstreetmap.org/?mlat=32.0746&amp;mlon=44.7655&amp;zoom=12#map=12/32.0746/44.7655","Maplink1")</f>
        <v>Maplink1</v>
      </c>
      <c r="AT2953" s="20" t="str">
        <f aca="false">HYPERLINK("https://www.google.iq/maps/search/+32.0746,44.7655/@32.0746,44.7655,14z?hl=en","Maplink2")</f>
        <v>Maplink2</v>
      </c>
      <c r="AU2953" s="20" t="str">
        <f aca="false">HYPERLINK("http://www.bing.com/maps/?lvl=14&amp;sty=h&amp;cp=32.0746~44.7655&amp;sp=point.32.0746_44.7655","Maplink3")</f>
        <v>Maplink3</v>
      </c>
    </row>
    <row r="2954" customFormat="false" ht="15" hidden="false" customHeight="true" outlineLevel="0" collapsed="false">
      <c r="A2954" s="15" t="n">
        <v>3382</v>
      </c>
      <c r="B2954" s="16" t="s">
        <v>28</v>
      </c>
      <c r="C2954" s="16" t="s">
        <v>5539</v>
      </c>
      <c r="D2954" s="16" t="s">
        <v>5651</v>
      </c>
      <c r="E2954" s="17" t="s">
        <v>572</v>
      </c>
      <c r="F2954" s="16" t="n">
        <v>31.96902654</v>
      </c>
      <c r="G2954" s="16" t="n">
        <v>44.88500699</v>
      </c>
      <c r="H2954" s="18" t="n">
        <v>41</v>
      </c>
      <c r="I2954" s="18" t="n">
        <v>246</v>
      </c>
      <c r="J2954" s="19" t="n">
        <v>9</v>
      </c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 t="n">
        <v>32</v>
      </c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9" t="n">
        <v>9</v>
      </c>
      <c r="AH2954" s="19" t="n">
        <v>11</v>
      </c>
      <c r="AI2954" s="19"/>
      <c r="AJ2954" s="19" t="n">
        <v>21</v>
      </c>
      <c r="AK2954" s="19"/>
      <c r="AL2954" s="19"/>
      <c r="AM2954" s="19" t="n">
        <v>29</v>
      </c>
      <c r="AN2954" s="19" t="n">
        <v>3</v>
      </c>
      <c r="AO2954" s="19" t="n">
        <v>9</v>
      </c>
      <c r="AP2954" s="19"/>
      <c r="AQ2954" s="19"/>
      <c r="AR2954" s="19"/>
      <c r="AS2954" s="20" t="str">
        <f aca="false">HYPERLINK("http://www.openstreetmap.org/?mlat=31.969&amp;mlon=44.885&amp;zoom=12#map=12/31.969/44.885","Maplink1")</f>
        <v>Maplink1</v>
      </c>
      <c r="AT2954" s="20" t="str">
        <f aca="false">HYPERLINK("https://www.google.iq/maps/search/+31.969,44.885/@31.969,44.885,14z?hl=en","Maplink2")</f>
        <v>Maplink2</v>
      </c>
      <c r="AU2954" s="20" t="str">
        <f aca="false">HYPERLINK("http://www.bing.com/maps/?lvl=14&amp;sty=h&amp;cp=31.969~44.885&amp;sp=point.31.969_44.885","Maplink3")</f>
        <v>Maplink3</v>
      </c>
    </row>
    <row r="2955" customFormat="false" ht="15" hidden="false" customHeight="true" outlineLevel="0" collapsed="false">
      <c r="A2955" s="15" t="n">
        <v>25074</v>
      </c>
      <c r="B2955" s="16" t="s">
        <v>28</v>
      </c>
      <c r="C2955" s="16" t="s">
        <v>5539</v>
      </c>
      <c r="D2955" s="16" t="s">
        <v>5652</v>
      </c>
      <c r="E2955" s="17" t="s">
        <v>2668</v>
      </c>
      <c r="F2955" s="16" t="n">
        <v>31.9664217</v>
      </c>
      <c r="G2955" s="16" t="n">
        <v>44.88021364</v>
      </c>
      <c r="H2955" s="18" t="n">
        <v>25</v>
      </c>
      <c r="I2955" s="18" t="n">
        <v>150</v>
      </c>
      <c r="J2955" s="19" t="n">
        <v>3</v>
      </c>
      <c r="K2955" s="19" t="n">
        <v>1</v>
      </c>
      <c r="L2955" s="19"/>
      <c r="M2955" s="19"/>
      <c r="N2955" s="19"/>
      <c r="O2955" s="19"/>
      <c r="P2955" s="19"/>
      <c r="Q2955" s="19"/>
      <c r="R2955" s="19" t="n">
        <v>13</v>
      </c>
      <c r="S2955" s="19"/>
      <c r="T2955" s="19"/>
      <c r="U2955" s="19"/>
      <c r="V2955" s="19" t="n">
        <v>8</v>
      </c>
      <c r="W2955" s="19"/>
      <c r="X2955" s="19"/>
      <c r="Y2955" s="19"/>
      <c r="Z2955" s="19"/>
      <c r="AA2955" s="19"/>
      <c r="AB2955" s="19"/>
      <c r="AC2955" s="19" t="n">
        <v>5</v>
      </c>
      <c r="AD2955" s="19"/>
      <c r="AE2955" s="19"/>
      <c r="AF2955" s="19"/>
      <c r="AG2955" s="19"/>
      <c r="AH2955" s="19" t="n">
        <v>20</v>
      </c>
      <c r="AI2955" s="19"/>
      <c r="AJ2955" s="19"/>
      <c r="AK2955" s="19"/>
      <c r="AL2955" s="19" t="n">
        <v>1</v>
      </c>
      <c r="AM2955" s="19" t="n">
        <v>14</v>
      </c>
      <c r="AN2955" s="19" t="n">
        <v>7</v>
      </c>
      <c r="AO2955" s="19" t="n">
        <v>1</v>
      </c>
      <c r="AP2955" s="19" t="n">
        <v>2</v>
      </c>
      <c r="AQ2955" s="19"/>
      <c r="AR2955" s="19"/>
      <c r="AS2955" s="20" t="str">
        <f aca="false">HYPERLINK("http://www.openstreetmap.org/?mlat=31.9664&amp;mlon=44.8802&amp;zoom=12#map=12/31.9664/44.8802","Maplink1")</f>
        <v>Maplink1</v>
      </c>
      <c r="AT2955" s="20" t="str">
        <f aca="false">HYPERLINK("https://www.google.iq/maps/search/+31.9664,44.8802/@31.9664,44.8802,14z?hl=en","Maplink2")</f>
        <v>Maplink2</v>
      </c>
      <c r="AU2955" s="20" t="str">
        <f aca="false">HYPERLINK("http://www.bing.com/maps/?lvl=14&amp;sty=h&amp;cp=31.9664~44.8802&amp;sp=point.31.9664_44.8802","Maplink3")</f>
        <v>Maplink3</v>
      </c>
    </row>
    <row r="2956" customFormat="false" ht="15" hidden="false" customHeight="true" outlineLevel="0" collapsed="false">
      <c r="A2956" s="15" t="n">
        <v>3209</v>
      </c>
      <c r="B2956" s="16" t="s">
        <v>28</v>
      </c>
      <c r="C2956" s="16" t="s">
        <v>5539</v>
      </c>
      <c r="D2956" s="16" t="s">
        <v>5653</v>
      </c>
      <c r="E2956" s="17" t="s">
        <v>351</v>
      </c>
      <c r="F2956" s="16" t="n">
        <v>31.9921466</v>
      </c>
      <c r="G2956" s="16" t="n">
        <v>44.89370615</v>
      </c>
      <c r="H2956" s="18" t="n">
        <v>28</v>
      </c>
      <c r="I2956" s="18" t="n">
        <v>168</v>
      </c>
      <c r="J2956" s="19" t="n">
        <v>8</v>
      </c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 t="n">
        <v>20</v>
      </c>
      <c r="W2956" s="19"/>
      <c r="X2956" s="19"/>
      <c r="Y2956" s="19"/>
      <c r="Z2956" s="19"/>
      <c r="AA2956" s="19"/>
      <c r="AB2956" s="19"/>
      <c r="AC2956" s="19" t="n">
        <v>5</v>
      </c>
      <c r="AD2956" s="19"/>
      <c r="AE2956" s="19"/>
      <c r="AF2956" s="19"/>
      <c r="AG2956" s="19" t="n">
        <v>12</v>
      </c>
      <c r="AH2956" s="19" t="n">
        <v>11</v>
      </c>
      <c r="AI2956" s="19"/>
      <c r="AJ2956" s="19"/>
      <c r="AK2956" s="19"/>
      <c r="AL2956" s="19"/>
      <c r="AM2956" s="19" t="n">
        <v>19</v>
      </c>
      <c r="AN2956" s="19" t="n">
        <v>6</v>
      </c>
      <c r="AO2956" s="19" t="n">
        <v>1</v>
      </c>
      <c r="AP2956" s="19" t="n">
        <v>2</v>
      </c>
      <c r="AQ2956" s="19"/>
      <c r="AR2956" s="19"/>
      <c r="AS2956" s="20" t="str">
        <f aca="false">HYPERLINK("http://www.openstreetmap.org/?mlat=31.9921&amp;mlon=44.8937&amp;zoom=12#map=12/31.9921/44.8937","Maplink1")</f>
        <v>Maplink1</v>
      </c>
      <c r="AT2956" s="20" t="str">
        <f aca="false">HYPERLINK("https://www.google.iq/maps/search/+31.9921,44.8937/@31.9921,44.8937,14z?hl=en","Maplink2")</f>
        <v>Maplink2</v>
      </c>
      <c r="AU2956" s="20" t="str">
        <f aca="false">HYPERLINK("http://www.bing.com/maps/?lvl=14&amp;sty=h&amp;cp=31.9921~44.8937&amp;sp=point.31.9921_44.8937","Maplink3")</f>
        <v>Maplink3</v>
      </c>
    </row>
    <row r="2957" customFormat="false" ht="15" hidden="false" customHeight="true" outlineLevel="0" collapsed="false">
      <c r="A2957" s="15" t="n">
        <v>25287</v>
      </c>
      <c r="B2957" s="16" t="s">
        <v>28</v>
      </c>
      <c r="C2957" s="16" t="s">
        <v>5539</v>
      </c>
      <c r="D2957" s="16" t="s">
        <v>5654</v>
      </c>
      <c r="E2957" s="17" t="s">
        <v>5655</v>
      </c>
      <c r="F2957" s="16" t="n">
        <v>31.9872418</v>
      </c>
      <c r="G2957" s="16" t="n">
        <v>44.93826075</v>
      </c>
      <c r="H2957" s="18" t="n">
        <v>12</v>
      </c>
      <c r="I2957" s="18" t="n">
        <v>72</v>
      </c>
      <c r="J2957" s="19" t="n">
        <v>4</v>
      </c>
      <c r="K2957" s="19"/>
      <c r="L2957" s="19"/>
      <c r="M2957" s="19"/>
      <c r="N2957" s="19"/>
      <c r="O2957" s="19" t="n">
        <v>1</v>
      </c>
      <c r="P2957" s="19"/>
      <c r="Q2957" s="19"/>
      <c r="R2957" s="19"/>
      <c r="S2957" s="19"/>
      <c r="T2957" s="19"/>
      <c r="U2957" s="19"/>
      <c r="V2957" s="19" t="n">
        <v>7</v>
      </c>
      <c r="W2957" s="19"/>
      <c r="X2957" s="19"/>
      <c r="Y2957" s="19"/>
      <c r="Z2957" s="19"/>
      <c r="AA2957" s="19"/>
      <c r="AB2957" s="19"/>
      <c r="AC2957" s="19" t="n">
        <v>1</v>
      </c>
      <c r="AD2957" s="19"/>
      <c r="AE2957" s="19"/>
      <c r="AF2957" s="19"/>
      <c r="AG2957" s="19" t="n">
        <v>3</v>
      </c>
      <c r="AH2957" s="19" t="n">
        <v>8</v>
      </c>
      <c r="AI2957" s="19"/>
      <c r="AJ2957" s="19"/>
      <c r="AK2957" s="19"/>
      <c r="AL2957" s="19"/>
      <c r="AM2957" s="19" t="n">
        <v>4</v>
      </c>
      <c r="AN2957" s="19" t="n">
        <v>8</v>
      </c>
      <c r="AO2957" s="19"/>
      <c r="AP2957" s="19"/>
      <c r="AQ2957" s="19"/>
      <c r="AR2957" s="19"/>
      <c r="AS2957" s="20" t="str">
        <f aca="false">HYPERLINK("http://www.openstreetmap.org/?mlat=31.9872&amp;mlon=44.9383&amp;zoom=12#map=12/31.9872/44.9383","Maplink1")</f>
        <v>Maplink1</v>
      </c>
      <c r="AT2957" s="20" t="str">
        <f aca="false">HYPERLINK("https://www.google.iq/maps/search/+31.9872,44.9383/@31.9872,44.9383,14z?hl=en","Maplink2")</f>
        <v>Maplink2</v>
      </c>
      <c r="AU2957" s="20" t="str">
        <f aca="false">HYPERLINK("http://www.bing.com/maps/?lvl=14&amp;sty=h&amp;cp=31.9872~44.9383&amp;sp=point.31.9872_44.9383","Maplink3")</f>
        <v>Maplink3</v>
      </c>
    </row>
    <row r="2958" customFormat="false" ht="15" hidden="false" customHeight="true" outlineLevel="0" collapsed="false">
      <c r="A2958" s="15" t="n">
        <v>25372</v>
      </c>
      <c r="B2958" s="16" t="s">
        <v>28</v>
      </c>
      <c r="C2958" s="16" t="s">
        <v>5539</v>
      </c>
      <c r="D2958" s="16" t="s">
        <v>5656</v>
      </c>
      <c r="E2958" s="17" t="s">
        <v>5657</v>
      </c>
      <c r="F2958" s="16" t="n">
        <v>31.96684347</v>
      </c>
      <c r="G2958" s="16" t="n">
        <v>44.96395363</v>
      </c>
      <c r="H2958" s="18" t="n">
        <v>14</v>
      </c>
      <c r="I2958" s="18" t="n">
        <v>84</v>
      </c>
      <c r="J2958" s="19"/>
      <c r="K2958" s="19"/>
      <c r="L2958" s="19"/>
      <c r="M2958" s="19"/>
      <c r="N2958" s="19"/>
      <c r="O2958" s="19" t="n">
        <v>2</v>
      </c>
      <c r="P2958" s="19"/>
      <c r="Q2958" s="19"/>
      <c r="R2958" s="19" t="n">
        <v>5</v>
      </c>
      <c r="S2958" s="19"/>
      <c r="T2958" s="19"/>
      <c r="U2958" s="19"/>
      <c r="V2958" s="19" t="n">
        <v>7</v>
      </c>
      <c r="W2958" s="19"/>
      <c r="X2958" s="19"/>
      <c r="Y2958" s="19"/>
      <c r="Z2958" s="19"/>
      <c r="AA2958" s="19"/>
      <c r="AB2958" s="19"/>
      <c r="AC2958" s="19"/>
      <c r="AD2958" s="19"/>
      <c r="AE2958" s="19" t="n">
        <v>2</v>
      </c>
      <c r="AF2958" s="19"/>
      <c r="AG2958" s="19"/>
      <c r="AH2958" s="19" t="n">
        <v>12</v>
      </c>
      <c r="AI2958" s="19"/>
      <c r="AJ2958" s="19"/>
      <c r="AK2958" s="19"/>
      <c r="AL2958" s="19"/>
      <c r="AM2958" s="19" t="n">
        <v>9</v>
      </c>
      <c r="AN2958" s="19" t="n">
        <v>5</v>
      </c>
      <c r="AO2958" s="19"/>
      <c r="AP2958" s="19"/>
      <c r="AQ2958" s="19"/>
      <c r="AR2958" s="19"/>
      <c r="AS2958" s="20" t="str">
        <f aca="false">HYPERLINK("http://www.openstreetmap.org/?mlat=31.9668&amp;mlon=44.964&amp;zoom=12#map=12/31.9668/44.964","Maplink1")</f>
        <v>Maplink1</v>
      </c>
      <c r="AT2958" s="20" t="str">
        <f aca="false">HYPERLINK("https://www.google.iq/maps/search/+31.9668,44.964/@31.9668,44.964,14z?hl=en","Maplink2")</f>
        <v>Maplink2</v>
      </c>
      <c r="AU2958" s="20" t="str">
        <f aca="false">HYPERLINK("http://www.bing.com/maps/?lvl=14&amp;sty=h&amp;cp=31.9668~44.964&amp;sp=point.31.9668_44.964","Maplink3")</f>
        <v>Maplink3</v>
      </c>
    </row>
    <row r="2959" customFormat="false" ht="15" hidden="false" customHeight="true" outlineLevel="0" collapsed="false">
      <c r="A2959" s="15" t="n">
        <v>21783</v>
      </c>
      <c r="B2959" s="16" t="s">
        <v>28</v>
      </c>
      <c r="C2959" s="16" t="s">
        <v>5539</v>
      </c>
      <c r="D2959" s="16" t="s">
        <v>5658</v>
      </c>
      <c r="E2959" s="17" t="s">
        <v>5659</v>
      </c>
      <c r="F2959" s="16" t="n">
        <v>31.99698945</v>
      </c>
      <c r="G2959" s="16" t="n">
        <v>44.95104164</v>
      </c>
      <c r="H2959" s="18" t="n">
        <v>39</v>
      </c>
      <c r="I2959" s="18" t="n">
        <v>234</v>
      </c>
      <c r="J2959" s="19"/>
      <c r="K2959" s="19"/>
      <c r="L2959" s="19"/>
      <c r="M2959" s="19"/>
      <c r="N2959" s="19"/>
      <c r="O2959" s="19"/>
      <c r="P2959" s="19"/>
      <c r="Q2959" s="19"/>
      <c r="R2959" s="19" t="n">
        <v>11</v>
      </c>
      <c r="S2959" s="19"/>
      <c r="T2959" s="19"/>
      <c r="U2959" s="19"/>
      <c r="V2959" s="19" t="n">
        <v>28</v>
      </c>
      <c r="W2959" s="19"/>
      <c r="X2959" s="19"/>
      <c r="Y2959" s="19"/>
      <c r="Z2959" s="19"/>
      <c r="AA2959" s="19"/>
      <c r="AB2959" s="19"/>
      <c r="AC2959" s="19" t="n">
        <v>11</v>
      </c>
      <c r="AD2959" s="19"/>
      <c r="AE2959" s="19"/>
      <c r="AF2959" s="19"/>
      <c r="AG2959" s="19" t="n">
        <v>10</v>
      </c>
      <c r="AH2959" s="19" t="n">
        <v>14</v>
      </c>
      <c r="AI2959" s="19"/>
      <c r="AJ2959" s="19" t="n">
        <v>4</v>
      </c>
      <c r="AK2959" s="19"/>
      <c r="AL2959" s="19"/>
      <c r="AM2959" s="19" t="n">
        <v>11</v>
      </c>
      <c r="AN2959" s="19" t="n">
        <v>28</v>
      </c>
      <c r="AO2959" s="19"/>
      <c r="AP2959" s="19"/>
      <c r="AQ2959" s="19"/>
      <c r="AR2959" s="19"/>
      <c r="AS2959" s="20" t="str">
        <f aca="false">HYPERLINK("http://www.openstreetmap.org/?mlat=31.997&amp;mlon=44.951&amp;zoom=12#map=12/31.997/44.951","Maplink1")</f>
        <v>Maplink1</v>
      </c>
      <c r="AT2959" s="20" t="str">
        <f aca="false">HYPERLINK("https://www.google.iq/maps/search/+31.997,44.951/@31.997,44.951,14z?hl=en","Maplink2")</f>
        <v>Maplink2</v>
      </c>
      <c r="AU2959" s="20" t="str">
        <f aca="false">HYPERLINK("http://www.bing.com/maps/?lvl=14&amp;sty=h&amp;cp=31.997~44.951&amp;sp=point.31.997_44.951","Maplink3")</f>
        <v>Maplink3</v>
      </c>
    </row>
    <row r="2960" customFormat="false" ht="15" hidden="false" customHeight="true" outlineLevel="0" collapsed="false">
      <c r="A2960" s="15" t="n">
        <v>25791</v>
      </c>
      <c r="B2960" s="16" t="s">
        <v>28</v>
      </c>
      <c r="C2960" s="16" t="s">
        <v>5539</v>
      </c>
      <c r="D2960" s="16" t="s">
        <v>5660</v>
      </c>
      <c r="E2960" s="17" t="s">
        <v>230</v>
      </c>
      <c r="F2960" s="16" t="n">
        <v>32.13217957</v>
      </c>
      <c r="G2960" s="16" t="n">
        <v>44.93129237</v>
      </c>
      <c r="H2960" s="18" t="n">
        <v>7</v>
      </c>
      <c r="I2960" s="18" t="n">
        <v>42</v>
      </c>
      <c r="J2960" s="19" t="n">
        <v>7</v>
      </c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 t="n">
        <v>4</v>
      </c>
      <c r="AD2960" s="19"/>
      <c r="AE2960" s="19"/>
      <c r="AF2960" s="19"/>
      <c r="AG2960" s="19"/>
      <c r="AH2960" s="19" t="n">
        <v>3</v>
      </c>
      <c r="AI2960" s="19"/>
      <c r="AJ2960" s="19"/>
      <c r="AK2960" s="19"/>
      <c r="AL2960" s="19"/>
      <c r="AM2960" s="19"/>
      <c r="AN2960" s="19"/>
      <c r="AO2960" s="19" t="n">
        <v>4</v>
      </c>
      <c r="AP2960" s="19" t="n">
        <v>3</v>
      </c>
      <c r="AQ2960" s="19"/>
      <c r="AR2960" s="19"/>
      <c r="AS2960" s="20" t="str">
        <f aca="false">HYPERLINK("http://www.openstreetmap.org/?mlat=32.1322&amp;mlon=44.9313&amp;zoom=12#map=12/32.1322/44.9313","Maplink1")</f>
        <v>Maplink1</v>
      </c>
      <c r="AT2960" s="20" t="str">
        <f aca="false">HYPERLINK("https://www.google.iq/maps/search/+32.1322,44.9313/@32.1322,44.9313,14z?hl=en","Maplink2")</f>
        <v>Maplink2</v>
      </c>
      <c r="AU2960" s="20" t="str">
        <f aca="false">HYPERLINK("http://www.bing.com/maps/?lvl=14&amp;sty=h&amp;cp=32.1322~44.9313&amp;sp=point.32.1322_44.9313","Maplink3")</f>
        <v>Maplink3</v>
      </c>
    </row>
    <row r="2961" customFormat="false" ht="15" hidden="false" customHeight="true" outlineLevel="0" collapsed="false">
      <c r="A2961" s="15" t="n">
        <v>25958</v>
      </c>
      <c r="B2961" s="16" t="s">
        <v>28</v>
      </c>
      <c r="C2961" s="16" t="s">
        <v>5539</v>
      </c>
      <c r="D2961" s="16" t="s">
        <v>5661</v>
      </c>
      <c r="E2961" s="17" t="s">
        <v>230</v>
      </c>
      <c r="F2961" s="16" t="n">
        <v>31.99112291</v>
      </c>
      <c r="G2961" s="16" t="n">
        <v>44.95653396</v>
      </c>
      <c r="H2961" s="18" t="n">
        <v>16</v>
      </c>
      <c r="I2961" s="18" t="n">
        <v>96</v>
      </c>
      <c r="J2961" s="19"/>
      <c r="K2961" s="19"/>
      <c r="L2961" s="19"/>
      <c r="M2961" s="19"/>
      <c r="N2961" s="19"/>
      <c r="O2961" s="19"/>
      <c r="P2961" s="19"/>
      <c r="Q2961" s="19"/>
      <c r="R2961" s="19" t="n">
        <v>7</v>
      </c>
      <c r="S2961" s="19"/>
      <c r="T2961" s="19"/>
      <c r="U2961" s="19"/>
      <c r="V2961" s="19" t="n">
        <v>9</v>
      </c>
      <c r="W2961" s="19"/>
      <c r="X2961" s="19"/>
      <c r="Y2961" s="19"/>
      <c r="Z2961" s="19"/>
      <c r="AA2961" s="19"/>
      <c r="AB2961" s="19"/>
      <c r="AC2961" s="19" t="n">
        <v>3</v>
      </c>
      <c r="AD2961" s="19"/>
      <c r="AE2961" s="19"/>
      <c r="AF2961" s="19"/>
      <c r="AG2961" s="19" t="n">
        <v>8</v>
      </c>
      <c r="AH2961" s="19" t="n">
        <v>5</v>
      </c>
      <c r="AI2961" s="19"/>
      <c r="AJ2961" s="19"/>
      <c r="AK2961" s="19"/>
      <c r="AL2961" s="19"/>
      <c r="AM2961" s="19" t="n">
        <v>7</v>
      </c>
      <c r="AN2961" s="19" t="n">
        <v>9</v>
      </c>
      <c r="AO2961" s="19"/>
      <c r="AP2961" s="19"/>
      <c r="AQ2961" s="19"/>
      <c r="AR2961" s="19"/>
      <c r="AS2961" s="20" t="str">
        <f aca="false">HYPERLINK("http://www.openstreetmap.org/?mlat=31.9911&amp;mlon=44.9565&amp;zoom=12#map=12/31.9911/44.9565","Maplink1")</f>
        <v>Maplink1</v>
      </c>
      <c r="AT2961" s="20" t="str">
        <f aca="false">HYPERLINK("https://www.google.iq/maps/search/+31.9911,44.9565/@31.9911,44.9565,14z?hl=en","Maplink2")</f>
        <v>Maplink2</v>
      </c>
      <c r="AU2961" s="20" t="str">
        <f aca="false">HYPERLINK("http://www.bing.com/maps/?lvl=14&amp;sty=h&amp;cp=31.9911~44.9565&amp;sp=point.31.9911_44.9565","Maplink3")</f>
        <v>Maplink3</v>
      </c>
    </row>
    <row r="2962" customFormat="false" ht="15" hidden="false" customHeight="true" outlineLevel="0" collapsed="false">
      <c r="A2962" s="15" t="n">
        <v>25512</v>
      </c>
      <c r="B2962" s="16" t="s">
        <v>28</v>
      </c>
      <c r="C2962" s="16" t="s">
        <v>5539</v>
      </c>
      <c r="D2962" s="16" t="s">
        <v>5662</v>
      </c>
      <c r="E2962" s="17" t="s">
        <v>5663</v>
      </c>
      <c r="F2962" s="16" t="n">
        <v>31.98555071</v>
      </c>
      <c r="G2962" s="16" t="n">
        <v>44.93031244</v>
      </c>
      <c r="H2962" s="18" t="n">
        <v>15</v>
      </c>
      <c r="I2962" s="18" t="n">
        <v>90</v>
      </c>
      <c r="J2962" s="19" t="n">
        <v>6</v>
      </c>
      <c r="K2962" s="19"/>
      <c r="L2962" s="19" t="n">
        <v>4</v>
      </c>
      <c r="M2962" s="19"/>
      <c r="N2962" s="19"/>
      <c r="O2962" s="19"/>
      <c r="P2962" s="19"/>
      <c r="Q2962" s="19"/>
      <c r="R2962" s="19"/>
      <c r="S2962" s="19"/>
      <c r="T2962" s="19"/>
      <c r="U2962" s="19"/>
      <c r="V2962" s="19" t="n">
        <v>3</v>
      </c>
      <c r="W2962" s="19"/>
      <c r="X2962" s="19" t="n">
        <v>2</v>
      </c>
      <c r="Y2962" s="19"/>
      <c r="Z2962" s="19"/>
      <c r="AA2962" s="19"/>
      <c r="AB2962" s="19"/>
      <c r="AC2962" s="19"/>
      <c r="AD2962" s="19"/>
      <c r="AE2962" s="19"/>
      <c r="AF2962" s="19"/>
      <c r="AG2962" s="19"/>
      <c r="AH2962" s="19" t="n">
        <v>15</v>
      </c>
      <c r="AI2962" s="19"/>
      <c r="AJ2962" s="19"/>
      <c r="AK2962" s="19"/>
      <c r="AL2962" s="19"/>
      <c r="AM2962" s="19" t="n">
        <v>6</v>
      </c>
      <c r="AN2962" s="19" t="n">
        <v>3</v>
      </c>
      <c r="AO2962" s="19" t="n">
        <v>6</v>
      </c>
      <c r="AP2962" s="19"/>
      <c r="AQ2962" s="19"/>
      <c r="AR2962" s="19"/>
      <c r="AS2962" s="20" t="str">
        <f aca="false">HYPERLINK("http://www.openstreetmap.org/?mlat=31.9856&amp;mlon=44.9303&amp;zoom=12#map=12/31.9856/44.9303","Maplink1")</f>
        <v>Maplink1</v>
      </c>
      <c r="AT2962" s="20" t="str">
        <f aca="false">HYPERLINK("https://www.google.iq/maps/search/+31.9856,44.9303/@31.9856,44.9303,14z?hl=en","Maplink2")</f>
        <v>Maplink2</v>
      </c>
      <c r="AU2962" s="20" t="str">
        <f aca="false">HYPERLINK("http://www.bing.com/maps/?lvl=14&amp;sty=h&amp;cp=31.9856~44.9303&amp;sp=point.31.9856_44.9303","Maplink3")</f>
        <v>Maplink3</v>
      </c>
    </row>
    <row r="2963" customFormat="false" ht="15" hidden="false" customHeight="true" outlineLevel="0" collapsed="false">
      <c r="A2963" s="15" t="n">
        <v>24307</v>
      </c>
      <c r="B2963" s="16" t="s">
        <v>28</v>
      </c>
      <c r="C2963" s="16" t="s">
        <v>5539</v>
      </c>
      <c r="D2963" s="16" t="s">
        <v>4112</v>
      </c>
      <c r="E2963" s="17" t="s">
        <v>4113</v>
      </c>
      <c r="F2963" s="16" t="n">
        <v>31.9812795</v>
      </c>
      <c r="G2963" s="16" t="n">
        <v>44.90217338</v>
      </c>
      <c r="H2963" s="18" t="n">
        <v>29</v>
      </c>
      <c r="I2963" s="18" t="n">
        <v>174</v>
      </c>
      <c r="J2963" s="19" t="n">
        <v>1</v>
      </c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 t="n">
        <v>28</v>
      </c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9" t="n">
        <v>24</v>
      </c>
      <c r="AH2963" s="19" t="n">
        <v>3</v>
      </c>
      <c r="AI2963" s="19"/>
      <c r="AJ2963" s="19" t="n">
        <v>2</v>
      </c>
      <c r="AK2963" s="19"/>
      <c r="AL2963" s="19"/>
      <c r="AM2963" s="19" t="n">
        <v>10</v>
      </c>
      <c r="AN2963" s="19" t="n">
        <v>18</v>
      </c>
      <c r="AO2963" s="19"/>
      <c r="AP2963" s="19" t="n">
        <v>1</v>
      </c>
      <c r="AQ2963" s="19"/>
      <c r="AR2963" s="19"/>
      <c r="AS2963" s="20" t="str">
        <f aca="false">HYPERLINK("http://www.openstreetmap.org/?mlat=31.9813&amp;mlon=44.9022&amp;zoom=12#map=12/31.9813/44.9022","Maplink1")</f>
        <v>Maplink1</v>
      </c>
      <c r="AT2963" s="20" t="str">
        <f aca="false">HYPERLINK("https://www.google.iq/maps/search/+31.9813,44.9022/@31.9813,44.9022,14z?hl=en","Maplink2")</f>
        <v>Maplink2</v>
      </c>
      <c r="AU2963" s="20" t="str">
        <f aca="false">HYPERLINK("http://www.bing.com/maps/?lvl=14&amp;sty=h&amp;cp=31.9813~44.9022&amp;sp=point.31.9813_44.9022","Maplink3")</f>
        <v>Maplink3</v>
      </c>
    </row>
    <row r="2964" customFormat="false" ht="15" hidden="false" customHeight="true" outlineLevel="0" collapsed="false">
      <c r="A2964" s="15" t="n">
        <v>25516</v>
      </c>
      <c r="B2964" s="16" t="s">
        <v>28</v>
      </c>
      <c r="C2964" s="16" t="s">
        <v>5539</v>
      </c>
      <c r="D2964" s="16" t="s">
        <v>5664</v>
      </c>
      <c r="E2964" s="17" t="s">
        <v>5665</v>
      </c>
      <c r="F2964" s="16" t="n">
        <v>32.19511744</v>
      </c>
      <c r="G2964" s="16" t="n">
        <v>44.85022</v>
      </c>
      <c r="H2964" s="18" t="n">
        <v>8</v>
      </c>
      <c r="I2964" s="18" t="n">
        <v>48</v>
      </c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 t="n">
        <v>8</v>
      </c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9" t="n">
        <v>5</v>
      </c>
      <c r="AH2964" s="19" t="n">
        <v>3</v>
      </c>
      <c r="AI2964" s="19"/>
      <c r="AJ2964" s="19"/>
      <c r="AK2964" s="19"/>
      <c r="AL2964" s="19"/>
      <c r="AM2964" s="19"/>
      <c r="AN2964" s="19" t="n">
        <v>8</v>
      </c>
      <c r="AO2964" s="19"/>
      <c r="AP2964" s="19"/>
      <c r="AQ2964" s="19"/>
      <c r="AR2964" s="19"/>
      <c r="AS2964" s="20" t="str">
        <f aca="false">HYPERLINK("http://www.openstreetmap.org/?mlat=32.1951&amp;mlon=44.8502&amp;zoom=12#map=12/32.1951/44.8502","Maplink1")</f>
        <v>Maplink1</v>
      </c>
      <c r="AT2964" s="20" t="str">
        <f aca="false">HYPERLINK("https://www.google.iq/maps/search/+32.1951,44.8502/@32.1951,44.8502,14z?hl=en","Maplink2")</f>
        <v>Maplink2</v>
      </c>
      <c r="AU2964" s="20" t="str">
        <f aca="false">HYPERLINK("http://www.bing.com/maps/?lvl=14&amp;sty=h&amp;cp=32.1951~44.8502&amp;sp=point.32.1951_44.8502","Maplink3")</f>
        <v>Maplink3</v>
      </c>
    </row>
    <row r="2965" customFormat="false" ht="15" hidden="false" customHeight="true" outlineLevel="0" collapsed="false">
      <c r="A2965" s="15" t="n">
        <v>24523</v>
      </c>
      <c r="B2965" s="16" t="s">
        <v>28</v>
      </c>
      <c r="C2965" s="16" t="s">
        <v>5539</v>
      </c>
      <c r="D2965" s="16" t="s">
        <v>5666</v>
      </c>
      <c r="E2965" s="17" t="s">
        <v>5667</v>
      </c>
      <c r="F2965" s="16" t="n">
        <v>32.10730053</v>
      </c>
      <c r="G2965" s="16" t="n">
        <v>44.75487602</v>
      </c>
      <c r="H2965" s="18" t="n">
        <v>44</v>
      </c>
      <c r="I2965" s="18" t="n">
        <v>264</v>
      </c>
      <c r="J2965" s="19" t="n">
        <v>1</v>
      </c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 t="n">
        <v>43</v>
      </c>
      <c r="W2965" s="19"/>
      <c r="X2965" s="19"/>
      <c r="Y2965" s="19"/>
      <c r="Z2965" s="19"/>
      <c r="AA2965" s="19"/>
      <c r="AB2965" s="19"/>
      <c r="AC2965" s="19" t="n">
        <v>5</v>
      </c>
      <c r="AD2965" s="19"/>
      <c r="AE2965" s="19"/>
      <c r="AF2965" s="19"/>
      <c r="AG2965" s="19" t="n">
        <v>16</v>
      </c>
      <c r="AH2965" s="19" t="n">
        <v>4</v>
      </c>
      <c r="AI2965" s="19"/>
      <c r="AJ2965" s="19" t="n">
        <v>19</v>
      </c>
      <c r="AK2965" s="19"/>
      <c r="AL2965" s="19"/>
      <c r="AM2965" s="19"/>
      <c r="AN2965" s="19" t="n">
        <v>43</v>
      </c>
      <c r="AO2965" s="19" t="n">
        <v>1</v>
      </c>
      <c r="AP2965" s="19"/>
      <c r="AQ2965" s="19"/>
      <c r="AR2965" s="19"/>
      <c r="AS2965" s="20" t="str">
        <f aca="false">HYPERLINK("http://www.openstreetmap.org/?mlat=32.1073&amp;mlon=44.7549&amp;zoom=12#map=12/32.1073/44.7549","Maplink1")</f>
        <v>Maplink1</v>
      </c>
      <c r="AT2965" s="20" t="str">
        <f aca="false">HYPERLINK("https://www.google.iq/maps/search/+32.1073,44.7549/@32.1073,44.7549,14z?hl=en","Maplink2")</f>
        <v>Maplink2</v>
      </c>
      <c r="AU2965" s="20" t="str">
        <f aca="false">HYPERLINK("http://www.bing.com/maps/?lvl=14&amp;sty=h&amp;cp=32.1073~44.7549&amp;sp=point.32.1073_44.7549","Maplink3")</f>
        <v>Maplink3</v>
      </c>
    </row>
    <row r="2966" customFormat="false" ht="15" hidden="false" customHeight="true" outlineLevel="0" collapsed="false">
      <c r="A2966" s="15" t="n">
        <v>22452</v>
      </c>
      <c r="B2966" s="16" t="s">
        <v>28</v>
      </c>
      <c r="C2966" s="16" t="s">
        <v>5539</v>
      </c>
      <c r="D2966" s="16" t="s">
        <v>5668</v>
      </c>
      <c r="E2966" s="17" t="s">
        <v>5669</v>
      </c>
      <c r="F2966" s="16" t="n">
        <v>32.00463622</v>
      </c>
      <c r="G2966" s="16" t="n">
        <v>45.00856832</v>
      </c>
      <c r="H2966" s="18" t="n">
        <v>34</v>
      </c>
      <c r="I2966" s="18" t="n">
        <v>204</v>
      </c>
      <c r="J2966" s="19" t="n">
        <v>2</v>
      </c>
      <c r="K2966" s="19"/>
      <c r="L2966" s="19" t="n">
        <v>9</v>
      </c>
      <c r="M2966" s="19"/>
      <c r="N2966" s="19"/>
      <c r="O2966" s="19"/>
      <c r="P2966" s="19"/>
      <c r="Q2966" s="19"/>
      <c r="R2966" s="19"/>
      <c r="S2966" s="19"/>
      <c r="T2966" s="19"/>
      <c r="U2966" s="19"/>
      <c r="V2966" s="19" t="n">
        <v>15</v>
      </c>
      <c r="W2966" s="19"/>
      <c r="X2966" s="19" t="n">
        <v>8</v>
      </c>
      <c r="Y2966" s="19"/>
      <c r="Z2966" s="19"/>
      <c r="AA2966" s="19"/>
      <c r="AB2966" s="19"/>
      <c r="AC2966" s="19" t="n">
        <v>9</v>
      </c>
      <c r="AD2966" s="19"/>
      <c r="AE2966" s="19"/>
      <c r="AF2966" s="19"/>
      <c r="AG2966" s="19" t="n">
        <v>14</v>
      </c>
      <c r="AH2966" s="19" t="n">
        <v>11</v>
      </c>
      <c r="AI2966" s="19"/>
      <c r="AJ2966" s="19"/>
      <c r="AK2966" s="19"/>
      <c r="AL2966" s="19"/>
      <c r="AM2966" s="19"/>
      <c r="AN2966" s="19" t="n">
        <v>21</v>
      </c>
      <c r="AO2966" s="19" t="n">
        <v>13</v>
      </c>
      <c r="AP2966" s="19"/>
      <c r="AQ2966" s="19"/>
      <c r="AR2966" s="19"/>
      <c r="AS2966" s="20" t="str">
        <f aca="false">HYPERLINK("http://www.openstreetmap.org/?mlat=32.0046&amp;mlon=45.0086&amp;zoom=12#map=12/32.0046/45.0086","Maplink1")</f>
        <v>Maplink1</v>
      </c>
      <c r="AT2966" s="20" t="str">
        <f aca="false">HYPERLINK("https://www.google.iq/maps/search/+32.0046,45.0086/@32.0046,45.0086,14z?hl=en","Maplink2")</f>
        <v>Maplink2</v>
      </c>
      <c r="AU2966" s="20" t="str">
        <f aca="false">HYPERLINK("http://www.bing.com/maps/?lvl=14&amp;sty=h&amp;cp=32.0046~45.0086&amp;sp=point.32.0046_45.0086","Maplink3")</f>
        <v>Maplink3</v>
      </c>
    </row>
    <row r="2967" customFormat="false" ht="15" hidden="false" customHeight="true" outlineLevel="0" collapsed="false">
      <c r="A2967" s="15" t="n">
        <v>2114</v>
      </c>
      <c r="B2967" s="16" t="s">
        <v>28</v>
      </c>
      <c r="C2967" s="16" t="s">
        <v>5539</v>
      </c>
      <c r="D2967" s="16" t="s">
        <v>5670</v>
      </c>
      <c r="E2967" s="17" t="s">
        <v>5671</v>
      </c>
      <c r="F2967" s="16" t="n">
        <v>32.23463589</v>
      </c>
      <c r="G2967" s="16" t="n">
        <v>44.81177447</v>
      </c>
      <c r="H2967" s="18" t="n">
        <v>23</v>
      </c>
      <c r="I2967" s="18" t="n">
        <v>138</v>
      </c>
      <c r="J2967" s="19" t="n">
        <v>5</v>
      </c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 t="n">
        <v>18</v>
      </c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 t="n">
        <v>13</v>
      </c>
      <c r="AH2967" s="19" t="n">
        <v>10</v>
      </c>
      <c r="AI2967" s="19"/>
      <c r="AJ2967" s="19"/>
      <c r="AK2967" s="19"/>
      <c r="AL2967" s="19"/>
      <c r="AM2967" s="19" t="n">
        <v>4</v>
      </c>
      <c r="AN2967" s="19" t="n">
        <v>14</v>
      </c>
      <c r="AO2967" s="19" t="n">
        <v>3</v>
      </c>
      <c r="AP2967" s="19" t="n">
        <v>2</v>
      </c>
      <c r="AQ2967" s="19"/>
      <c r="AR2967" s="19"/>
      <c r="AS2967" s="20" t="str">
        <f aca="false">HYPERLINK("http://www.openstreetmap.org/?mlat=32.2346&amp;mlon=44.8118&amp;zoom=12#map=12/32.2346/44.8118","Maplink1")</f>
        <v>Maplink1</v>
      </c>
      <c r="AT2967" s="20" t="str">
        <f aca="false">HYPERLINK("https://www.google.iq/maps/search/+32.2346,44.8118/@32.2346,44.8118,14z?hl=en","Maplink2")</f>
        <v>Maplink2</v>
      </c>
      <c r="AU2967" s="20" t="str">
        <f aca="false">HYPERLINK("http://www.bing.com/maps/?lvl=14&amp;sty=h&amp;cp=32.2346~44.8118&amp;sp=point.32.2346_44.8118","Maplink3")</f>
        <v>Maplink3</v>
      </c>
    </row>
    <row r="2968" customFormat="false" ht="15" hidden="false" customHeight="true" outlineLevel="0" collapsed="false">
      <c r="A2968" s="15" t="n">
        <v>25860</v>
      </c>
      <c r="B2968" s="16" t="s">
        <v>28</v>
      </c>
      <c r="C2968" s="16" t="s">
        <v>5539</v>
      </c>
      <c r="D2968" s="16" t="s">
        <v>5672</v>
      </c>
      <c r="E2968" s="17" t="s">
        <v>5673</v>
      </c>
      <c r="F2968" s="16" t="n">
        <v>31.9981042</v>
      </c>
      <c r="G2968" s="16" t="n">
        <v>44.97466</v>
      </c>
      <c r="H2968" s="18" t="n">
        <v>35</v>
      </c>
      <c r="I2968" s="18" t="n">
        <v>210</v>
      </c>
      <c r="J2968" s="19" t="n">
        <v>2</v>
      </c>
      <c r="K2968" s="19"/>
      <c r="L2968" s="19"/>
      <c r="M2968" s="19"/>
      <c r="N2968" s="19"/>
      <c r="O2968" s="19"/>
      <c r="P2968" s="19"/>
      <c r="Q2968" s="19"/>
      <c r="R2968" s="19" t="n">
        <v>7</v>
      </c>
      <c r="S2968" s="19"/>
      <c r="T2968" s="19"/>
      <c r="U2968" s="19"/>
      <c r="V2968" s="19" t="n">
        <v>22</v>
      </c>
      <c r="W2968" s="19"/>
      <c r="X2968" s="19" t="n">
        <v>4</v>
      </c>
      <c r="Y2968" s="19"/>
      <c r="Z2968" s="19"/>
      <c r="AA2968" s="19"/>
      <c r="AB2968" s="19"/>
      <c r="AC2968" s="19" t="n">
        <v>2</v>
      </c>
      <c r="AD2968" s="19"/>
      <c r="AE2968" s="19"/>
      <c r="AF2968" s="19"/>
      <c r="AG2968" s="19" t="n">
        <v>21</v>
      </c>
      <c r="AH2968" s="19" t="n">
        <v>10</v>
      </c>
      <c r="AI2968" s="19"/>
      <c r="AJ2968" s="19" t="n">
        <v>2</v>
      </c>
      <c r="AK2968" s="19"/>
      <c r="AL2968" s="19"/>
      <c r="AM2968" s="19" t="n">
        <v>19</v>
      </c>
      <c r="AN2968" s="19" t="n">
        <v>13</v>
      </c>
      <c r="AO2968" s="19" t="n">
        <v>3</v>
      </c>
      <c r="AP2968" s="19"/>
      <c r="AQ2968" s="19"/>
      <c r="AR2968" s="19"/>
      <c r="AS2968" s="20" t="str">
        <f aca="false">HYPERLINK("http://www.openstreetmap.org/?mlat=31.9981&amp;mlon=44.9747&amp;zoom=12#map=12/31.9981/44.9747","Maplink1")</f>
        <v>Maplink1</v>
      </c>
      <c r="AT2968" s="20" t="str">
        <f aca="false">HYPERLINK("https://www.google.iq/maps/search/+31.9981,44.9747/@31.9981,44.9747,14z?hl=en","Maplink2")</f>
        <v>Maplink2</v>
      </c>
      <c r="AU2968" s="20" t="str">
        <f aca="false">HYPERLINK("http://www.bing.com/maps/?lvl=14&amp;sty=h&amp;cp=31.9981~44.9747&amp;sp=point.31.9981_44.9747","Maplink3")</f>
        <v>Maplink3</v>
      </c>
    </row>
    <row r="2969" customFormat="false" ht="15" hidden="false" customHeight="true" outlineLevel="0" collapsed="false">
      <c r="A2969" s="15" t="n">
        <v>25861</v>
      </c>
      <c r="B2969" s="16" t="s">
        <v>28</v>
      </c>
      <c r="C2969" s="16" t="s">
        <v>5539</v>
      </c>
      <c r="D2969" s="16" t="s">
        <v>5674</v>
      </c>
      <c r="E2969" s="17" t="s">
        <v>5675</v>
      </c>
      <c r="F2969" s="16" t="n">
        <v>31.95240766</v>
      </c>
      <c r="G2969" s="16" t="n">
        <v>44.78586777</v>
      </c>
      <c r="H2969" s="18" t="n">
        <v>10</v>
      </c>
      <c r="I2969" s="18" t="n">
        <v>60</v>
      </c>
      <c r="J2969" s="19" t="n">
        <v>4</v>
      </c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 t="n">
        <v>6</v>
      </c>
      <c r="W2969" s="19"/>
      <c r="X2969" s="19"/>
      <c r="Y2969" s="19"/>
      <c r="Z2969" s="19"/>
      <c r="AA2969" s="19"/>
      <c r="AB2969" s="19"/>
      <c r="AC2969" s="19" t="n">
        <v>4</v>
      </c>
      <c r="AD2969" s="19"/>
      <c r="AE2969" s="19"/>
      <c r="AF2969" s="19"/>
      <c r="AG2969" s="19"/>
      <c r="AH2969" s="19" t="n">
        <v>6</v>
      </c>
      <c r="AI2969" s="19"/>
      <c r="AJ2969" s="19"/>
      <c r="AK2969" s="19"/>
      <c r="AL2969" s="19"/>
      <c r="AM2969" s="19"/>
      <c r="AN2969" s="19" t="n">
        <v>6</v>
      </c>
      <c r="AO2969" s="19" t="n">
        <v>4</v>
      </c>
      <c r="AP2969" s="19"/>
      <c r="AQ2969" s="19"/>
      <c r="AR2969" s="19"/>
      <c r="AS2969" s="20" t="str">
        <f aca="false">HYPERLINK("http://www.openstreetmap.org/?mlat=31.9524&amp;mlon=44.7859&amp;zoom=12#map=12/31.9524/44.7859","Maplink1")</f>
        <v>Maplink1</v>
      </c>
      <c r="AT2969" s="20" t="str">
        <f aca="false">HYPERLINK("https://www.google.iq/maps/search/+31.9524,44.7859/@31.9524,44.7859,14z?hl=en","Maplink2")</f>
        <v>Maplink2</v>
      </c>
      <c r="AU2969" s="20" t="str">
        <f aca="false">HYPERLINK("http://www.bing.com/maps/?lvl=14&amp;sty=h&amp;cp=31.9524~44.7859&amp;sp=point.31.9524_44.7859","Maplink3")</f>
        <v>Maplink3</v>
      </c>
    </row>
    <row r="2970" customFormat="false" ht="15" hidden="false" customHeight="true" outlineLevel="0" collapsed="false">
      <c r="A2970" s="15" t="n">
        <v>25280</v>
      </c>
      <c r="B2970" s="16" t="s">
        <v>28</v>
      </c>
      <c r="C2970" s="16" t="s">
        <v>5539</v>
      </c>
      <c r="D2970" s="16" t="s">
        <v>5676</v>
      </c>
      <c r="E2970" s="17" t="s">
        <v>5677</v>
      </c>
      <c r="F2970" s="16" t="n">
        <v>31.94906491</v>
      </c>
      <c r="G2970" s="16" t="n">
        <v>44.85549339</v>
      </c>
      <c r="H2970" s="18" t="n">
        <v>31</v>
      </c>
      <c r="I2970" s="18" t="n">
        <v>186</v>
      </c>
      <c r="J2970" s="19"/>
      <c r="K2970" s="19"/>
      <c r="L2970" s="19"/>
      <c r="M2970" s="19"/>
      <c r="N2970" s="19"/>
      <c r="O2970" s="19"/>
      <c r="P2970" s="19"/>
      <c r="Q2970" s="19"/>
      <c r="R2970" s="19" t="n">
        <v>10</v>
      </c>
      <c r="S2970" s="19"/>
      <c r="T2970" s="19"/>
      <c r="U2970" s="19"/>
      <c r="V2970" s="19" t="n">
        <v>21</v>
      </c>
      <c r="W2970" s="19"/>
      <c r="X2970" s="19"/>
      <c r="Y2970" s="19"/>
      <c r="Z2970" s="19"/>
      <c r="AA2970" s="19"/>
      <c r="AB2970" s="19"/>
      <c r="AC2970" s="19" t="n">
        <v>4</v>
      </c>
      <c r="AD2970" s="19"/>
      <c r="AE2970" s="19"/>
      <c r="AF2970" s="19"/>
      <c r="AG2970" s="19" t="n">
        <v>4</v>
      </c>
      <c r="AH2970" s="19"/>
      <c r="AI2970" s="19"/>
      <c r="AJ2970" s="19" t="n">
        <v>23</v>
      </c>
      <c r="AK2970" s="19"/>
      <c r="AL2970" s="19"/>
      <c r="AM2970" s="19" t="n">
        <v>18</v>
      </c>
      <c r="AN2970" s="19" t="n">
        <v>13</v>
      </c>
      <c r="AO2970" s="19"/>
      <c r="AP2970" s="19"/>
      <c r="AQ2970" s="19"/>
      <c r="AR2970" s="19"/>
      <c r="AS2970" s="20" t="str">
        <f aca="false">HYPERLINK("http://www.openstreetmap.org/?mlat=31.9491&amp;mlon=44.8555&amp;zoom=12#map=12/31.9491/44.8555","Maplink1")</f>
        <v>Maplink1</v>
      </c>
      <c r="AT2970" s="20" t="str">
        <f aca="false">HYPERLINK("https://www.google.iq/maps/search/+31.9491,44.8555/@31.9491,44.8555,14z?hl=en","Maplink2")</f>
        <v>Maplink2</v>
      </c>
      <c r="AU2970" s="20" t="str">
        <f aca="false">HYPERLINK("http://www.bing.com/maps/?lvl=14&amp;sty=h&amp;cp=31.9491~44.8555&amp;sp=point.31.9491_44.8555","Maplink3")</f>
        <v>Maplink3</v>
      </c>
    </row>
    <row r="2971" customFormat="false" ht="15" hidden="false" customHeight="true" outlineLevel="0" collapsed="false">
      <c r="A2971" s="15" t="n">
        <v>23764</v>
      </c>
      <c r="B2971" s="16" t="s">
        <v>28</v>
      </c>
      <c r="C2971" s="16" t="s">
        <v>5539</v>
      </c>
      <c r="D2971" s="16" t="s">
        <v>5678</v>
      </c>
      <c r="E2971" s="17" t="s">
        <v>5679</v>
      </c>
      <c r="F2971" s="16" t="n">
        <v>32.00195925</v>
      </c>
      <c r="G2971" s="16" t="n">
        <v>44.90240011</v>
      </c>
      <c r="H2971" s="18" t="n">
        <v>24</v>
      </c>
      <c r="I2971" s="18" t="n">
        <v>144</v>
      </c>
      <c r="J2971" s="19" t="n">
        <v>11</v>
      </c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 t="n">
        <v>13</v>
      </c>
      <c r="W2971" s="19"/>
      <c r="X2971" s="19"/>
      <c r="Y2971" s="19"/>
      <c r="Z2971" s="19"/>
      <c r="AA2971" s="19"/>
      <c r="AB2971" s="19"/>
      <c r="AC2971" s="19" t="n">
        <v>10</v>
      </c>
      <c r="AD2971" s="19"/>
      <c r="AE2971" s="19"/>
      <c r="AF2971" s="19"/>
      <c r="AG2971" s="19"/>
      <c r="AH2971" s="19" t="n">
        <v>14</v>
      </c>
      <c r="AI2971" s="19"/>
      <c r="AJ2971" s="19"/>
      <c r="AK2971" s="19"/>
      <c r="AL2971" s="19" t="n">
        <v>5</v>
      </c>
      <c r="AM2971" s="19" t="n">
        <v>5</v>
      </c>
      <c r="AN2971" s="19" t="n">
        <v>4</v>
      </c>
      <c r="AO2971" s="19" t="n">
        <v>7</v>
      </c>
      <c r="AP2971" s="19" t="n">
        <v>3</v>
      </c>
      <c r="AQ2971" s="19"/>
      <c r="AR2971" s="19"/>
      <c r="AS2971" s="20" t="str">
        <f aca="false">HYPERLINK("http://www.openstreetmap.org/?mlat=32.002&amp;mlon=44.9024&amp;zoom=12#map=12/32.002/44.9024","Maplink1")</f>
        <v>Maplink1</v>
      </c>
      <c r="AT2971" s="20" t="str">
        <f aca="false">HYPERLINK("https://www.google.iq/maps/search/+32.002,44.9024/@32.002,44.9024,14z?hl=en","Maplink2")</f>
        <v>Maplink2</v>
      </c>
      <c r="AU2971" s="20" t="str">
        <f aca="false">HYPERLINK("http://www.bing.com/maps/?lvl=14&amp;sty=h&amp;cp=32.002~44.9024&amp;sp=point.32.002_44.9024","Maplink3")</f>
        <v>Maplink3</v>
      </c>
    </row>
    <row r="2972" customFormat="false" ht="15" hidden="false" customHeight="true" outlineLevel="0" collapsed="false">
      <c r="A2972" s="15" t="n">
        <v>25508</v>
      </c>
      <c r="B2972" s="16" t="s">
        <v>28</v>
      </c>
      <c r="C2972" s="16" t="s">
        <v>5539</v>
      </c>
      <c r="D2972" s="16" t="s">
        <v>5680</v>
      </c>
      <c r="E2972" s="17" t="s">
        <v>5681</v>
      </c>
      <c r="F2972" s="16" t="n">
        <v>32.00934475</v>
      </c>
      <c r="G2972" s="16" t="n">
        <v>44.90162931</v>
      </c>
      <c r="H2972" s="18" t="n">
        <v>26</v>
      </c>
      <c r="I2972" s="18" t="n">
        <v>156</v>
      </c>
      <c r="J2972" s="19" t="n">
        <v>10</v>
      </c>
      <c r="K2972" s="19"/>
      <c r="L2972" s="19" t="n">
        <v>2</v>
      </c>
      <c r="M2972" s="19"/>
      <c r="N2972" s="19"/>
      <c r="O2972" s="19"/>
      <c r="P2972" s="19"/>
      <c r="Q2972" s="19"/>
      <c r="R2972" s="19" t="n">
        <v>5</v>
      </c>
      <c r="S2972" s="19"/>
      <c r="T2972" s="19"/>
      <c r="U2972" s="19"/>
      <c r="V2972" s="19" t="n">
        <v>9</v>
      </c>
      <c r="W2972" s="19"/>
      <c r="X2972" s="19"/>
      <c r="Y2972" s="19"/>
      <c r="Z2972" s="19"/>
      <c r="AA2972" s="19"/>
      <c r="AB2972" s="19"/>
      <c r="AC2972" s="19" t="n">
        <v>4</v>
      </c>
      <c r="AD2972" s="19"/>
      <c r="AE2972" s="19"/>
      <c r="AF2972" s="19"/>
      <c r="AG2972" s="19"/>
      <c r="AH2972" s="19" t="n">
        <v>18</v>
      </c>
      <c r="AI2972" s="19"/>
      <c r="AJ2972" s="19" t="n">
        <v>4</v>
      </c>
      <c r="AK2972" s="19"/>
      <c r="AL2972" s="19"/>
      <c r="AM2972" s="19" t="n">
        <v>8</v>
      </c>
      <c r="AN2972" s="19" t="n">
        <v>8</v>
      </c>
      <c r="AO2972" s="19" t="n">
        <v>6</v>
      </c>
      <c r="AP2972" s="19" t="n">
        <v>4</v>
      </c>
      <c r="AQ2972" s="19"/>
      <c r="AR2972" s="19"/>
      <c r="AS2972" s="20" t="str">
        <f aca="false">HYPERLINK("http://www.openstreetmap.org/?mlat=32.0093&amp;mlon=44.9016&amp;zoom=12#map=12/32.0093/44.9016","Maplink1")</f>
        <v>Maplink1</v>
      </c>
      <c r="AT2972" s="20" t="str">
        <f aca="false">HYPERLINK("https://www.google.iq/maps/search/+32.0093,44.9016/@32.0093,44.9016,14z?hl=en","Maplink2")</f>
        <v>Maplink2</v>
      </c>
      <c r="AU2972" s="20" t="str">
        <f aca="false">HYPERLINK("http://www.bing.com/maps/?lvl=14&amp;sty=h&amp;cp=32.0093~44.9016&amp;sp=point.32.0093_44.9016","Maplink3")</f>
        <v>Maplink3</v>
      </c>
    </row>
    <row r="2973" customFormat="false" ht="15" hidden="false" customHeight="true" outlineLevel="0" collapsed="false">
      <c r="A2973" s="15" t="n">
        <v>24904</v>
      </c>
      <c r="B2973" s="16" t="s">
        <v>28</v>
      </c>
      <c r="C2973" s="16" t="s">
        <v>5539</v>
      </c>
      <c r="D2973" s="16" t="s">
        <v>5682</v>
      </c>
      <c r="E2973" s="17" t="s">
        <v>5683</v>
      </c>
      <c r="F2973" s="16" t="n">
        <v>32.00688521</v>
      </c>
      <c r="G2973" s="16" t="n">
        <v>44.85241195</v>
      </c>
      <c r="H2973" s="18" t="n">
        <v>30</v>
      </c>
      <c r="I2973" s="18" t="n">
        <v>180</v>
      </c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 t="n">
        <v>30</v>
      </c>
      <c r="W2973" s="19"/>
      <c r="X2973" s="19"/>
      <c r="Y2973" s="19"/>
      <c r="Z2973" s="19"/>
      <c r="AA2973" s="19"/>
      <c r="AB2973" s="19"/>
      <c r="AC2973" s="19" t="n">
        <v>11</v>
      </c>
      <c r="AD2973" s="19"/>
      <c r="AE2973" s="19"/>
      <c r="AF2973" s="19"/>
      <c r="AG2973" s="19" t="n">
        <v>15</v>
      </c>
      <c r="AH2973" s="19" t="n">
        <v>4</v>
      </c>
      <c r="AI2973" s="19"/>
      <c r="AJ2973" s="19"/>
      <c r="AK2973" s="19"/>
      <c r="AL2973" s="19"/>
      <c r="AM2973" s="19" t="n">
        <v>26</v>
      </c>
      <c r="AN2973" s="19" t="n">
        <v>4</v>
      </c>
      <c r="AO2973" s="19"/>
      <c r="AP2973" s="19"/>
      <c r="AQ2973" s="19"/>
      <c r="AR2973" s="19"/>
      <c r="AS2973" s="20" t="str">
        <f aca="false">HYPERLINK("http://www.openstreetmap.org/?mlat=32.0069&amp;mlon=44.8524&amp;zoom=12#map=12/32.0069/44.8524","Maplink1")</f>
        <v>Maplink1</v>
      </c>
      <c r="AT2973" s="20" t="str">
        <f aca="false">HYPERLINK("https://www.google.iq/maps/search/+32.0069,44.8524/@32.0069,44.8524,14z?hl=en","Maplink2")</f>
        <v>Maplink2</v>
      </c>
      <c r="AU2973" s="20" t="str">
        <f aca="false">HYPERLINK("http://www.bing.com/maps/?lvl=14&amp;sty=h&amp;cp=32.0069~44.8524&amp;sp=point.32.0069_44.8524","Maplink3")</f>
        <v>Maplink3</v>
      </c>
    </row>
    <row r="2974" customFormat="false" ht="15" hidden="false" customHeight="true" outlineLevel="0" collapsed="false">
      <c r="A2974" s="15" t="n">
        <v>24437</v>
      </c>
      <c r="B2974" s="16" t="s">
        <v>28</v>
      </c>
      <c r="C2974" s="16" t="s">
        <v>5684</v>
      </c>
      <c r="D2974" s="16" t="s">
        <v>5685</v>
      </c>
      <c r="E2974" s="17" t="s">
        <v>5686</v>
      </c>
      <c r="F2974" s="16" t="n">
        <v>31.57493477</v>
      </c>
      <c r="G2974" s="16" t="n">
        <v>44.52998813</v>
      </c>
      <c r="H2974" s="18" t="n">
        <v>48</v>
      </c>
      <c r="I2974" s="18" t="n">
        <v>288</v>
      </c>
      <c r="J2974" s="19"/>
      <c r="K2974" s="19"/>
      <c r="L2974" s="19"/>
      <c r="M2974" s="19"/>
      <c r="N2974" s="19"/>
      <c r="O2974" s="19"/>
      <c r="P2974" s="19"/>
      <c r="Q2974" s="19"/>
      <c r="R2974" s="19" t="n">
        <v>33</v>
      </c>
      <c r="S2974" s="19"/>
      <c r="T2974" s="19"/>
      <c r="U2974" s="19"/>
      <c r="V2974" s="19" t="n">
        <v>15</v>
      </c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 t="n">
        <v>44</v>
      </c>
      <c r="AG2974" s="19"/>
      <c r="AH2974" s="19"/>
      <c r="AI2974" s="19"/>
      <c r="AJ2974" s="19" t="n">
        <v>4</v>
      </c>
      <c r="AK2974" s="19"/>
      <c r="AL2974" s="19"/>
      <c r="AM2974" s="19" t="n">
        <v>16</v>
      </c>
      <c r="AN2974" s="19" t="n">
        <v>32</v>
      </c>
      <c r="AO2974" s="19"/>
      <c r="AP2974" s="19"/>
      <c r="AQ2974" s="19"/>
      <c r="AR2974" s="19"/>
      <c r="AS2974" s="20" t="str">
        <f aca="false">HYPERLINK("http://www.openstreetmap.org/?mlat=31.5749&amp;mlon=44.53&amp;zoom=12#map=12/31.5749/44.53","Maplink1")</f>
        <v>Maplink1</v>
      </c>
      <c r="AT2974" s="20" t="str">
        <f aca="false">HYPERLINK("https://www.google.iq/maps/search/+31.5749,44.53/@31.5749,44.53,14z?hl=en","Maplink2")</f>
        <v>Maplink2</v>
      </c>
      <c r="AU2974" s="20" t="str">
        <f aca="false">HYPERLINK("http://www.bing.com/maps/?lvl=14&amp;sty=h&amp;cp=31.5749~44.53&amp;sp=point.31.5749_44.53","Maplink3")</f>
        <v>Maplink3</v>
      </c>
    </row>
    <row r="2975" customFormat="false" ht="15" hidden="false" customHeight="true" outlineLevel="0" collapsed="false">
      <c r="A2975" s="15" t="n">
        <v>24583</v>
      </c>
      <c r="B2975" s="16" t="s">
        <v>28</v>
      </c>
      <c r="C2975" s="16" t="s">
        <v>5684</v>
      </c>
      <c r="D2975" s="16" t="s">
        <v>5687</v>
      </c>
      <c r="E2975" s="17" t="s">
        <v>5688</v>
      </c>
      <c r="F2975" s="16" t="n">
        <v>31.85797303</v>
      </c>
      <c r="G2975" s="16" t="n">
        <v>44.92779368</v>
      </c>
      <c r="H2975" s="18" t="n">
        <v>15</v>
      </c>
      <c r="I2975" s="18" t="n">
        <v>90</v>
      </c>
      <c r="J2975" s="19"/>
      <c r="K2975" s="19"/>
      <c r="L2975" s="19"/>
      <c r="M2975" s="19"/>
      <c r="N2975" s="19"/>
      <c r="O2975" s="19"/>
      <c r="P2975" s="19"/>
      <c r="Q2975" s="19"/>
      <c r="R2975" s="19" t="n">
        <v>1</v>
      </c>
      <c r="S2975" s="19"/>
      <c r="T2975" s="19"/>
      <c r="U2975" s="19"/>
      <c r="V2975" s="19" t="n">
        <v>14</v>
      </c>
      <c r="W2975" s="19"/>
      <c r="X2975" s="19"/>
      <c r="Y2975" s="19"/>
      <c r="Z2975" s="19"/>
      <c r="AA2975" s="19"/>
      <c r="AB2975" s="19"/>
      <c r="AC2975" s="19" t="n">
        <v>4</v>
      </c>
      <c r="AD2975" s="19"/>
      <c r="AE2975" s="19"/>
      <c r="AF2975" s="19"/>
      <c r="AG2975" s="19" t="n">
        <v>9</v>
      </c>
      <c r="AH2975" s="19"/>
      <c r="AI2975" s="19"/>
      <c r="AJ2975" s="19" t="n">
        <v>2</v>
      </c>
      <c r="AK2975" s="19"/>
      <c r="AL2975" s="19"/>
      <c r="AM2975" s="19" t="n">
        <v>1</v>
      </c>
      <c r="AN2975" s="19" t="n">
        <v>14</v>
      </c>
      <c r="AO2975" s="19"/>
      <c r="AP2975" s="19"/>
      <c r="AQ2975" s="19"/>
      <c r="AR2975" s="19"/>
      <c r="AS2975" s="20" t="str">
        <f aca="false">HYPERLINK("http://www.openstreetmap.org/?mlat=31.858&amp;mlon=44.9278&amp;zoom=12#map=12/31.858/44.9278","Maplink1")</f>
        <v>Maplink1</v>
      </c>
      <c r="AT2975" s="20" t="str">
        <f aca="false">HYPERLINK("https://www.google.iq/maps/search/+31.858,44.9278/@31.858,44.9278,14z?hl=en","Maplink2")</f>
        <v>Maplink2</v>
      </c>
      <c r="AU2975" s="20" t="str">
        <f aca="false">HYPERLINK("http://www.bing.com/maps/?lvl=14&amp;sty=h&amp;cp=31.858~44.9278&amp;sp=point.31.858_44.9278","Maplink3")</f>
        <v>Maplink3</v>
      </c>
    </row>
    <row r="2976" customFormat="false" ht="15" hidden="false" customHeight="true" outlineLevel="0" collapsed="false">
      <c r="A2976" s="15" t="n">
        <v>21102</v>
      </c>
      <c r="B2976" s="16" t="s">
        <v>28</v>
      </c>
      <c r="C2976" s="16" t="s">
        <v>5684</v>
      </c>
      <c r="D2976" s="16" t="s">
        <v>5689</v>
      </c>
      <c r="E2976" s="17" t="s">
        <v>5690</v>
      </c>
      <c r="F2976" s="16" t="n">
        <v>31.73112319</v>
      </c>
      <c r="G2976" s="16" t="n">
        <v>44.96693037</v>
      </c>
      <c r="H2976" s="18" t="n">
        <v>58</v>
      </c>
      <c r="I2976" s="18" t="n">
        <v>348</v>
      </c>
      <c r="J2976" s="19" t="n">
        <v>4</v>
      </c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 t="n">
        <v>54</v>
      </c>
      <c r="W2976" s="19"/>
      <c r="X2976" s="19"/>
      <c r="Y2976" s="19"/>
      <c r="Z2976" s="19"/>
      <c r="AA2976" s="19"/>
      <c r="AB2976" s="19"/>
      <c r="AC2976" s="19" t="n">
        <v>17</v>
      </c>
      <c r="AD2976" s="19"/>
      <c r="AE2976" s="19"/>
      <c r="AF2976" s="19"/>
      <c r="AG2976" s="19" t="n">
        <v>20</v>
      </c>
      <c r="AH2976" s="19" t="n">
        <v>11</v>
      </c>
      <c r="AI2976" s="19"/>
      <c r="AJ2976" s="19" t="n">
        <v>10</v>
      </c>
      <c r="AK2976" s="19"/>
      <c r="AL2976" s="19"/>
      <c r="AM2976" s="19" t="n">
        <v>17</v>
      </c>
      <c r="AN2976" s="19" t="n">
        <v>37</v>
      </c>
      <c r="AO2976" s="19" t="n">
        <v>4</v>
      </c>
      <c r="AP2976" s="19"/>
      <c r="AQ2976" s="19"/>
      <c r="AR2976" s="19"/>
      <c r="AS2976" s="20" t="str">
        <f aca="false">HYPERLINK("http://www.openstreetmap.org/?mlat=31.7311&amp;mlon=44.9669&amp;zoom=12#map=12/31.7311/44.9669","Maplink1")</f>
        <v>Maplink1</v>
      </c>
      <c r="AT2976" s="20" t="str">
        <f aca="false">HYPERLINK("https://www.google.iq/maps/search/+31.7311,44.9669/@31.7311,44.9669,14z?hl=en","Maplink2")</f>
        <v>Maplink2</v>
      </c>
      <c r="AU2976" s="20" t="str">
        <f aca="false">HYPERLINK("http://www.bing.com/maps/?lvl=14&amp;sty=h&amp;cp=31.7311~44.9669&amp;sp=point.31.7311_44.9669","Maplink3")</f>
        <v>Maplink3</v>
      </c>
    </row>
    <row r="2977" customFormat="false" ht="15" hidden="false" customHeight="true" outlineLevel="0" collapsed="false">
      <c r="A2977" s="15" t="n">
        <v>25283</v>
      </c>
      <c r="B2977" s="16" t="s">
        <v>28</v>
      </c>
      <c r="C2977" s="16" t="s">
        <v>5684</v>
      </c>
      <c r="D2977" s="16" t="s">
        <v>5691</v>
      </c>
      <c r="E2977" s="17" t="s">
        <v>5692</v>
      </c>
      <c r="F2977" s="16" t="n">
        <v>31.73187539</v>
      </c>
      <c r="G2977" s="16" t="n">
        <v>44.97755159</v>
      </c>
      <c r="H2977" s="18" t="n">
        <v>36</v>
      </c>
      <c r="I2977" s="18" t="n">
        <v>216</v>
      </c>
      <c r="J2977" s="19" t="n">
        <v>15</v>
      </c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 t="n">
        <v>21</v>
      </c>
      <c r="W2977" s="19"/>
      <c r="X2977" s="19"/>
      <c r="Y2977" s="19"/>
      <c r="Z2977" s="19"/>
      <c r="AA2977" s="19"/>
      <c r="AB2977" s="19"/>
      <c r="AC2977" s="19" t="n">
        <v>20</v>
      </c>
      <c r="AD2977" s="19"/>
      <c r="AE2977" s="19"/>
      <c r="AF2977" s="19"/>
      <c r="AG2977" s="19" t="n">
        <v>8</v>
      </c>
      <c r="AH2977" s="19" t="n">
        <v>8</v>
      </c>
      <c r="AI2977" s="19"/>
      <c r="AJ2977" s="19"/>
      <c r="AK2977" s="19"/>
      <c r="AL2977" s="19"/>
      <c r="AM2977" s="19" t="n">
        <v>4</v>
      </c>
      <c r="AN2977" s="19" t="n">
        <v>12</v>
      </c>
      <c r="AO2977" s="19" t="n">
        <v>10</v>
      </c>
      <c r="AP2977" s="19" t="n">
        <v>10</v>
      </c>
      <c r="AQ2977" s="19"/>
      <c r="AR2977" s="19"/>
      <c r="AS2977" s="20" t="str">
        <f aca="false">HYPERLINK("http://www.openstreetmap.org/?mlat=31.7319&amp;mlon=44.9776&amp;zoom=12#map=12/31.7319/44.9776","Maplink1")</f>
        <v>Maplink1</v>
      </c>
      <c r="AT2977" s="20" t="str">
        <f aca="false">HYPERLINK("https://www.google.iq/maps/search/+31.7319,44.9776/@31.7319,44.9776,14z?hl=en","Maplink2")</f>
        <v>Maplink2</v>
      </c>
      <c r="AU2977" s="20" t="str">
        <f aca="false">HYPERLINK("http://www.bing.com/maps/?lvl=14&amp;sty=h&amp;cp=31.7319~44.9776&amp;sp=point.31.7319_44.9776","Maplink3")</f>
        <v>Maplink3</v>
      </c>
    </row>
    <row r="2978" customFormat="false" ht="15" hidden="false" customHeight="true" outlineLevel="0" collapsed="false">
      <c r="A2978" s="15" t="n">
        <v>2518</v>
      </c>
      <c r="B2978" s="16" t="s">
        <v>28</v>
      </c>
      <c r="C2978" s="16" t="s">
        <v>5684</v>
      </c>
      <c r="D2978" s="16" t="s">
        <v>5693</v>
      </c>
      <c r="E2978" s="17" t="s">
        <v>5694</v>
      </c>
      <c r="F2978" s="16" t="n">
        <v>31.81909475</v>
      </c>
      <c r="G2978" s="16" t="n">
        <v>44.93779044</v>
      </c>
      <c r="H2978" s="18" t="n">
        <v>25</v>
      </c>
      <c r="I2978" s="18" t="n">
        <v>150</v>
      </c>
      <c r="J2978" s="19" t="n">
        <v>6</v>
      </c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 t="n">
        <v>19</v>
      </c>
      <c r="W2978" s="19"/>
      <c r="X2978" s="19"/>
      <c r="Y2978" s="19"/>
      <c r="Z2978" s="19"/>
      <c r="AA2978" s="19"/>
      <c r="AB2978" s="19"/>
      <c r="AC2978" s="19" t="n">
        <v>8</v>
      </c>
      <c r="AD2978" s="19"/>
      <c r="AE2978" s="19"/>
      <c r="AF2978" s="19"/>
      <c r="AG2978" s="19" t="n">
        <v>16</v>
      </c>
      <c r="AH2978" s="19" t="n">
        <v>1</v>
      </c>
      <c r="AI2978" s="19"/>
      <c r="AJ2978" s="19"/>
      <c r="AK2978" s="19"/>
      <c r="AL2978" s="19"/>
      <c r="AM2978" s="19" t="n">
        <v>6</v>
      </c>
      <c r="AN2978" s="19" t="n">
        <v>13</v>
      </c>
      <c r="AO2978" s="19" t="n">
        <v>1</v>
      </c>
      <c r="AP2978" s="19" t="n">
        <v>5</v>
      </c>
      <c r="AQ2978" s="19"/>
      <c r="AR2978" s="19"/>
      <c r="AS2978" s="20" t="str">
        <f aca="false">HYPERLINK("http://www.openstreetmap.org/?mlat=31.8191&amp;mlon=44.9378&amp;zoom=12#map=12/31.8191/44.9378","Maplink1")</f>
        <v>Maplink1</v>
      </c>
      <c r="AT2978" s="20" t="str">
        <f aca="false">HYPERLINK("https://www.google.iq/maps/search/+31.8191,44.9378/@31.8191,44.9378,14z?hl=en","Maplink2")</f>
        <v>Maplink2</v>
      </c>
      <c r="AU2978" s="20" t="str">
        <f aca="false">HYPERLINK("http://www.bing.com/maps/?lvl=14&amp;sty=h&amp;cp=31.8191~44.9378&amp;sp=point.31.8191_44.9378","Maplink3")</f>
        <v>Maplink3</v>
      </c>
    </row>
    <row r="2979" customFormat="false" ht="15" hidden="false" customHeight="true" outlineLevel="0" collapsed="false">
      <c r="A2979" s="15" t="n">
        <v>2539</v>
      </c>
      <c r="B2979" s="16" t="s">
        <v>28</v>
      </c>
      <c r="C2979" s="16" t="s">
        <v>5684</v>
      </c>
      <c r="D2979" s="16" t="s">
        <v>5695</v>
      </c>
      <c r="E2979" s="17" t="s">
        <v>5696</v>
      </c>
      <c r="F2979" s="16" t="n">
        <v>31.82962703</v>
      </c>
      <c r="G2979" s="16" t="n">
        <v>44.9351809</v>
      </c>
      <c r="H2979" s="18" t="n">
        <v>16</v>
      </c>
      <c r="I2979" s="18" t="n">
        <v>96</v>
      </c>
      <c r="J2979" s="19" t="n">
        <v>3</v>
      </c>
      <c r="K2979" s="19"/>
      <c r="L2979" s="19"/>
      <c r="M2979" s="19"/>
      <c r="N2979" s="19"/>
      <c r="O2979" s="19"/>
      <c r="P2979" s="19"/>
      <c r="Q2979" s="19"/>
      <c r="R2979" s="19" t="n">
        <v>3</v>
      </c>
      <c r="S2979" s="19"/>
      <c r="T2979" s="19"/>
      <c r="U2979" s="19"/>
      <c r="V2979" s="19" t="n">
        <v>10</v>
      </c>
      <c r="W2979" s="19"/>
      <c r="X2979" s="19"/>
      <c r="Y2979" s="19"/>
      <c r="Z2979" s="19"/>
      <c r="AA2979" s="19"/>
      <c r="AB2979" s="19"/>
      <c r="AC2979" s="19" t="n">
        <v>3</v>
      </c>
      <c r="AD2979" s="19"/>
      <c r="AE2979" s="19"/>
      <c r="AF2979" s="19"/>
      <c r="AG2979" s="19" t="n">
        <v>11</v>
      </c>
      <c r="AH2979" s="19" t="n">
        <v>2</v>
      </c>
      <c r="AI2979" s="19"/>
      <c r="AJ2979" s="19"/>
      <c r="AK2979" s="19"/>
      <c r="AL2979" s="19"/>
      <c r="AM2979" s="19" t="n">
        <v>3</v>
      </c>
      <c r="AN2979" s="19" t="n">
        <v>10</v>
      </c>
      <c r="AO2979" s="19" t="n">
        <v>3</v>
      </c>
      <c r="AP2979" s="19"/>
      <c r="AQ2979" s="19"/>
      <c r="AR2979" s="19"/>
      <c r="AS2979" s="20" t="str">
        <f aca="false">HYPERLINK("http://www.openstreetmap.org/?mlat=31.8296&amp;mlon=44.9352&amp;zoom=12#map=12/31.8296/44.9352","Maplink1")</f>
        <v>Maplink1</v>
      </c>
      <c r="AT2979" s="20" t="str">
        <f aca="false">HYPERLINK("https://www.google.iq/maps/search/+31.8296,44.9352/@31.8296,44.9352,14z?hl=en","Maplink2")</f>
        <v>Maplink2</v>
      </c>
      <c r="AU2979" s="20" t="str">
        <f aca="false">HYPERLINK("http://www.bing.com/maps/?lvl=14&amp;sty=h&amp;cp=31.8296~44.9352&amp;sp=point.31.8296_44.9352","Maplink3")</f>
        <v>Maplink3</v>
      </c>
    </row>
    <row r="2980" customFormat="false" ht="15" hidden="false" customHeight="true" outlineLevel="0" collapsed="false">
      <c r="A2980" s="15" t="n">
        <v>25282</v>
      </c>
      <c r="B2980" s="16" t="s">
        <v>28</v>
      </c>
      <c r="C2980" s="16" t="s">
        <v>5684</v>
      </c>
      <c r="D2980" s="16" t="s">
        <v>5697</v>
      </c>
      <c r="E2980" s="17" t="s">
        <v>5698</v>
      </c>
      <c r="F2980" s="16" t="n">
        <v>31.72061878</v>
      </c>
      <c r="G2980" s="16" t="n">
        <v>44.97464541</v>
      </c>
      <c r="H2980" s="18" t="n">
        <v>27</v>
      </c>
      <c r="I2980" s="18" t="n">
        <v>162</v>
      </c>
      <c r="J2980" s="19" t="n">
        <v>20</v>
      </c>
      <c r="K2980" s="19"/>
      <c r="L2980" s="19" t="n">
        <v>3</v>
      </c>
      <c r="M2980" s="19"/>
      <c r="N2980" s="19"/>
      <c r="O2980" s="19"/>
      <c r="P2980" s="19"/>
      <c r="Q2980" s="19"/>
      <c r="R2980" s="19"/>
      <c r="S2980" s="19"/>
      <c r="T2980" s="19"/>
      <c r="U2980" s="19"/>
      <c r="V2980" s="19" t="n">
        <v>4</v>
      </c>
      <c r="W2980" s="19"/>
      <c r="X2980" s="19"/>
      <c r="Y2980" s="19"/>
      <c r="Z2980" s="19"/>
      <c r="AA2980" s="19"/>
      <c r="AB2980" s="19"/>
      <c r="AC2980" s="19" t="n">
        <v>10</v>
      </c>
      <c r="AD2980" s="19"/>
      <c r="AE2980" s="19"/>
      <c r="AF2980" s="19"/>
      <c r="AG2980" s="19" t="n">
        <v>10</v>
      </c>
      <c r="AH2980" s="19" t="n">
        <v>7</v>
      </c>
      <c r="AI2980" s="19"/>
      <c r="AJ2980" s="19"/>
      <c r="AK2980" s="19"/>
      <c r="AL2980" s="19"/>
      <c r="AM2980" s="19" t="n">
        <v>4</v>
      </c>
      <c r="AN2980" s="19" t="n">
        <v>11</v>
      </c>
      <c r="AO2980" s="19" t="n">
        <v>7</v>
      </c>
      <c r="AP2980" s="19" t="n">
        <v>5</v>
      </c>
      <c r="AQ2980" s="19"/>
      <c r="AR2980" s="19"/>
      <c r="AS2980" s="20" t="str">
        <f aca="false">HYPERLINK("http://www.openstreetmap.org/?mlat=31.7206&amp;mlon=44.9746&amp;zoom=12#map=12/31.7206/44.9746","Maplink1")</f>
        <v>Maplink1</v>
      </c>
      <c r="AT2980" s="20" t="str">
        <f aca="false">HYPERLINK("https://www.google.iq/maps/search/+31.7206,44.9746/@31.7206,44.9746,14z?hl=en","Maplink2")</f>
        <v>Maplink2</v>
      </c>
      <c r="AU2980" s="20" t="str">
        <f aca="false">HYPERLINK("http://www.bing.com/maps/?lvl=14&amp;sty=h&amp;cp=31.7206~44.9746&amp;sp=point.31.7206_44.9746","Maplink3")</f>
        <v>Maplink3</v>
      </c>
    </row>
    <row r="2981" customFormat="false" ht="15" hidden="false" customHeight="true" outlineLevel="0" collapsed="false">
      <c r="A2981" s="15" t="n">
        <v>25286</v>
      </c>
      <c r="B2981" s="16" t="s">
        <v>28</v>
      </c>
      <c r="C2981" s="16" t="s">
        <v>5684</v>
      </c>
      <c r="D2981" s="16" t="s">
        <v>5699</v>
      </c>
      <c r="E2981" s="17" t="s">
        <v>5700</v>
      </c>
      <c r="F2981" s="16" t="n">
        <v>31.81012007</v>
      </c>
      <c r="G2981" s="16" t="n">
        <v>44.94030803</v>
      </c>
      <c r="H2981" s="18" t="n">
        <v>9</v>
      </c>
      <c r="I2981" s="18" t="n">
        <v>54</v>
      </c>
      <c r="J2981" s="19" t="n">
        <v>3</v>
      </c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 t="n">
        <v>6</v>
      </c>
      <c r="W2981" s="19"/>
      <c r="X2981" s="19"/>
      <c r="Y2981" s="19"/>
      <c r="Z2981" s="19"/>
      <c r="AA2981" s="19"/>
      <c r="AB2981" s="19"/>
      <c r="AC2981" s="19" t="n">
        <v>4</v>
      </c>
      <c r="AD2981" s="19"/>
      <c r="AE2981" s="19"/>
      <c r="AF2981" s="19"/>
      <c r="AG2981" s="19" t="n">
        <v>5</v>
      </c>
      <c r="AH2981" s="19"/>
      <c r="AI2981" s="19"/>
      <c r="AJ2981" s="19"/>
      <c r="AK2981" s="19"/>
      <c r="AL2981" s="19"/>
      <c r="AM2981" s="19"/>
      <c r="AN2981" s="19" t="n">
        <v>6</v>
      </c>
      <c r="AO2981" s="19" t="n">
        <v>3</v>
      </c>
      <c r="AP2981" s="19"/>
      <c r="AQ2981" s="19"/>
      <c r="AR2981" s="19"/>
      <c r="AS2981" s="20" t="str">
        <f aca="false">HYPERLINK("http://www.openstreetmap.org/?mlat=31.8101&amp;mlon=44.9403&amp;zoom=12#map=12/31.8101/44.9403","Maplink1")</f>
        <v>Maplink1</v>
      </c>
      <c r="AT2981" s="20" t="str">
        <f aca="false">HYPERLINK("https://www.google.iq/maps/search/+31.8101,44.9403/@31.8101,44.9403,14z?hl=en","Maplink2")</f>
        <v>Maplink2</v>
      </c>
      <c r="AU2981" s="20" t="str">
        <f aca="false">HYPERLINK("http://www.bing.com/maps/?lvl=14&amp;sty=h&amp;cp=31.8101~44.9403&amp;sp=point.31.8101_44.9403","Maplink3")</f>
        <v>Maplink3</v>
      </c>
    </row>
    <row r="2982" customFormat="false" ht="15" hidden="false" customHeight="true" outlineLevel="0" collapsed="false">
      <c r="A2982" s="15" t="n">
        <v>24618</v>
      </c>
      <c r="B2982" s="16" t="s">
        <v>28</v>
      </c>
      <c r="C2982" s="16" t="s">
        <v>5684</v>
      </c>
      <c r="D2982" s="16" t="s">
        <v>5701</v>
      </c>
      <c r="E2982" s="17" t="s">
        <v>226</v>
      </c>
      <c r="F2982" s="16" t="n">
        <v>31.58451218</v>
      </c>
      <c r="G2982" s="16" t="n">
        <v>44.64627975</v>
      </c>
      <c r="H2982" s="18" t="n">
        <v>30</v>
      </c>
      <c r="I2982" s="18" t="n">
        <v>180</v>
      </c>
      <c r="J2982" s="19" t="n">
        <v>6</v>
      </c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 t="n">
        <v>24</v>
      </c>
      <c r="W2982" s="19"/>
      <c r="X2982" s="19"/>
      <c r="Y2982" s="19"/>
      <c r="Z2982" s="19"/>
      <c r="AA2982" s="19"/>
      <c r="AB2982" s="19"/>
      <c r="AC2982" s="19" t="n">
        <v>18</v>
      </c>
      <c r="AD2982" s="19"/>
      <c r="AE2982" s="19"/>
      <c r="AF2982" s="19"/>
      <c r="AG2982" s="19"/>
      <c r="AH2982" s="19" t="n">
        <v>12</v>
      </c>
      <c r="AI2982" s="19"/>
      <c r="AJ2982" s="19"/>
      <c r="AK2982" s="19"/>
      <c r="AL2982" s="19"/>
      <c r="AM2982" s="19" t="n">
        <v>14</v>
      </c>
      <c r="AN2982" s="19" t="n">
        <v>16</v>
      </c>
      <c r="AO2982" s="19"/>
      <c r="AP2982" s="19"/>
      <c r="AQ2982" s="19"/>
      <c r="AR2982" s="19"/>
      <c r="AS2982" s="20" t="str">
        <f aca="false">HYPERLINK("http://www.openstreetmap.org/?mlat=31.5845&amp;mlon=44.6463&amp;zoom=12#map=12/31.5845/44.6463","Maplink1")</f>
        <v>Maplink1</v>
      </c>
      <c r="AT2982" s="20" t="str">
        <f aca="false">HYPERLINK("https://www.google.iq/maps/search/+31.5845,44.6463/@31.5845,44.6463,14z?hl=en","Maplink2")</f>
        <v>Maplink2</v>
      </c>
      <c r="AU2982" s="20" t="str">
        <f aca="false">HYPERLINK("http://www.bing.com/maps/?lvl=14&amp;sty=h&amp;cp=31.5845~44.6463&amp;sp=point.31.5845_44.6463","Maplink3")</f>
        <v>Maplink3</v>
      </c>
    </row>
    <row r="2983" customFormat="false" ht="15" hidden="false" customHeight="true" outlineLevel="0" collapsed="false">
      <c r="A2983" s="15" t="n">
        <v>25285</v>
      </c>
      <c r="B2983" s="16" t="s">
        <v>28</v>
      </c>
      <c r="C2983" s="16" t="s">
        <v>5684</v>
      </c>
      <c r="D2983" s="16" t="s">
        <v>2103</v>
      </c>
      <c r="E2983" s="17" t="s">
        <v>79</v>
      </c>
      <c r="F2983" s="16" t="n">
        <v>31.82732389</v>
      </c>
      <c r="G2983" s="16" t="n">
        <v>44.93874069</v>
      </c>
      <c r="H2983" s="18" t="n">
        <v>37</v>
      </c>
      <c r="I2983" s="18" t="n">
        <v>222</v>
      </c>
      <c r="J2983" s="19" t="n">
        <v>9</v>
      </c>
      <c r="K2983" s="19"/>
      <c r="L2983" s="19"/>
      <c r="M2983" s="19"/>
      <c r="N2983" s="19"/>
      <c r="O2983" s="19"/>
      <c r="P2983" s="19"/>
      <c r="Q2983" s="19"/>
      <c r="R2983" s="19" t="n">
        <v>3</v>
      </c>
      <c r="S2983" s="19"/>
      <c r="T2983" s="19"/>
      <c r="U2983" s="19"/>
      <c r="V2983" s="19" t="n">
        <v>25</v>
      </c>
      <c r="W2983" s="19"/>
      <c r="X2983" s="19"/>
      <c r="Y2983" s="19"/>
      <c r="Z2983" s="19"/>
      <c r="AA2983" s="19"/>
      <c r="AB2983" s="19"/>
      <c r="AC2983" s="19" t="n">
        <v>4</v>
      </c>
      <c r="AD2983" s="19"/>
      <c r="AE2983" s="19"/>
      <c r="AF2983" s="19"/>
      <c r="AG2983" s="19" t="n">
        <v>22</v>
      </c>
      <c r="AH2983" s="19" t="n">
        <v>11</v>
      </c>
      <c r="AI2983" s="19"/>
      <c r="AJ2983" s="19"/>
      <c r="AK2983" s="19"/>
      <c r="AL2983" s="19"/>
      <c r="AM2983" s="19" t="n">
        <v>11</v>
      </c>
      <c r="AN2983" s="19" t="n">
        <v>17</v>
      </c>
      <c r="AO2983" s="19" t="n">
        <v>7</v>
      </c>
      <c r="AP2983" s="19" t="n">
        <v>2</v>
      </c>
      <c r="AQ2983" s="19"/>
      <c r="AR2983" s="19"/>
      <c r="AS2983" s="20" t="str">
        <f aca="false">HYPERLINK("http://www.openstreetmap.org/?mlat=31.8273&amp;mlon=44.9387&amp;zoom=12#map=12/31.8273/44.9387","Maplink1")</f>
        <v>Maplink1</v>
      </c>
      <c r="AT2983" s="20" t="str">
        <f aca="false">HYPERLINK("https://www.google.iq/maps/search/+31.8273,44.9387/@31.8273,44.9387,14z?hl=en","Maplink2")</f>
        <v>Maplink2</v>
      </c>
      <c r="AU2983" s="20" t="str">
        <f aca="false">HYPERLINK("http://www.bing.com/maps/?lvl=14&amp;sty=h&amp;cp=31.8273~44.9387&amp;sp=point.31.8273_44.9387","Maplink3")</f>
        <v>Maplink3</v>
      </c>
    </row>
    <row r="2984" customFormat="false" ht="15" hidden="false" customHeight="true" outlineLevel="0" collapsed="false">
      <c r="A2984" s="15" t="n">
        <v>25564</v>
      </c>
      <c r="B2984" s="16" t="s">
        <v>28</v>
      </c>
      <c r="C2984" s="16" t="s">
        <v>5684</v>
      </c>
      <c r="D2984" s="16" t="s">
        <v>5702</v>
      </c>
      <c r="E2984" s="17" t="s">
        <v>5703</v>
      </c>
      <c r="F2984" s="16" t="n">
        <v>31.82521395</v>
      </c>
      <c r="G2984" s="16" t="n">
        <v>44.9397694</v>
      </c>
      <c r="H2984" s="18" t="n">
        <v>10</v>
      </c>
      <c r="I2984" s="18" t="n">
        <v>60</v>
      </c>
      <c r="J2984" s="19" t="n">
        <v>4</v>
      </c>
      <c r="K2984" s="19"/>
      <c r="L2984" s="19"/>
      <c r="M2984" s="19"/>
      <c r="N2984" s="19"/>
      <c r="O2984" s="19"/>
      <c r="P2984" s="19"/>
      <c r="Q2984" s="19"/>
      <c r="R2984" s="19" t="n">
        <v>3</v>
      </c>
      <c r="S2984" s="19"/>
      <c r="T2984" s="19"/>
      <c r="U2984" s="19"/>
      <c r="V2984" s="19" t="n">
        <v>3</v>
      </c>
      <c r="W2984" s="19"/>
      <c r="X2984" s="19"/>
      <c r="Y2984" s="19"/>
      <c r="Z2984" s="19"/>
      <c r="AA2984" s="19"/>
      <c r="AB2984" s="19"/>
      <c r="AC2984" s="19" t="n">
        <v>3</v>
      </c>
      <c r="AD2984" s="19"/>
      <c r="AE2984" s="19"/>
      <c r="AF2984" s="19"/>
      <c r="AG2984" s="19" t="n">
        <v>2</v>
      </c>
      <c r="AH2984" s="19" t="n">
        <v>5</v>
      </c>
      <c r="AI2984" s="19"/>
      <c r="AJ2984" s="19"/>
      <c r="AK2984" s="19"/>
      <c r="AL2984" s="19"/>
      <c r="AM2984" s="19" t="n">
        <v>7</v>
      </c>
      <c r="AN2984" s="19" t="n">
        <v>3</v>
      </c>
      <c r="AO2984" s="19"/>
      <c r="AP2984" s="19"/>
      <c r="AQ2984" s="19"/>
      <c r="AR2984" s="19"/>
      <c r="AS2984" s="20" t="str">
        <f aca="false">HYPERLINK("http://www.openstreetmap.org/?mlat=31.8252&amp;mlon=44.9398&amp;zoom=12#map=12/31.8252/44.9398","Maplink1")</f>
        <v>Maplink1</v>
      </c>
      <c r="AT2984" s="20" t="str">
        <f aca="false">HYPERLINK("https://www.google.iq/maps/search/+31.8252,44.9398/@31.8252,44.9398,14z?hl=en","Maplink2")</f>
        <v>Maplink2</v>
      </c>
      <c r="AU2984" s="20" t="str">
        <f aca="false">HYPERLINK("http://www.bing.com/maps/?lvl=14&amp;sty=h&amp;cp=31.8252~44.9398&amp;sp=point.31.8252_44.9398","Maplink3")</f>
        <v>Maplink3</v>
      </c>
    </row>
    <row r="2985" customFormat="false" ht="15" hidden="false" customHeight="true" outlineLevel="0" collapsed="false">
      <c r="A2985" s="15" t="n">
        <v>22000</v>
      </c>
      <c r="B2985" s="16" t="s">
        <v>28</v>
      </c>
      <c r="C2985" s="16" t="s">
        <v>5684</v>
      </c>
      <c r="D2985" s="16" t="s">
        <v>5704</v>
      </c>
      <c r="E2985" s="17" t="s">
        <v>572</v>
      </c>
      <c r="F2985" s="16" t="n">
        <v>31.71388443</v>
      </c>
      <c r="G2985" s="16" t="n">
        <v>44.97182909</v>
      </c>
      <c r="H2985" s="18" t="n">
        <v>65</v>
      </c>
      <c r="I2985" s="18" t="n">
        <v>390</v>
      </c>
      <c r="J2985" s="19" t="n">
        <v>35</v>
      </c>
      <c r="K2985" s="19"/>
      <c r="L2985" s="19"/>
      <c r="M2985" s="19"/>
      <c r="N2985" s="19"/>
      <c r="O2985" s="19"/>
      <c r="P2985" s="19"/>
      <c r="Q2985" s="19"/>
      <c r="R2985" s="19" t="n">
        <v>6</v>
      </c>
      <c r="S2985" s="19"/>
      <c r="T2985" s="19"/>
      <c r="U2985" s="19"/>
      <c r="V2985" s="19" t="n">
        <v>24</v>
      </c>
      <c r="W2985" s="19"/>
      <c r="X2985" s="19"/>
      <c r="Y2985" s="19"/>
      <c r="Z2985" s="19"/>
      <c r="AA2985" s="19"/>
      <c r="AB2985" s="19"/>
      <c r="AC2985" s="19" t="n">
        <v>14</v>
      </c>
      <c r="AD2985" s="19"/>
      <c r="AE2985" s="19"/>
      <c r="AF2985" s="19"/>
      <c r="AG2985" s="19" t="n">
        <v>10</v>
      </c>
      <c r="AH2985" s="19" t="n">
        <v>41</v>
      </c>
      <c r="AI2985" s="19"/>
      <c r="AJ2985" s="19"/>
      <c r="AK2985" s="19"/>
      <c r="AL2985" s="19"/>
      <c r="AM2985" s="19" t="n">
        <v>6</v>
      </c>
      <c r="AN2985" s="19" t="n">
        <v>24</v>
      </c>
      <c r="AO2985" s="19" t="n">
        <v>26</v>
      </c>
      <c r="AP2985" s="19" t="n">
        <v>9</v>
      </c>
      <c r="AQ2985" s="19"/>
      <c r="AR2985" s="19"/>
      <c r="AS2985" s="20" t="str">
        <f aca="false">HYPERLINK("http://www.openstreetmap.org/?mlat=31.7139&amp;mlon=44.9718&amp;zoom=12#map=12/31.7139/44.9718","Maplink1")</f>
        <v>Maplink1</v>
      </c>
      <c r="AT2985" s="20" t="str">
        <f aca="false">HYPERLINK("https://www.google.iq/maps/search/+31.7139,44.9718/@31.7139,44.9718,14z?hl=en","Maplink2")</f>
        <v>Maplink2</v>
      </c>
      <c r="AU2985" s="20" t="str">
        <f aca="false">HYPERLINK("http://www.bing.com/maps/?lvl=14&amp;sty=h&amp;cp=31.7139~44.9718&amp;sp=point.31.7139_44.9718","Maplink3")</f>
        <v>Maplink3</v>
      </c>
    </row>
    <row r="2986" customFormat="false" ht="15" hidden="false" customHeight="true" outlineLevel="0" collapsed="false">
      <c r="A2986" s="15" t="n">
        <v>24582</v>
      </c>
      <c r="B2986" s="16" t="s">
        <v>28</v>
      </c>
      <c r="C2986" s="16" t="s">
        <v>5684</v>
      </c>
      <c r="D2986" s="16" t="s">
        <v>5705</v>
      </c>
      <c r="E2986" s="17" t="s">
        <v>5706</v>
      </c>
      <c r="F2986" s="16" t="n">
        <v>31.72702608</v>
      </c>
      <c r="G2986" s="16" t="n">
        <v>44.97175014</v>
      </c>
      <c r="H2986" s="18" t="n">
        <v>50</v>
      </c>
      <c r="I2986" s="18" t="n">
        <v>300</v>
      </c>
      <c r="J2986" s="19" t="n">
        <v>7</v>
      </c>
      <c r="K2986" s="19"/>
      <c r="L2986" s="19"/>
      <c r="M2986" s="19"/>
      <c r="N2986" s="19"/>
      <c r="O2986" s="19" t="n">
        <v>2</v>
      </c>
      <c r="P2986" s="19"/>
      <c r="Q2986" s="19"/>
      <c r="R2986" s="19"/>
      <c r="S2986" s="19"/>
      <c r="T2986" s="19"/>
      <c r="U2986" s="19"/>
      <c r="V2986" s="19" t="n">
        <v>41</v>
      </c>
      <c r="W2986" s="19"/>
      <c r="X2986" s="19"/>
      <c r="Y2986" s="19"/>
      <c r="Z2986" s="19"/>
      <c r="AA2986" s="19"/>
      <c r="AB2986" s="19"/>
      <c r="AC2986" s="19" t="n">
        <v>6</v>
      </c>
      <c r="AD2986" s="19"/>
      <c r="AE2986" s="19"/>
      <c r="AF2986" s="19"/>
      <c r="AG2986" s="19" t="n">
        <v>21</v>
      </c>
      <c r="AH2986" s="19" t="n">
        <v>23</v>
      </c>
      <c r="AI2986" s="19"/>
      <c r="AJ2986" s="19"/>
      <c r="AK2986" s="19"/>
      <c r="AL2986" s="19"/>
      <c r="AM2986" s="19" t="n">
        <v>7</v>
      </c>
      <c r="AN2986" s="19" t="n">
        <v>36</v>
      </c>
      <c r="AO2986" s="19" t="n">
        <v>7</v>
      </c>
      <c r="AP2986" s="19"/>
      <c r="AQ2986" s="19"/>
      <c r="AR2986" s="19"/>
      <c r="AS2986" s="20" t="str">
        <f aca="false">HYPERLINK("http://www.openstreetmap.org/?mlat=31.727&amp;mlon=44.9718&amp;zoom=12#map=12/31.727/44.9718","Maplink1")</f>
        <v>Maplink1</v>
      </c>
      <c r="AT2986" s="20" t="str">
        <f aca="false">HYPERLINK("https://www.google.iq/maps/search/+31.727,44.9718/@31.727,44.9718,14z?hl=en","Maplink2")</f>
        <v>Maplink2</v>
      </c>
      <c r="AU2986" s="20" t="str">
        <f aca="false">HYPERLINK("http://www.bing.com/maps/?lvl=14&amp;sty=h&amp;cp=31.727~44.9718&amp;sp=point.31.727_44.9718","Maplink3")</f>
        <v>Maplink3</v>
      </c>
    </row>
    <row r="2987" customFormat="false" ht="15" hidden="false" customHeight="true" outlineLevel="0" collapsed="false">
      <c r="A2987" s="15" t="n">
        <v>25284</v>
      </c>
      <c r="B2987" s="16" t="s">
        <v>28</v>
      </c>
      <c r="C2987" s="16" t="s">
        <v>5684</v>
      </c>
      <c r="D2987" s="16" t="s">
        <v>5707</v>
      </c>
      <c r="E2987" s="17" t="s">
        <v>5708</v>
      </c>
      <c r="F2987" s="16" t="n">
        <v>31.73927732</v>
      </c>
      <c r="G2987" s="16" t="n">
        <v>44.97749912</v>
      </c>
      <c r="H2987" s="18" t="n">
        <v>45</v>
      </c>
      <c r="I2987" s="18" t="n">
        <v>270</v>
      </c>
      <c r="J2987" s="19" t="n">
        <v>10</v>
      </c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 t="n">
        <v>35</v>
      </c>
      <c r="W2987" s="19"/>
      <c r="X2987" s="19"/>
      <c r="Y2987" s="19"/>
      <c r="Z2987" s="19"/>
      <c r="AA2987" s="19"/>
      <c r="AB2987" s="19"/>
      <c r="AC2987" s="19" t="n">
        <v>16</v>
      </c>
      <c r="AD2987" s="19"/>
      <c r="AE2987" s="19"/>
      <c r="AF2987" s="19"/>
      <c r="AG2987" s="19" t="n">
        <v>13</v>
      </c>
      <c r="AH2987" s="19" t="n">
        <v>16</v>
      </c>
      <c r="AI2987" s="19"/>
      <c r="AJ2987" s="19"/>
      <c r="AK2987" s="19"/>
      <c r="AL2987" s="19"/>
      <c r="AM2987" s="19" t="n">
        <v>10</v>
      </c>
      <c r="AN2987" s="19" t="n">
        <v>30</v>
      </c>
      <c r="AO2987" s="19" t="n">
        <v>5</v>
      </c>
      <c r="AP2987" s="19"/>
      <c r="AQ2987" s="19"/>
      <c r="AR2987" s="19"/>
      <c r="AS2987" s="20" t="str">
        <f aca="false">HYPERLINK("http://www.openstreetmap.org/?mlat=31.7393&amp;mlon=44.9775&amp;zoom=12#map=12/31.7393/44.9775","Maplink1")</f>
        <v>Maplink1</v>
      </c>
      <c r="AT2987" s="20" t="str">
        <f aca="false">HYPERLINK("https://www.google.iq/maps/search/+31.7393,44.9775/@31.7393,44.9775,14z?hl=en","Maplink2")</f>
        <v>Maplink2</v>
      </c>
      <c r="AU2987" s="20" t="str">
        <f aca="false">HYPERLINK("http://www.bing.com/maps/?lvl=14&amp;sty=h&amp;cp=31.7393~44.9775&amp;sp=point.31.7393_44.9775","Maplink3")</f>
        <v>Maplink3</v>
      </c>
    </row>
    <row r="2988" customFormat="false" ht="15" hidden="false" customHeight="true" outlineLevel="0" collapsed="false">
      <c r="A2988" s="15" t="n">
        <v>25281</v>
      </c>
      <c r="B2988" s="16" t="s">
        <v>28</v>
      </c>
      <c r="C2988" s="16" t="s">
        <v>5684</v>
      </c>
      <c r="D2988" s="16" t="s">
        <v>5709</v>
      </c>
      <c r="E2988" s="17" t="s">
        <v>5710</v>
      </c>
      <c r="F2988" s="16" t="n">
        <v>31.66105627</v>
      </c>
      <c r="G2988" s="16" t="n">
        <v>45.01134248</v>
      </c>
      <c r="H2988" s="18" t="n">
        <v>30</v>
      </c>
      <c r="I2988" s="18" t="n">
        <v>180</v>
      </c>
      <c r="J2988" s="19" t="n">
        <v>6</v>
      </c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 t="n">
        <v>24</v>
      </c>
      <c r="W2988" s="19"/>
      <c r="X2988" s="19"/>
      <c r="Y2988" s="19"/>
      <c r="Z2988" s="19"/>
      <c r="AA2988" s="19"/>
      <c r="AB2988" s="19"/>
      <c r="AC2988" s="19" t="n">
        <v>10</v>
      </c>
      <c r="AD2988" s="19"/>
      <c r="AE2988" s="19"/>
      <c r="AF2988" s="19"/>
      <c r="AG2988" s="19" t="n">
        <v>20</v>
      </c>
      <c r="AH2988" s="19"/>
      <c r="AI2988" s="19"/>
      <c r="AJ2988" s="19"/>
      <c r="AK2988" s="19"/>
      <c r="AL2988" s="19"/>
      <c r="AM2988" s="19" t="n">
        <v>10</v>
      </c>
      <c r="AN2988" s="19" t="n">
        <v>14</v>
      </c>
      <c r="AO2988" s="19" t="n">
        <v>6</v>
      </c>
      <c r="AP2988" s="19"/>
      <c r="AQ2988" s="19"/>
      <c r="AR2988" s="19"/>
      <c r="AS2988" s="20" t="str">
        <f aca="false">HYPERLINK("http://www.openstreetmap.org/?mlat=31.6611&amp;mlon=45.0113&amp;zoom=12#map=12/31.6611/45.0113","Maplink1")</f>
        <v>Maplink1</v>
      </c>
      <c r="AT2988" s="20" t="str">
        <f aca="false">HYPERLINK("https://www.google.iq/maps/search/+31.6611,45.0113/@31.6611,45.0113,14z?hl=en","Maplink2")</f>
        <v>Maplink2</v>
      </c>
      <c r="AU2988" s="20" t="str">
        <f aca="false">HYPERLINK("http://www.bing.com/maps/?lvl=14&amp;sty=h&amp;cp=31.6611~45.0113&amp;sp=point.31.6611_45.0113","Maplink3")</f>
        <v>Maplink3</v>
      </c>
    </row>
    <row r="2989" customFormat="false" ht="15" hidden="false" customHeight="true" outlineLevel="0" collapsed="false">
      <c r="A2989" s="15" t="n">
        <v>26116</v>
      </c>
      <c r="B2989" s="16" t="s">
        <v>29</v>
      </c>
      <c r="C2989" s="16" t="s">
        <v>5711</v>
      </c>
      <c r="D2989" s="16" t="s">
        <v>5712</v>
      </c>
      <c r="E2989" s="17" t="s">
        <v>5549</v>
      </c>
      <c r="F2989" s="16" t="n">
        <v>34.40730847</v>
      </c>
      <c r="G2989" s="16" t="n">
        <v>43.79371673</v>
      </c>
      <c r="H2989" s="18" t="n">
        <v>272</v>
      </c>
      <c r="I2989" s="18" t="n">
        <v>1632</v>
      </c>
      <c r="J2989" s="19"/>
      <c r="K2989" s="19"/>
      <c r="L2989" s="19"/>
      <c r="M2989" s="19"/>
      <c r="N2989" s="19"/>
      <c r="O2989" s="19"/>
      <c r="P2989" s="19"/>
      <c r="Q2989" s="19"/>
      <c r="R2989" s="19" t="n">
        <v>145</v>
      </c>
      <c r="S2989" s="19"/>
      <c r="T2989" s="19"/>
      <c r="U2989" s="19"/>
      <c r="V2989" s="19" t="n">
        <v>2</v>
      </c>
      <c r="W2989" s="19"/>
      <c r="X2989" s="19" t="n">
        <v>125</v>
      </c>
      <c r="Y2989" s="19"/>
      <c r="Z2989" s="19"/>
      <c r="AA2989" s="19"/>
      <c r="AB2989" s="19"/>
      <c r="AC2989" s="19" t="n">
        <v>63</v>
      </c>
      <c r="AD2989" s="19"/>
      <c r="AE2989" s="19"/>
      <c r="AF2989" s="19"/>
      <c r="AG2989" s="19"/>
      <c r="AH2989" s="19" t="n">
        <v>209</v>
      </c>
      <c r="AI2989" s="19"/>
      <c r="AJ2989" s="19"/>
      <c r="AK2989" s="19"/>
      <c r="AL2989" s="19"/>
      <c r="AM2989" s="19"/>
      <c r="AN2989" s="19"/>
      <c r="AO2989" s="19"/>
      <c r="AP2989" s="19"/>
      <c r="AQ2989" s="19" t="n">
        <v>60</v>
      </c>
      <c r="AR2989" s="19" t="n">
        <v>212</v>
      </c>
      <c r="AS2989" s="20" t="str">
        <f aca="false">HYPERLINK("http://www.openstreetmap.org/?mlat=34.4073&amp;mlon=43.7937&amp;zoom=12#map=12/34.4073/43.7937","Maplink1")</f>
        <v>Maplink1</v>
      </c>
      <c r="AT2989" s="20" t="str">
        <f aca="false">HYPERLINK("https://www.google.iq/maps/search/+34.4073,43.7937/@34.4073,43.7937,14z?hl=en","Maplink2")</f>
        <v>Maplink2</v>
      </c>
      <c r="AU2989" s="20" t="str">
        <f aca="false">HYPERLINK("http://www.bing.com/maps/?lvl=14&amp;sty=h&amp;cp=34.4073~43.7937&amp;sp=point.34.4073_43.7937","Maplink3")</f>
        <v>Maplink3</v>
      </c>
    </row>
    <row r="2990" customFormat="false" ht="15" hidden="false" customHeight="true" outlineLevel="0" collapsed="false">
      <c r="A2990" s="15" t="n">
        <v>20746</v>
      </c>
      <c r="B2990" s="16" t="s">
        <v>29</v>
      </c>
      <c r="C2990" s="16" t="s">
        <v>5711</v>
      </c>
      <c r="D2990" s="16" t="s">
        <v>5713</v>
      </c>
      <c r="E2990" s="17" t="s">
        <v>5714</v>
      </c>
      <c r="F2990" s="16" t="n">
        <v>34.47699758</v>
      </c>
      <c r="G2990" s="16" t="n">
        <v>43.79074065</v>
      </c>
      <c r="H2990" s="18" t="n">
        <v>6</v>
      </c>
      <c r="I2990" s="18" t="n">
        <v>36</v>
      </c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 t="n">
        <v>6</v>
      </c>
      <c r="Y2990" s="19"/>
      <c r="Z2990" s="19"/>
      <c r="AA2990" s="19"/>
      <c r="AB2990" s="19"/>
      <c r="AC2990" s="19"/>
      <c r="AD2990" s="19"/>
      <c r="AE2990" s="19"/>
      <c r="AF2990" s="19"/>
      <c r="AG2990" s="19"/>
      <c r="AH2990" s="19" t="n">
        <v>6</v>
      </c>
      <c r="AI2990" s="19"/>
      <c r="AJ2990" s="19"/>
      <c r="AK2990" s="19"/>
      <c r="AL2990" s="19"/>
      <c r="AM2990" s="19"/>
      <c r="AN2990" s="19"/>
      <c r="AO2990" s="19"/>
      <c r="AP2990" s="19"/>
      <c r="AQ2990" s="19"/>
      <c r="AR2990" s="19" t="n">
        <v>6</v>
      </c>
      <c r="AS2990" s="20" t="str">
        <f aca="false">HYPERLINK("http://www.openstreetmap.org/?mlat=34.477&amp;mlon=43.7907&amp;zoom=12#map=12/34.477/43.7907","Maplink1")</f>
        <v>Maplink1</v>
      </c>
      <c r="AT2990" s="20" t="str">
        <f aca="false">HYPERLINK("https://www.google.iq/maps/search/+34.477,43.7907/@34.477,43.7907,14z?hl=en","Maplink2")</f>
        <v>Maplink2</v>
      </c>
      <c r="AU2990" s="20" t="str">
        <f aca="false">HYPERLINK("http://www.bing.com/maps/?lvl=14&amp;sty=h&amp;cp=34.477~43.7907&amp;sp=point.34.477_43.7907","Maplink3")</f>
        <v>Maplink3</v>
      </c>
    </row>
    <row r="2991" customFormat="false" ht="15" hidden="false" customHeight="true" outlineLevel="0" collapsed="false">
      <c r="A2991" s="15" t="n">
        <v>20584</v>
      </c>
      <c r="B2991" s="16" t="s">
        <v>29</v>
      </c>
      <c r="C2991" s="16" t="s">
        <v>5711</v>
      </c>
      <c r="D2991" s="16" t="s">
        <v>5715</v>
      </c>
      <c r="E2991" s="17" t="s">
        <v>5716</v>
      </c>
      <c r="F2991" s="16" t="n">
        <v>34.4527</v>
      </c>
      <c r="G2991" s="16" t="n">
        <v>43.8002</v>
      </c>
      <c r="H2991" s="18" t="n">
        <v>6</v>
      </c>
      <c r="I2991" s="18" t="n">
        <v>36</v>
      </c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 t="n">
        <v>6</v>
      </c>
      <c r="Y2991" s="19"/>
      <c r="Z2991" s="19"/>
      <c r="AA2991" s="19"/>
      <c r="AB2991" s="19"/>
      <c r="AC2991" s="19"/>
      <c r="AD2991" s="19"/>
      <c r="AE2991" s="19"/>
      <c r="AF2991" s="19"/>
      <c r="AG2991" s="19"/>
      <c r="AH2991" s="19"/>
      <c r="AI2991" s="19" t="n">
        <v>4</v>
      </c>
      <c r="AJ2991" s="19"/>
      <c r="AK2991" s="19" t="n">
        <v>2</v>
      </c>
      <c r="AL2991" s="19"/>
      <c r="AM2991" s="19"/>
      <c r="AN2991" s="19"/>
      <c r="AO2991" s="19"/>
      <c r="AP2991" s="19"/>
      <c r="AQ2991" s="19" t="n">
        <v>4</v>
      </c>
      <c r="AR2991" s="19" t="n">
        <v>2</v>
      </c>
      <c r="AS2991" s="20" t="str">
        <f aca="false">HYPERLINK("http://www.openstreetmap.org/?mlat=34.4527&amp;mlon=43.8002&amp;zoom=12#map=12/34.4527/43.8002","Maplink1")</f>
        <v>Maplink1</v>
      </c>
      <c r="AT2991" s="20" t="str">
        <f aca="false">HYPERLINK("https://www.google.iq/maps/search/+34.4527,43.8002/@34.4527,43.8002,14z?hl=en","Maplink2")</f>
        <v>Maplink2</v>
      </c>
      <c r="AU2991" s="20" t="str">
        <f aca="false">HYPERLINK("http://www.bing.com/maps/?lvl=14&amp;sty=h&amp;cp=34.4527~43.8002&amp;sp=point.34.4527_43.8002","Maplink3")</f>
        <v>Maplink3</v>
      </c>
    </row>
    <row r="2992" customFormat="false" ht="15" hidden="false" customHeight="true" outlineLevel="0" collapsed="false">
      <c r="A2992" s="15" t="n">
        <v>20713</v>
      </c>
      <c r="B2992" s="16" t="s">
        <v>29</v>
      </c>
      <c r="C2992" s="16" t="s">
        <v>5711</v>
      </c>
      <c r="D2992" s="16" t="s">
        <v>5717</v>
      </c>
      <c r="E2992" s="17" t="s">
        <v>135</v>
      </c>
      <c r="F2992" s="16" t="n">
        <v>34.47331315</v>
      </c>
      <c r="G2992" s="16" t="n">
        <v>43.79128573</v>
      </c>
      <c r="H2992" s="18" t="n">
        <v>17</v>
      </c>
      <c r="I2992" s="18" t="n">
        <v>102</v>
      </c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 t="n">
        <v>17</v>
      </c>
      <c r="Y2992" s="19"/>
      <c r="Z2992" s="19"/>
      <c r="AA2992" s="19"/>
      <c r="AB2992" s="19"/>
      <c r="AC2992" s="19"/>
      <c r="AD2992" s="19"/>
      <c r="AE2992" s="19"/>
      <c r="AF2992" s="19"/>
      <c r="AG2992" s="19"/>
      <c r="AH2992" s="19" t="n">
        <v>17</v>
      </c>
      <c r="AI2992" s="19"/>
      <c r="AJ2992" s="19"/>
      <c r="AK2992" s="19"/>
      <c r="AL2992" s="19"/>
      <c r="AM2992" s="19"/>
      <c r="AN2992" s="19"/>
      <c r="AO2992" s="19"/>
      <c r="AP2992" s="19"/>
      <c r="AQ2992" s="19"/>
      <c r="AR2992" s="19" t="n">
        <v>17</v>
      </c>
      <c r="AS2992" s="20" t="str">
        <f aca="false">HYPERLINK("http://www.openstreetmap.org/?mlat=34.4733&amp;mlon=43.7913&amp;zoom=12#map=12/34.4733/43.7913","Maplink1")</f>
        <v>Maplink1</v>
      </c>
      <c r="AT2992" s="20" t="str">
        <f aca="false">HYPERLINK("https://www.google.iq/maps/search/+34.4733,43.7913/@34.4733,43.7913,14z?hl=en","Maplink2")</f>
        <v>Maplink2</v>
      </c>
      <c r="AU2992" s="20" t="str">
        <f aca="false">HYPERLINK("http://www.bing.com/maps/?lvl=14&amp;sty=h&amp;cp=34.4733~43.7913&amp;sp=point.34.4733_43.7913","Maplink3")</f>
        <v>Maplink3</v>
      </c>
    </row>
    <row r="2993" customFormat="false" ht="15" hidden="false" customHeight="true" outlineLevel="0" collapsed="false">
      <c r="A2993" s="15" t="n">
        <v>24620</v>
      </c>
      <c r="B2993" s="16" t="s">
        <v>29</v>
      </c>
      <c r="C2993" s="16" t="s">
        <v>5711</v>
      </c>
      <c r="D2993" s="16" t="s">
        <v>5718</v>
      </c>
      <c r="E2993" s="17" t="s">
        <v>5719</v>
      </c>
      <c r="F2993" s="16" t="n">
        <v>34.45419</v>
      </c>
      <c r="G2993" s="16" t="n">
        <v>43.789643</v>
      </c>
      <c r="H2993" s="18" t="n">
        <v>12</v>
      </c>
      <c r="I2993" s="18" t="n">
        <v>72</v>
      </c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 t="n">
        <v>12</v>
      </c>
      <c r="Y2993" s="19"/>
      <c r="Z2993" s="19"/>
      <c r="AA2993" s="19"/>
      <c r="AB2993" s="19"/>
      <c r="AC2993" s="19"/>
      <c r="AD2993" s="19"/>
      <c r="AE2993" s="19"/>
      <c r="AF2993" s="19"/>
      <c r="AG2993" s="19"/>
      <c r="AH2993" s="19" t="n">
        <v>12</v>
      </c>
      <c r="AI2993" s="19"/>
      <c r="AJ2993" s="19"/>
      <c r="AK2993" s="19"/>
      <c r="AL2993" s="19"/>
      <c r="AM2993" s="19"/>
      <c r="AN2993" s="19"/>
      <c r="AO2993" s="19"/>
      <c r="AP2993" s="19"/>
      <c r="AQ2993" s="19"/>
      <c r="AR2993" s="19" t="n">
        <v>12</v>
      </c>
      <c r="AS2993" s="20" t="str">
        <f aca="false">HYPERLINK("http://www.openstreetmap.org/?mlat=34.4542&amp;mlon=43.7896&amp;zoom=12#map=12/34.4542/43.7896","Maplink1")</f>
        <v>Maplink1</v>
      </c>
      <c r="AT2993" s="20" t="str">
        <f aca="false">HYPERLINK("https://www.google.iq/maps/search/+34.4542,43.7896/@34.4542,43.7896,14z?hl=en","Maplink2")</f>
        <v>Maplink2</v>
      </c>
      <c r="AU2993" s="20" t="str">
        <f aca="false">HYPERLINK("http://www.bing.com/maps/?lvl=14&amp;sty=h&amp;cp=34.4542~43.7896&amp;sp=point.34.4542_43.7896","Maplink3")</f>
        <v>Maplink3</v>
      </c>
    </row>
    <row r="2994" customFormat="false" ht="15" hidden="false" customHeight="true" outlineLevel="0" collapsed="false">
      <c r="A2994" s="15" t="n">
        <v>24619</v>
      </c>
      <c r="B2994" s="16" t="s">
        <v>29</v>
      </c>
      <c r="C2994" s="16" t="s">
        <v>5711</v>
      </c>
      <c r="D2994" s="16" t="s">
        <v>5720</v>
      </c>
      <c r="E2994" s="17" t="s">
        <v>5721</v>
      </c>
      <c r="F2994" s="16" t="n">
        <v>34.456228</v>
      </c>
      <c r="G2994" s="16" t="n">
        <v>43.785326</v>
      </c>
      <c r="H2994" s="18" t="n">
        <v>6</v>
      </c>
      <c r="I2994" s="18" t="n">
        <v>36</v>
      </c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 t="n">
        <v>6</v>
      </c>
      <c r="Y2994" s="19"/>
      <c r="Z2994" s="19"/>
      <c r="AA2994" s="19"/>
      <c r="AB2994" s="19"/>
      <c r="AC2994" s="19"/>
      <c r="AD2994" s="19"/>
      <c r="AE2994" s="19"/>
      <c r="AF2994" s="19"/>
      <c r="AG2994" s="19"/>
      <c r="AH2994" s="19" t="n">
        <v>6</v>
      </c>
      <c r="AI2994" s="19"/>
      <c r="AJ2994" s="19"/>
      <c r="AK2994" s="19"/>
      <c r="AL2994" s="19"/>
      <c r="AM2994" s="19"/>
      <c r="AN2994" s="19"/>
      <c r="AO2994" s="19"/>
      <c r="AP2994" s="19"/>
      <c r="AQ2994" s="19"/>
      <c r="AR2994" s="19" t="n">
        <v>6</v>
      </c>
      <c r="AS2994" s="20" t="str">
        <f aca="false">HYPERLINK("http://www.openstreetmap.org/?mlat=34.4562&amp;mlon=43.7853&amp;zoom=12#map=12/34.4562/43.7853","Maplink1")</f>
        <v>Maplink1</v>
      </c>
      <c r="AT2994" s="20" t="str">
        <f aca="false">HYPERLINK("https://www.google.iq/maps/search/+34.4562,43.7853/@34.4562,43.7853,14z?hl=en","Maplink2")</f>
        <v>Maplink2</v>
      </c>
      <c r="AU2994" s="20" t="str">
        <f aca="false">HYPERLINK("http://www.bing.com/maps/?lvl=14&amp;sty=h&amp;cp=34.4562~43.7853&amp;sp=point.34.4562_43.7853","Maplink3")</f>
        <v>Maplink3</v>
      </c>
    </row>
    <row r="2995" customFormat="false" ht="15" hidden="false" customHeight="true" outlineLevel="0" collapsed="false">
      <c r="A2995" s="15" t="n">
        <v>26077</v>
      </c>
      <c r="B2995" s="16" t="s">
        <v>29</v>
      </c>
      <c r="C2995" s="16" t="s">
        <v>5711</v>
      </c>
      <c r="D2995" s="16" t="s">
        <v>5722</v>
      </c>
      <c r="E2995" s="17" t="s">
        <v>5723</v>
      </c>
      <c r="F2995" s="16" t="n">
        <v>34.44623168</v>
      </c>
      <c r="G2995" s="16" t="n">
        <v>43.79742145</v>
      </c>
      <c r="H2995" s="18" t="n">
        <v>62</v>
      </c>
      <c r="I2995" s="18" t="n">
        <v>372</v>
      </c>
      <c r="J2995" s="19"/>
      <c r="K2995" s="19"/>
      <c r="L2995" s="19"/>
      <c r="M2995" s="19"/>
      <c r="N2995" s="19"/>
      <c r="O2995" s="19"/>
      <c r="P2995" s="19"/>
      <c r="Q2995" s="19"/>
      <c r="R2995" s="19" t="n">
        <v>38</v>
      </c>
      <c r="S2995" s="19"/>
      <c r="T2995" s="19"/>
      <c r="U2995" s="19"/>
      <c r="V2995" s="19"/>
      <c r="W2995" s="19"/>
      <c r="X2995" s="19" t="n">
        <v>24</v>
      </c>
      <c r="Y2995" s="19"/>
      <c r="Z2995" s="19"/>
      <c r="AA2995" s="19"/>
      <c r="AB2995" s="19"/>
      <c r="AC2995" s="19"/>
      <c r="AD2995" s="19"/>
      <c r="AE2995" s="19"/>
      <c r="AF2995" s="19"/>
      <c r="AG2995" s="19"/>
      <c r="AH2995" s="19" t="n">
        <v>62</v>
      </c>
      <c r="AI2995" s="19"/>
      <c r="AJ2995" s="19"/>
      <c r="AK2995" s="19"/>
      <c r="AL2995" s="19"/>
      <c r="AM2995" s="19"/>
      <c r="AN2995" s="19"/>
      <c r="AO2995" s="19"/>
      <c r="AP2995" s="19"/>
      <c r="AQ2995" s="19" t="n">
        <v>4</v>
      </c>
      <c r="AR2995" s="19" t="n">
        <v>58</v>
      </c>
      <c r="AS2995" s="20" t="str">
        <f aca="false">HYPERLINK("http://www.openstreetmap.org/?mlat=34.4462&amp;mlon=43.7974&amp;zoom=12#map=12/34.4462/43.7974","Maplink1")</f>
        <v>Maplink1</v>
      </c>
      <c r="AT2995" s="20" t="str">
        <f aca="false">HYPERLINK("https://www.google.iq/maps/search/+34.4462,43.7974/@34.4462,43.7974,14z?hl=en","Maplink2")</f>
        <v>Maplink2</v>
      </c>
      <c r="AU2995" s="20" t="str">
        <f aca="false">HYPERLINK("http://www.bing.com/maps/?lvl=14&amp;sty=h&amp;cp=34.4462~43.7974&amp;sp=point.34.4462_43.7974","Maplink3")</f>
        <v>Maplink3</v>
      </c>
    </row>
    <row r="2996" customFormat="false" ht="15" hidden="false" customHeight="true" outlineLevel="0" collapsed="false">
      <c r="A2996" s="15" t="n">
        <v>20981</v>
      </c>
      <c r="B2996" s="16" t="s">
        <v>29</v>
      </c>
      <c r="C2996" s="16" t="s">
        <v>5724</v>
      </c>
      <c r="D2996" s="16" t="s">
        <v>5725</v>
      </c>
      <c r="E2996" s="17" t="s">
        <v>5726</v>
      </c>
      <c r="F2996" s="16" t="n">
        <v>33.7408932</v>
      </c>
      <c r="G2996" s="16" t="n">
        <v>44.26709424</v>
      </c>
      <c r="H2996" s="18" t="n">
        <v>25</v>
      </c>
      <c r="I2996" s="18" t="n">
        <v>150</v>
      </c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 t="n">
        <v>25</v>
      </c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9"/>
      <c r="AH2996" s="19" t="n">
        <v>25</v>
      </c>
      <c r="AI2996" s="19"/>
      <c r="AJ2996" s="19"/>
      <c r="AK2996" s="19"/>
      <c r="AL2996" s="19"/>
      <c r="AM2996" s="19" t="n">
        <v>25</v>
      </c>
      <c r="AN2996" s="19"/>
      <c r="AO2996" s="19"/>
      <c r="AP2996" s="19"/>
      <c r="AQ2996" s="19"/>
      <c r="AR2996" s="19"/>
      <c r="AS2996" s="20" t="str">
        <f aca="false">HYPERLINK("http://www.openstreetmap.org/?mlat=33.7409&amp;mlon=44.2671&amp;zoom=12#map=12/33.7409/44.2671","Maplink1")</f>
        <v>Maplink1</v>
      </c>
      <c r="AT2996" s="20" t="str">
        <f aca="false">HYPERLINK("https://www.google.iq/maps/search/+33.7409,44.2671/@33.7409,44.2671,14z?hl=en","Maplink2")</f>
        <v>Maplink2</v>
      </c>
      <c r="AU2996" s="20" t="str">
        <f aca="false">HYPERLINK("http://www.bing.com/maps/?lvl=14&amp;sty=h&amp;cp=33.7409~44.2671&amp;sp=point.33.7409_44.2671","Maplink3")</f>
        <v>Maplink3</v>
      </c>
    </row>
    <row r="2997" customFormat="false" ht="15" hidden="false" customHeight="true" outlineLevel="0" collapsed="false">
      <c r="A2997" s="15" t="n">
        <v>25916</v>
      </c>
      <c r="B2997" s="16" t="s">
        <v>29</v>
      </c>
      <c r="C2997" s="16" t="s">
        <v>5724</v>
      </c>
      <c r="D2997" s="16" t="s">
        <v>5727</v>
      </c>
      <c r="E2997" s="17" t="s">
        <v>5728</v>
      </c>
      <c r="F2997" s="16" t="n">
        <v>33.90931473</v>
      </c>
      <c r="G2997" s="16" t="n">
        <v>44.19807154</v>
      </c>
      <c r="H2997" s="18" t="n">
        <v>125</v>
      </c>
      <c r="I2997" s="18" t="n">
        <v>750</v>
      </c>
      <c r="J2997" s="19" t="n">
        <v>75</v>
      </c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 t="n">
        <v>50</v>
      </c>
      <c r="Y2997" s="19"/>
      <c r="Z2997" s="19"/>
      <c r="AA2997" s="19"/>
      <c r="AB2997" s="19"/>
      <c r="AC2997" s="19" t="n">
        <v>20</v>
      </c>
      <c r="AD2997" s="19"/>
      <c r="AE2997" s="19"/>
      <c r="AF2997" s="19"/>
      <c r="AG2997" s="19"/>
      <c r="AH2997" s="19" t="n">
        <v>50</v>
      </c>
      <c r="AI2997" s="19"/>
      <c r="AJ2997" s="19" t="n">
        <v>55</v>
      </c>
      <c r="AK2997" s="19"/>
      <c r="AL2997" s="19" t="n">
        <v>60</v>
      </c>
      <c r="AM2997" s="19"/>
      <c r="AN2997" s="19"/>
      <c r="AO2997" s="19" t="n">
        <v>65</v>
      </c>
      <c r="AP2997" s="19"/>
      <c r="AQ2997" s="19"/>
      <c r="AR2997" s="19"/>
      <c r="AS2997" s="20" t="str">
        <f aca="false">HYPERLINK("http://www.openstreetmap.org/?mlat=33.9093&amp;mlon=44.1981&amp;zoom=12#map=12/33.9093/44.1981","Maplink1")</f>
        <v>Maplink1</v>
      </c>
      <c r="AT2997" s="20" t="str">
        <f aca="false">HYPERLINK("https://www.google.iq/maps/search/+33.9093,44.1981/@33.9093,44.1981,14z?hl=en","Maplink2")</f>
        <v>Maplink2</v>
      </c>
      <c r="AU2997" s="20" t="str">
        <f aca="false">HYPERLINK("http://www.bing.com/maps/?lvl=14&amp;sty=h&amp;cp=33.9093~44.1981&amp;sp=point.33.9093_44.1981","Maplink3")</f>
        <v>Maplink3</v>
      </c>
    </row>
    <row r="2998" customFormat="false" ht="15" hidden="false" customHeight="true" outlineLevel="0" collapsed="false">
      <c r="A2998" s="15" t="n">
        <v>25917</v>
      </c>
      <c r="B2998" s="16" t="s">
        <v>29</v>
      </c>
      <c r="C2998" s="16" t="s">
        <v>5724</v>
      </c>
      <c r="D2998" s="16" t="s">
        <v>5729</v>
      </c>
      <c r="E2998" s="17" t="s">
        <v>5730</v>
      </c>
      <c r="F2998" s="16" t="n">
        <v>33.77079622</v>
      </c>
      <c r="G2998" s="16" t="n">
        <v>44.29201009</v>
      </c>
      <c r="H2998" s="18" t="n">
        <v>105</v>
      </c>
      <c r="I2998" s="18" t="n">
        <v>630</v>
      </c>
      <c r="J2998" s="19" t="n">
        <v>30</v>
      </c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 t="n">
        <v>75</v>
      </c>
      <c r="Y2998" s="19"/>
      <c r="Z2998" s="19"/>
      <c r="AA2998" s="19"/>
      <c r="AB2998" s="19"/>
      <c r="AC2998" s="19" t="n">
        <v>10</v>
      </c>
      <c r="AD2998" s="19"/>
      <c r="AE2998" s="19" t="n">
        <v>30</v>
      </c>
      <c r="AF2998" s="19"/>
      <c r="AG2998" s="19"/>
      <c r="AH2998" s="19" t="n">
        <v>40</v>
      </c>
      <c r="AI2998" s="19"/>
      <c r="AJ2998" s="19" t="n">
        <v>25</v>
      </c>
      <c r="AK2998" s="19"/>
      <c r="AL2998" s="19"/>
      <c r="AM2998" s="19"/>
      <c r="AN2998" s="19"/>
      <c r="AO2998" s="19" t="n">
        <v>88</v>
      </c>
      <c r="AP2998" s="19" t="n">
        <v>17</v>
      </c>
      <c r="AQ2998" s="19"/>
      <c r="AR2998" s="19"/>
      <c r="AS2998" s="20" t="str">
        <f aca="false">HYPERLINK("http://www.openstreetmap.org/?mlat=33.7708&amp;mlon=44.292&amp;zoom=12#map=12/33.7708/44.292","Maplink1")</f>
        <v>Maplink1</v>
      </c>
      <c r="AT2998" s="20" t="str">
        <f aca="false">HYPERLINK("https://www.google.iq/maps/search/+33.7708,44.292/@33.7708,44.292,14z?hl=en","Maplink2")</f>
        <v>Maplink2</v>
      </c>
      <c r="AU2998" s="20" t="str">
        <f aca="false">HYPERLINK("http://www.bing.com/maps/?lvl=14&amp;sty=h&amp;cp=33.7708~44.292&amp;sp=point.33.7708_44.292","Maplink3")</f>
        <v>Maplink3</v>
      </c>
    </row>
    <row r="2999" customFormat="false" ht="15" hidden="false" customHeight="true" outlineLevel="0" collapsed="false">
      <c r="A2999" s="15" t="n">
        <v>25946</v>
      </c>
      <c r="B2999" s="16" t="s">
        <v>29</v>
      </c>
      <c r="C2999" s="16" t="s">
        <v>5724</v>
      </c>
      <c r="D2999" s="16" t="s">
        <v>5731</v>
      </c>
      <c r="E2999" s="17" t="s">
        <v>5732</v>
      </c>
      <c r="F2999" s="16" t="n">
        <v>33.80071055</v>
      </c>
      <c r="G2999" s="16" t="n">
        <v>44.25564674</v>
      </c>
      <c r="H2999" s="18" t="n">
        <v>150</v>
      </c>
      <c r="I2999" s="18" t="n">
        <v>900</v>
      </c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 t="n">
        <v>150</v>
      </c>
      <c r="Y2999" s="19"/>
      <c r="Z2999" s="19"/>
      <c r="AA2999" s="19"/>
      <c r="AB2999" s="19"/>
      <c r="AC2999" s="19" t="n">
        <v>25</v>
      </c>
      <c r="AD2999" s="19"/>
      <c r="AE2999" s="19"/>
      <c r="AF2999" s="19"/>
      <c r="AG2999" s="19"/>
      <c r="AH2999" s="19" t="n">
        <v>125</v>
      </c>
      <c r="AI2999" s="19"/>
      <c r="AJ2999" s="19"/>
      <c r="AK2999" s="19"/>
      <c r="AL2999" s="19"/>
      <c r="AM2999" s="19"/>
      <c r="AN2999" s="19"/>
      <c r="AO2999" s="19"/>
      <c r="AP2999" s="19" t="n">
        <v>150</v>
      </c>
      <c r="AQ2999" s="19"/>
      <c r="AR2999" s="19"/>
      <c r="AS2999" s="20" t="str">
        <f aca="false">HYPERLINK("http://www.openstreetmap.org/?mlat=33.8007&amp;mlon=44.2556&amp;zoom=12#map=12/33.8007/44.2556","Maplink1")</f>
        <v>Maplink1</v>
      </c>
      <c r="AT2999" s="20" t="str">
        <f aca="false">HYPERLINK("https://www.google.iq/maps/search/+33.8007,44.2556/@33.8007,44.2556,14z?hl=en","Maplink2")</f>
        <v>Maplink2</v>
      </c>
      <c r="AU2999" s="20" t="str">
        <f aca="false">HYPERLINK("http://www.bing.com/maps/?lvl=14&amp;sty=h&amp;cp=33.8007~44.2556&amp;sp=point.33.8007_44.2556","Maplink3")</f>
        <v>Maplink3</v>
      </c>
    </row>
    <row r="3000" customFormat="false" ht="15" hidden="false" customHeight="true" outlineLevel="0" collapsed="false">
      <c r="A3000" s="15" t="n">
        <v>23920</v>
      </c>
      <c r="B3000" s="16" t="s">
        <v>29</v>
      </c>
      <c r="C3000" s="16" t="s">
        <v>5724</v>
      </c>
      <c r="D3000" s="16" t="s">
        <v>5733</v>
      </c>
      <c r="E3000" s="17" t="s">
        <v>572</v>
      </c>
      <c r="F3000" s="16" t="n">
        <v>33.84021709</v>
      </c>
      <c r="G3000" s="16" t="n">
        <v>44.24603014</v>
      </c>
      <c r="H3000" s="18" t="n">
        <v>200</v>
      </c>
      <c r="I3000" s="18" t="n">
        <v>1200</v>
      </c>
      <c r="J3000" s="19"/>
      <c r="K3000" s="19"/>
      <c r="L3000" s="19"/>
      <c r="M3000" s="19"/>
      <c r="N3000" s="19"/>
      <c r="O3000" s="19"/>
      <c r="P3000" s="19"/>
      <c r="Q3000" s="19"/>
      <c r="R3000" s="19" t="n">
        <v>125</v>
      </c>
      <c r="S3000" s="19"/>
      <c r="T3000" s="19"/>
      <c r="U3000" s="19"/>
      <c r="V3000" s="19"/>
      <c r="W3000" s="19"/>
      <c r="X3000" s="19" t="n">
        <v>75</v>
      </c>
      <c r="Y3000" s="19"/>
      <c r="Z3000" s="19"/>
      <c r="AA3000" s="19"/>
      <c r="AB3000" s="19"/>
      <c r="AC3000" s="19"/>
      <c r="AD3000" s="19"/>
      <c r="AE3000" s="19"/>
      <c r="AF3000" s="19"/>
      <c r="AG3000" s="19"/>
      <c r="AH3000" s="19" t="n">
        <v>110</v>
      </c>
      <c r="AI3000" s="19"/>
      <c r="AJ3000" s="19" t="n">
        <v>90</v>
      </c>
      <c r="AK3000" s="19"/>
      <c r="AL3000" s="19"/>
      <c r="AM3000" s="19"/>
      <c r="AN3000" s="19"/>
      <c r="AO3000" s="19"/>
      <c r="AP3000" s="19" t="n">
        <v>200</v>
      </c>
      <c r="AQ3000" s="19"/>
      <c r="AR3000" s="19"/>
      <c r="AS3000" s="20" t="str">
        <f aca="false">HYPERLINK("http://www.openstreetmap.org/?mlat=33.8402&amp;mlon=44.246&amp;zoom=12#map=12/33.8402/44.246","Maplink1")</f>
        <v>Maplink1</v>
      </c>
      <c r="AT3000" s="20" t="str">
        <f aca="false">HYPERLINK("https://www.google.iq/maps/search/+33.8402,44.246/@33.8402,44.246,14z?hl=en","Maplink2")</f>
        <v>Maplink2</v>
      </c>
      <c r="AU3000" s="20" t="str">
        <f aca="false">HYPERLINK("http://www.bing.com/maps/?lvl=14&amp;sty=h&amp;cp=33.8402~44.246&amp;sp=point.33.8402_44.246","Maplink3")</f>
        <v>Maplink3</v>
      </c>
    </row>
    <row r="3001" customFormat="false" ht="15" hidden="false" customHeight="true" outlineLevel="0" collapsed="false">
      <c r="A3001" s="15" t="n">
        <v>25743</v>
      </c>
      <c r="B3001" s="16" t="s">
        <v>29</v>
      </c>
      <c r="C3001" s="16" t="s">
        <v>5724</v>
      </c>
      <c r="D3001" s="16" t="s">
        <v>5734</v>
      </c>
      <c r="E3001" s="17" t="s">
        <v>5735</v>
      </c>
      <c r="F3001" s="16" t="n">
        <v>33.85031689</v>
      </c>
      <c r="G3001" s="16" t="n">
        <v>44.22992478</v>
      </c>
      <c r="H3001" s="18" t="n">
        <v>150</v>
      </c>
      <c r="I3001" s="18" t="n">
        <v>900</v>
      </c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 t="n">
        <v>150</v>
      </c>
      <c r="Y3001" s="19"/>
      <c r="Z3001" s="19"/>
      <c r="AA3001" s="19"/>
      <c r="AB3001" s="19"/>
      <c r="AC3001" s="19"/>
      <c r="AD3001" s="19"/>
      <c r="AE3001" s="19"/>
      <c r="AF3001" s="19"/>
      <c r="AG3001" s="19"/>
      <c r="AH3001" s="19" t="n">
        <v>150</v>
      </c>
      <c r="AI3001" s="19"/>
      <c r="AJ3001" s="19"/>
      <c r="AK3001" s="19"/>
      <c r="AL3001" s="19"/>
      <c r="AM3001" s="19"/>
      <c r="AN3001" s="19" t="n">
        <v>76</v>
      </c>
      <c r="AO3001" s="19" t="n">
        <v>74</v>
      </c>
      <c r="AP3001" s="19"/>
      <c r="AQ3001" s="19"/>
      <c r="AR3001" s="19"/>
      <c r="AS3001" s="20" t="str">
        <f aca="false">HYPERLINK("http://www.openstreetmap.org/?mlat=33.8503&amp;mlon=44.2299&amp;zoom=12#map=12/33.8503/44.2299","Maplink1")</f>
        <v>Maplink1</v>
      </c>
      <c r="AT3001" s="20" t="str">
        <f aca="false">HYPERLINK("https://www.google.iq/maps/search/+33.8503,44.2299/@33.8503,44.2299,14z?hl=en","Maplink2")</f>
        <v>Maplink2</v>
      </c>
      <c r="AU3001" s="20" t="str">
        <f aca="false">HYPERLINK("http://www.bing.com/maps/?lvl=14&amp;sty=h&amp;cp=33.8503~44.2299&amp;sp=point.33.8503_44.2299","Maplink3")</f>
        <v>Maplink3</v>
      </c>
    </row>
    <row r="3002" customFormat="false" ht="15" hidden="false" customHeight="true" outlineLevel="0" collapsed="false">
      <c r="A3002" s="15" t="n">
        <v>23913</v>
      </c>
      <c r="B3002" s="16" t="s">
        <v>29</v>
      </c>
      <c r="C3002" s="16" t="s">
        <v>5724</v>
      </c>
      <c r="D3002" s="16" t="s">
        <v>5736</v>
      </c>
      <c r="E3002" s="17" t="s">
        <v>5737</v>
      </c>
      <c r="F3002" s="16" t="n">
        <v>33.83650357</v>
      </c>
      <c r="G3002" s="16" t="n">
        <v>44.25228181</v>
      </c>
      <c r="H3002" s="18" t="n">
        <v>109</v>
      </c>
      <c r="I3002" s="18" t="n">
        <v>654</v>
      </c>
      <c r="J3002" s="19" t="n">
        <v>34</v>
      </c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 t="n">
        <v>75</v>
      </c>
      <c r="Y3002" s="19"/>
      <c r="Z3002" s="19"/>
      <c r="AA3002" s="19"/>
      <c r="AB3002" s="19"/>
      <c r="AC3002" s="19" t="n">
        <v>17</v>
      </c>
      <c r="AD3002" s="19"/>
      <c r="AE3002" s="19"/>
      <c r="AF3002" s="19"/>
      <c r="AG3002" s="19"/>
      <c r="AH3002" s="19" t="n">
        <v>92</v>
      </c>
      <c r="AI3002" s="19"/>
      <c r="AJ3002" s="19"/>
      <c r="AK3002" s="19"/>
      <c r="AL3002" s="19"/>
      <c r="AM3002" s="19"/>
      <c r="AN3002" s="19"/>
      <c r="AO3002" s="19" t="n">
        <v>88</v>
      </c>
      <c r="AP3002" s="19" t="n">
        <v>21</v>
      </c>
      <c r="AQ3002" s="19"/>
      <c r="AR3002" s="19"/>
      <c r="AS3002" s="20" t="str">
        <f aca="false">HYPERLINK("http://www.openstreetmap.org/?mlat=33.8365&amp;mlon=44.2523&amp;zoom=12#map=12/33.8365/44.2523","Maplink1")</f>
        <v>Maplink1</v>
      </c>
      <c r="AT3002" s="20" t="str">
        <f aca="false">HYPERLINK("https://www.google.iq/maps/search/+33.8365,44.2523/@33.8365,44.2523,14z?hl=en","Maplink2")</f>
        <v>Maplink2</v>
      </c>
      <c r="AU3002" s="20" t="str">
        <f aca="false">HYPERLINK("http://www.bing.com/maps/?lvl=14&amp;sty=h&amp;cp=33.8365~44.2523&amp;sp=point.33.8365_44.2523","Maplink3")</f>
        <v>Maplink3</v>
      </c>
    </row>
    <row r="3003" customFormat="false" ht="15" hidden="false" customHeight="true" outlineLevel="0" collapsed="false">
      <c r="A3003" s="15" t="n">
        <v>25747</v>
      </c>
      <c r="B3003" s="16" t="s">
        <v>29</v>
      </c>
      <c r="C3003" s="16" t="s">
        <v>5724</v>
      </c>
      <c r="D3003" s="16" t="s">
        <v>5738</v>
      </c>
      <c r="E3003" s="17" t="s">
        <v>5739</v>
      </c>
      <c r="F3003" s="16" t="n">
        <v>33.77304589</v>
      </c>
      <c r="G3003" s="16" t="n">
        <v>44.30574003</v>
      </c>
      <c r="H3003" s="18" t="n">
        <v>275</v>
      </c>
      <c r="I3003" s="18" t="n">
        <v>1650</v>
      </c>
      <c r="J3003" s="19"/>
      <c r="K3003" s="19"/>
      <c r="L3003" s="19"/>
      <c r="M3003" s="19"/>
      <c r="N3003" s="19"/>
      <c r="O3003" s="19"/>
      <c r="P3003" s="19"/>
      <c r="Q3003" s="19"/>
      <c r="R3003" s="19" t="n">
        <v>75</v>
      </c>
      <c r="S3003" s="19"/>
      <c r="T3003" s="19"/>
      <c r="U3003" s="19"/>
      <c r="V3003" s="19"/>
      <c r="W3003" s="19"/>
      <c r="X3003" s="19" t="n">
        <v>200</v>
      </c>
      <c r="Y3003" s="19"/>
      <c r="Z3003" s="19"/>
      <c r="AA3003" s="19"/>
      <c r="AB3003" s="19"/>
      <c r="AC3003" s="19"/>
      <c r="AD3003" s="19"/>
      <c r="AE3003" s="19"/>
      <c r="AF3003" s="19"/>
      <c r="AG3003" s="19"/>
      <c r="AH3003" s="19" t="n">
        <v>200</v>
      </c>
      <c r="AI3003" s="19"/>
      <c r="AJ3003" s="19" t="n">
        <v>75</v>
      </c>
      <c r="AK3003" s="19"/>
      <c r="AL3003" s="19"/>
      <c r="AM3003" s="19"/>
      <c r="AN3003" s="19"/>
      <c r="AO3003" s="19" t="n">
        <v>150</v>
      </c>
      <c r="AP3003" s="19" t="n">
        <v>125</v>
      </c>
      <c r="AQ3003" s="19"/>
      <c r="AR3003" s="19"/>
      <c r="AS3003" s="20" t="str">
        <f aca="false">HYPERLINK("http://www.openstreetmap.org/?mlat=33.773&amp;mlon=44.3057&amp;zoom=12#map=12/33.773/44.3057","Maplink1")</f>
        <v>Maplink1</v>
      </c>
      <c r="AT3003" s="20" t="str">
        <f aca="false">HYPERLINK("https://www.google.iq/maps/search/+33.773,44.3057/@33.773,44.3057,14z?hl=en","Maplink2")</f>
        <v>Maplink2</v>
      </c>
      <c r="AU3003" s="20" t="str">
        <f aca="false">HYPERLINK("http://www.bing.com/maps/?lvl=14&amp;sty=h&amp;cp=33.773~44.3057&amp;sp=point.33.773_44.3057","Maplink3")</f>
        <v>Maplink3</v>
      </c>
    </row>
    <row r="3004" customFormat="false" ht="15" hidden="false" customHeight="true" outlineLevel="0" collapsed="false">
      <c r="A3004" s="15" t="n">
        <v>25744</v>
      </c>
      <c r="B3004" s="16" t="s">
        <v>29</v>
      </c>
      <c r="C3004" s="16" t="s">
        <v>5724</v>
      </c>
      <c r="D3004" s="16" t="s">
        <v>5740</v>
      </c>
      <c r="E3004" s="17" t="s">
        <v>5741</v>
      </c>
      <c r="F3004" s="16" t="n">
        <v>33.81935878</v>
      </c>
      <c r="G3004" s="16" t="n">
        <v>44.26208986</v>
      </c>
      <c r="H3004" s="18" t="n">
        <v>300</v>
      </c>
      <c r="I3004" s="18" t="n">
        <v>1800</v>
      </c>
      <c r="J3004" s="19" t="n">
        <v>125</v>
      </c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 t="n">
        <v>175</v>
      </c>
      <c r="Y3004" s="19"/>
      <c r="Z3004" s="19"/>
      <c r="AA3004" s="19"/>
      <c r="AB3004" s="19"/>
      <c r="AC3004" s="19" t="n">
        <v>15</v>
      </c>
      <c r="AD3004" s="19"/>
      <c r="AE3004" s="19" t="n">
        <v>50</v>
      </c>
      <c r="AF3004" s="19"/>
      <c r="AG3004" s="19"/>
      <c r="AH3004" s="19" t="n">
        <v>135</v>
      </c>
      <c r="AI3004" s="19"/>
      <c r="AJ3004" s="19" t="n">
        <v>100</v>
      </c>
      <c r="AK3004" s="19"/>
      <c r="AL3004" s="19"/>
      <c r="AM3004" s="19"/>
      <c r="AN3004" s="19" t="n">
        <v>50</v>
      </c>
      <c r="AO3004" s="19" t="n">
        <v>250</v>
      </c>
      <c r="AP3004" s="19"/>
      <c r="AQ3004" s="19"/>
      <c r="AR3004" s="19"/>
      <c r="AS3004" s="20" t="str">
        <f aca="false">HYPERLINK("http://www.openstreetmap.org/?mlat=33.8194&amp;mlon=44.2621&amp;zoom=12#map=12/33.8194/44.2621","Maplink1")</f>
        <v>Maplink1</v>
      </c>
      <c r="AT3004" s="20" t="str">
        <f aca="false">HYPERLINK("https://www.google.iq/maps/search/+33.8194,44.2621/@33.8194,44.2621,14z?hl=en","Maplink2")</f>
        <v>Maplink2</v>
      </c>
      <c r="AU3004" s="20" t="str">
        <f aca="false">HYPERLINK("http://www.bing.com/maps/?lvl=14&amp;sty=h&amp;cp=33.8194~44.2621&amp;sp=point.33.8194_44.2621","Maplink3")</f>
        <v>Maplink3</v>
      </c>
    </row>
    <row r="3005" customFormat="false" ht="15" hidden="false" customHeight="true" outlineLevel="0" collapsed="false">
      <c r="A3005" s="15" t="n">
        <v>25746</v>
      </c>
      <c r="B3005" s="16" t="s">
        <v>29</v>
      </c>
      <c r="C3005" s="16" t="s">
        <v>5724</v>
      </c>
      <c r="D3005" s="16" t="s">
        <v>5742</v>
      </c>
      <c r="E3005" s="17" t="s">
        <v>5743</v>
      </c>
      <c r="F3005" s="16" t="n">
        <v>33.84679494</v>
      </c>
      <c r="G3005" s="16" t="n">
        <v>44.23551269</v>
      </c>
      <c r="H3005" s="18" t="n">
        <v>215</v>
      </c>
      <c r="I3005" s="18" t="n">
        <v>1290</v>
      </c>
      <c r="J3005" s="19" t="n">
        <v>15</v>
      </c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 t="n">
        <v>200</v>
      </c>
      <c r="Y3005" s="19"/>
      <c r="Z3005" s="19"/>
      <c r="AA3005" s="19"/>
      <c r="AB3005" s="19"/>
      <c r="AC3005" s="19"/>
      <c r="AD3005" s="19"/>
      <c r="AE3005" s="19"/>
      <c r="AF3005" s="19"/>
      <c r="AG3005" s="19"/>
      <c r="AH3005" s="19" t="n">
        <v>215</v>
      </c>
      <c r="AI3005" s="19"/>
      <c r="AJ3005" s="19"/>
      <c r="AK3005" s="19"/>
      <c r="AL3005" s="19"/>
      <c r="AM3005" s="19"/>
      <c r="AN3005" s="19"/>
      <c r="AO3005" s="19" t="n">
        <v>185</v>
      </c>
      <c r="AP3005" s="19" t="n">
        <v>30</v>
      </c>
      <c r="AQ3005" s="19"/>
      <c r="AR3005" s="19"/>
      <c r="AS3005" s="20" t="str">
        <f aca="false">HYPERLINK("http://www.openstreetmap.org/?mlat=33.8468&amp;mlon=44.2355&amp;zoom=12#map=12/33.8468/44.2355","Maplink1")</f>
        <v>Maplink1</v>
      </c>
      <c r="AT3005" s="20" t="str">
        <f aca="false">HYPERLINK("https://www.google.iq/maps/search/+33.8468,44.2355/@33.8468,44.2355,14z?hl=en","Maplink2")</f>
        <v>Maplink2</v>
      </c>
      <c r="AU3005" s="20" t="str">
        <f aca="false">HYPERLINK("http://www.bing.com/maps/?lvl=14&amp;sty=h&amp;cp=33.8468~44.2355&amp;sp=point.33.8468_44.2355","Maplink3")</f>
        <v>Maplink3</v>
      </c>
    </row>
    <row r="3006" customFormat="false" ht="15" hidden="false" customHeight="true" outlineLevel="0" collapsed="false">
      <c r="A3006" s="15" t="n">
        <v>25745</v>
      </c>
      <c r="B3006" s="16" t="s">
        <v>29</v>
      </c>
      <c r="C3006" s="16" t="s">
        <v>5724</v>
      </c>
      <c r="D3006" s="16" t="s">
        <v>5744</v>
      </c>
      <c r="E3006" s="17" t="s">
        <v>5745</v>
      </c>
      <c r="F3006" s="16" t="n">
        <v>33.84857525</v>
      </c>
      <c r="G3006" s="16" t="n">
        <v>44.23246283</v>
      </c>
      <c r="H3006" s="18" t="n">
        <v>250</v>
      </c>
      <c r="I3006" s="18" t="n">
        <v>1500</v>
      </c>
      <c r="J3006" s="19" t="n">
        <v>75</v>
      </c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 t="n">
        <v>175</v>
      </c>
      <c r="Y3006" s="19"/>
      <c r="Z3006" s="19"/>
      <c r="AA3006" s="19"/>
      <c r="AB3006" s="19"/>
      <c r="AC3006" s="19" t="n">
        <v>20</v>
      </c>
      <c r="AD3006" s="19"/>
      <c r="AE3006" s="19"/>
      <c r="AF3006" s="19"/>
      <c r="AG3006" s="19"/>
      <c r="AH3006" s="19" t="n">
        <v>190</v>
      </c>
      <c r="AI3006" s="19"/>
      <c r="AJ3006" s="19"/>
      <c r="AK3006" s="19" t="n">
        <v>40</v>
      </c>
      <c r="AL3006" s="19"/>
      <c r="AM3006" s="19"/>
      <c r="AN3006" s="19" t="n">
        <v>75</v>
      </c>
      <c r="AO3006" s="19" t="n">
        <v>175</v>
      </c>
      <c r="AP3006" s="19"/>
      <c r="AQ3006" s="19"/>
      <c r="AR3006" s="19"/>
      <c r="AS3006" s="20" t="str">
        <f aca="false">HYPERLINK("http://www.openstreetmap.org/?mlat=33.8486&amp;mlon=44.2325&amp;zoom=12#map=12/33.8486/44.2325","Maplink1")</f>
        <v>Maplink1</v>
      </c>
      <c r="AT3006" s="20" t="str">
        <f aca="false">HYPERLINK("https://www.google.iq/maps/search/+33.8486,44.2325/@33.8486,44.2325,14z?hl=en","Maplink2")</f>
        <v>Maplink2</v>
      </c>
      <c r="AU3006" s="20" t="str">
        <f aca="false">HYPERLINK("http://www.bing.com/maps/?lvl=14&amp;sty=h&amp;cp=33.8486~44.2325&amp;sp=point.33.8486_44.2325","Maplink3")</f>
        <v>Maplink3</v>
      </c>
    </row>
    <row r="3007" customFormat="false" ht="15" hidden="false" customHeight="true" outlineLevel="0" collapsed="false">
      <c r="A3007" s="15" t="n">
        <v>23300</v>
      </c>
      <c r="B3007" s="16" t="s">
        <v>29</v>
      </c>
      <c r="C3007" s="16" t="s">
        <v>5746</v>
      </c>
      <c r="D3007" s="16" t="s">
        <v>5747</v>
      </c>
      <c r="E3007" s="17" t="s">
        <v>5748</v>
      </c>
      <c r="F3007" s="16" t="n">
        <v>35.440358</v>
      </c>
      <c r="G3007" s="16" t="n">
        <v>43.219168</v>
      </c>
      <c r="H3007" s="18" t="n">
        <v>133</v>
      </c>
      <c r="I3007" s="18" t="n">
        <v>798</v>
      </c>
      <c r="J3007" s="19"/>
      <c r="K3007" s="19"/>
      <c r="L3007" s="19"/>
      <c r="M3007" s="19"/>
      <c r="N3007" s="19"/>
      <c r="O3007" s="19"/>
      <c r="P3007" s="19"/>
      <c r="Q3007" s="19"/>
      <c r="R3007" s="19" t="n">
        <v>25</v>
      </c>
      <c r="S3007" s="19"/>
      <c r="T3007" s="19"/>
      <c r="U3007" s="19"/>
      <c r="V3007" s="19" t="n">
        <v>30</v>
      </c>
      <c r="W3007" s="19"/>
      <c r="X3007" s="19" t="n">
        <v>78</v>
      </c>
      <c r="Y3007" s="19"/>
      <c r="Z3007" s="19"/>
      <c r="AA3007" s="19"/>
      <c r="AB3007" s="19"/>
      <c r="AC3007" s="19" t="n">
        <v>60</v>
      </c>
      <c r="AD3007" s="19"/>
      <c r="AE3007" s="19" t="n">
        <v>15</v>
      </c>
      <c r="AF3007" s="19"/>
      <c r="AG3007" s="19"/>
      <c r="AH3007" s="19" t="n">
        <v>25</v>
      </c>
      <c r="AI3007" s="19"/>
      <c r="AJ3007" s="19" t="n">
        <v>33</v>
      </c>
      <c r="AK3007" s="19"/>
      <c r="AL3007" s="19"/>
      <c r="AM3007" s="19"/>
      <c r="AN3007" s="19"/>
      <c r="AO3007" s="19"/>
      <c r="AP3007" s="19"/>
      <c r="AQ3007" s="19"/>
      <c r="AR3007" s="19" t="n">
        <v>133</v>
      </c>
      <c r="AS3007" s="20" t="str">
        <f aca="false">HYPERLINK("http://www.openstreetmap.org/?mlat=35.4404&amp;mlon=43.2192&amp;zoom=12#map=12/35.4404/43.2192","Maplink1")</f>
        <v>Maplink1</v>
      </c>
      <c r="AT3007" s="20" t="str">
        <f aca="false">HYPERLINK("https://www.google.iq/maps/search/+35.4404,43.2192/@35.4404,43.2192,14z?hl=en","Maplink2")</f>
        <v>Maplink2</v>
      </c>
      <c r="AU3007" s="20" t="str">
        <f aca="false">HYPERLINK("http://www.bing.com/maps/?lvl=14&amp;sty=h&amp;cp=35.4404~43.2192&amp;sp=point.35.4404_43.2192","Maplink3")</f>
        <v>Maplink3</v>
      </c>
    </row>
    <row r="3008" customFormat="false" ht="15" hidden="false" customHeight="true" outlineLevel="0" collapsed="false">
      <c r="A3008" s="15" t="n">
        <v>21005</v>
      </c>
      <c r="B3008" s="16" t="s">
        <v>29</v>
      </c>
      <c r="C3008" s="16" t="s">
        <v>5746</v>
      </c>
      <c r="D3008" s="16" t="s">
        <v>5749</v>
      </c>
      <c r="E3008" s="17" t="s">
        <v>5750</v>
      </c>
      <c r="F3008" s="16" t="n">
        <v>35.493077</v>
      </c>
      <c r="G3008" s="16" t="n">
        <v>43.235813</v>
      </c>
      <c r="H3008" s="18" t="n">
        <v>1065</v>
      </c>
      <c r="I3008" s="18" t="n">
        <v>6390</v>
      </c>
      <c r="J3008" s="19"/>
      <c r="K3008" s="19"/>
      <c r="L3008" s="19"/>
      <c r="M3008" s="19"/>
      <c r="N3008" s="19"/>
      <c r="O3008" s="19"/>
      <c r="P3008" s="19"/>
      <c r="Q3008" s="19"/>
      <c r="R3008" s="19" t="n">
        <v>33</v>
      </c>
      <c r="S3008" s="19"/>
      <c r="T3008" s="19"/>
      <c r="U3008" s="19"/>
      <c r="V3008" s="19"/>
      <c r="W3008" s="19"/>
      <c r="X3008" s="19" t="n">
        <v>1032</v>
      </c>
      <c r="Y3008" s="19"/>
      <c r="Z3008" s="19"/>
      <c r="AA3008" s="19"/>
      <c r="AB3008" s="19"/>
      <c r="AC3008" s="19"/>
      <c r="AD3008" s="19"/>
      <c r="AE3008" s="19" t="n">
        <v>40</v>
      </c>
      <c r="AF3008" s="19"/>
      <c r="AG3008" s="19"/>
      <c r="AH3008" s="19" t="n">
        <v>892</v>
      </c>
      <c r="AI3008" s="19"/>
      <c r="AJ3008" s="19" t="n">
        <v>133</v>
      </c>
      <c r="AK3008" s="19"/>
      <c r="AL3008" s="19"/>
      <c r="AM3008" s="19"/>
      <c r="AN3008" s="19"/>
      <c r="AO3008" s="19"/>
      <c r="AP3008" s="19"/>
      <c r="AQ3008" s="19"/>
      <c r="AR3008" s="19" t="n">
        <v>1065</v>
      </c>
      <c r="AS3008" s="20" t="str">
        <f aca="false">HYPERLINK("http://www.openstreetmap.org/?mlat=35.4931&amp;mlon=43.2358&amp;zoom=12#map=12/35.4931/43.2358","Maplink1")</f>
        <v>Maplink1</v>
      </c>
      <c r="AT3008" s="20" t="str">
        <f aca="false">HYPERLINK("https://www.google.iq/maps/search/+35.4931,43.2358/@35.4931,43.2358,14z?hl=en","Maplink2")</f>
        <v>Maplink2</v>
      </c>
      <c r="AU3008" s="20" t="str">
        <f aca="false">HYPERLINK("http://www.bing.com/maps/?lvl=14&amp;sty=h&amp;cp=35.4931~43.2358&amp;sp=point.35.4931_43.2358","Maplink3")</f>
        <v>Maplink3</v>
      </c>
    </row>
    <row r="3009" customFormat="false" ht="15" hidden="false" customHeight="true" outlineLevel="0" collapsed="false">
      <c r="A3009" s="15" t="n">
        <v>20392</v>
      </c>
      <c r="B3009" s="16" t="s">
        <v>29</v>
      </c>
      <c r="C3009" s="16" t="s">
        <v>5746</v>
      </c>
      <c r="D3009" s="16" t="s">
        <v>5751</v>
      </c>
      <c r="E3009" s="17" t="s">
        <v>5752</v>
      </c>
      <c r="F3009" s="16" t="n">
        <v>35.610806</v>
      </c>
      <c r="G3009" s="16" t="n">
        <v>43.245242</v>
      </c>
      <c r="H3009" s="18" t="n">
        <v>55</v>
      </c>
      <c r="I3009" s="18" t="n">
        <v>330</v>
      </c>
      <c r="J3009" s="19"/>
      <c r="K3009" s="19"/>
      <c r="L3009" s="19"/>
      <c r="M3009" s="19"/>
      <c r="N3009" s="19"/>
      <c r="O3009" s="19"/>
      <c r="P3009" s="19"/>
      <c r="Q3009" s="19"/>
      <c r="R3009" s="19" t="n">
        <v>10</v>
      </c>
      <c r="S3009" s="19"/>
      <c r="T3009" s="19"/>
      <c r="U3009" s="19"/>
      <c r="V3009" s="19"/>
      <c r="W3009" s="19"/>
      <c r="X3009" s="19" t="n">
        <v>45</v>
      </c>
      <c r="Y3009" s="19"/>
      <c r="Z3009" s="19"/>
      <c r="AA3009" s="19"/>
      <c r="AB3009" s="19"/>
      <c r="AC3009" s="19" t="n">
        <v>35</v>
      </c>
      <c r="AD3009" s="19"/>
      <c r="AE3009" s="19" t="n">
        <v>15</v>
      </c>
      <c r="AF3009" s="19"/>
      <c r="AG3009" s="19"/>
      <c r="AH3009" s="19" t="n">
        <v>5</v>
      </c>
      <c r="AI3009" s="19"/>
      <c r="AJ3009" s="19"/>
      <c r="AK3009" s="19"/>
      <c r="AL3009" s="19"/>
      <c r="AM3009" s="19"/>
      <c r="AN3009" s="19"/>
      <c r="AO3009" s="19"/>
      <c r="AP3009" s="19"/>
      <c r="AQ3009" s="19"/>
      <c r="AR3009" s="19" t="n">
        <v>55</v>
      </c>
      <c r="AS3009" s="20" t="str">
        <f aca="false">HYPERLINK("http://www.openstreetmap.org/?mlat=35.6108&amp;mlon=43.2452&amp;zoom=12#map=12/35.6108/43.2452","Maplink1")</f>
        <v>Maplink1</v>
      </c>
      <c r="AT3009" s="20" t="str">
        <f aca="false">HYPERLINK("https://www.google.iq/maps/search/+35.6108,43.2452/@35.6108,43.2452,14z?hl=en","Maplink2")</f>
        <v>Maplink2</v>
      </c>
      <c r="AU3009" s="20" t="str">
        <f aca="false">HYPERLINK("http://www.bing.com/maps/?lvl=14&amp;sty=h&amp;cp=35.6108~43.2452&amp;sp=point.35.6108_43.2452","Maplink3")</f>
        <v>Maplink3</v>
      </c>
    </row>
    <row r="3010" customFormat="false" ht="15" hidden="false" customHeight="true" outlineLevel="0" collapsed="false">
      <c r="A3010" s="15" t="n">
        <v>24667</v>
      </c>
      <c r="B3010" s="16" t="s">
        <v>29</v>
      </c>
      <c r="C3010" s="16" t="s">
        <v>5746</v>
      </c>
      <c r="D3010" s="16" t="s">
        <v>5753</v>
      </c>
      <c r="E3010" s="17" t="s">
        <v>5754</v>
      </c>
      <c r="F3010" s="16" t="n">
        <v>35.474213</v>
      </c>
      <c r="G3010" s="16" t="n">
        <v>43.23914</v>
      </c>
      <c r="H3010" s="18" t="n">
        <v>377</v>
      </c>
      <c r="I3010" s="18" t="n">
        <v>2262</v>
      </c>
      <c r="J3010" s="19"/>
      <c r="K3010" s="19"/>
      <c r="L3010" s="19"/>
      <c r="M3010" s="19"/>
      <c r="N3010" s="19"/>
      <c r="O3010" s="19"/>
      <c r="P3010" s="19"/>
      <c r="Q3010" s="19"/>
      <c r="R3010" s="19" t="n">
        <v>77</v>
      </c>
      <c r="S3010" s="19"/>
      <c r="T3010" s="19"/>
      <c r="U3010" s="19"/>
      <c r="V3010" s="19"/>
      <c r="W3010" s="19"/>
      <c r="X3010" s="19" t="n">
        <v>300</v>
      </c>
      <c r="Y3010" s="19"/>
      <c r="Z3010" s="19"/>
      <c r="AA3010" s="19"/>
      <c r="AB3010" s="19"/>
      <c r="AC3010" s="19" t="n">
        <v>27</v>
      </c>
      <c r="AD3010" s="19"/>
      <c r="AE3010" s="19" t="n">
        <v>50</v>
      </c>
      <c r="AF3010" s="19"/>
      <c r="AG3010" s="19"/>
      <c r="AH3010" s="19" t="n">
        <v>150</v>
      </c>
      <c r="AI3010" s="19"/>
      <c r="AJ3010" s="19" t="n">
        <v>150</v>
      </c>
      <c r="AK3010" s="19"/>
      <c r="AL3010" s="19"/>
      <c r="AM3010" s="19"/>
      <c r="AN3010" s="19"/>
      <c r="AO3010" s="19"/>
      <c r="AP3010" s="19"/>
      <c r="AQ3010" s="19"/>
      <c r="AR3010" s="19" t="n">
        <v>377</v>
      </c>
      <c r="AS3010" s="20" t="str">
        <f aca="false">HYPERLINK("http://www.openstreetmap.org/?mlat=35.4742&amp;mlon=43.2391&amp;zoom=12#map=12/35.4742/43.2391","Maplink1")</f>
        <v>Maplink1</v>
      </c>
      <c r="AT3010" s="20" t="str">
        <f aca="false">HYPERLINK("https://www.google.iq/maps/search/+35.4742,43.2391/@35.4742,43.2391,14z?hl=en","Maplink2")</f>
        <v>Maplink2</v>
      </c>
      <c r="AU3010" s="20" t="str">
        <f aca="false">HYPERLINK("http://www.bing.com/maps/?lvl=14&amp;sty=h&amp;cp=35.4742~43.2391&amp;sp=point.35.4742_43.2391","Maplink3")</f>
        <v>Maplink3</v>
      </c>
    </row>
    <row r="3011" customFormat="false" ht="15" hidden="false" customHeight="true" outlineLevel="0" collapsed="false">
      <c r="A3011" s="15" t="n">
        <v>20389</v>
      </c>
      <c r="B3011" s="16" t="s">
        <v>29</v>
      </c>
      <c r="C3011" s="16" t="s">
        <v>5746</v>
      </c>
      <c r="D3011" s="16" t="s">
        <v>5755</v>
      </c>
      <c r="E3011" s="17" t="s">
        <v>5756</v>
      </c>
      <c r="F3011" s="16" t="n">
        <v>35.628256</v>
      </c>
      <c r="G3011" s="16" t="n">
        <v>43.229315</v>
      </c>
      <c r="H3011" s="18" t="n">
        <v>68</v>
      </c>
      <c r="I3011" s="18" t="n">
        <v>408</v>
      </c>
      <c r="J3011" s="19"/>
      <c r="K3011" s="19"/>
      <c r="L3011" s="19"/>
      <c r="M3011" s="19"/>
      <c r="N3011" s="19"/>
      <c r="O3011" s="19"/>
      <c r="P3011" s="19"/>
      <c r="Q3011" s="19"/>
      <c r="R3011" s="19" t="n">
        <v>2</v>
      </c>
      <c r="S3011" s="19"/>
      <c r="T3011" s="19"/>
      <c r="U3011" s="19"/>
      <c r="V3011" s="19"/>
      <c r="W3011" s="19"/>
      <c r="X3011" s="19" t="n">
        <v>66</v>
      </c>
      <c r="Y3011" s="19"/>
      <c r="Z3011" s="19"/>
      <c r="AA3011" s="19"/>
      <c r="AB3011" s="19"/>
      <c r="AC3011" s="19"/>
      <c r="AD3011" s="19"/>
      <c r="AE3011" s="19"/>
      <c r="AF3011" s="19"/>
      <c r="AG3011" s="19"/>
      <c r="AH3011" s="19" t="n">
        <v>66</v>
      </c>
      <c r="AI3011" s="19"/>
      <c r="AJ3011" s="19" t="n">
        <v>2</v>
      </c>
      <c r="AK3011" s="19"/>
      <c r="AL3011" s="19"/>
      <c r="AM3011" s="19"/>
      <c r="AN3011" s="19"/>
      <c r="AO3011" s="19"/>
      <c r="AP3011" s="19"/>
      <c r="AQ3011" s="19"/>
      <c r="AR3011" s="19" t="n">
        <v>68</v>
      </c>
      <c r="AS3011" s="20" t="str">
        <f aca="false">HYPERLINK("http://www.openstreetmap.org/?mlat=35.6283&amp;mlon=43.2293&amp;zoom=12#map=12/35.6283/43.2293","Maplink1")</f>
        <v>Maplink1</v>
      </c>
      <c r="AT3011" s="20" t="str">
        <f aca="false">HYPERLINK("https://www.google.iq/maps/search/+35.6283,43.2293/@35.6283,43.2293,14z?hl=en","Maplink2")</f>
        <v>Maplink2</v>
      </c>
      <c r="AU3011" s="20" t="str">
        <f aca="false">HYPERLINK("http://www.bing.com/maps/?lvl=14&amp;sty=h&amp;cp=35.6283~43.2293&amp;sp=point.35.6283_43.2293","Maplink3")</f>
        <v>Maplink3</v>
      </c>
    </row>
    <row r="3012" customFormat="false" ht="15" hidden="false" customHeight="true" outlineLevel="0" collapsed="false">
      <c r="A3012" s="15" t="n">
        <v>29650</v>
      </c>
      <c r="B3012" s="16" t="s">
        <v>29</v>
      </c>
      <c r="C3012" s="16" t="s">
        <v>5746</v>
      </c>
      <c r="D3012" s="16" t="s">
        <v>5757</v>
      </c>
      <c r="E3012" s="17" t="s">
        <v>5758</v>
      </c>
      <c r="F3012" s="16" t="n">
        <v>35.591273</v>
      </c>
      <c r="G3012" s="16" t="n">
        <v>43.240076</v>
      </c>
      <c r="H3012" s="18" t="n">
        <v>242</v>
      </c>
      <c r="I3012" s="18" t="n">
        <v>1452</v>
      </c>
      <c r="J3012" s="19"/>
      <c r="K3012" s="19"/>
      <c r="L3012" s="19"/>
      <c r="M3012" s="19"/>
      <c r="N3012" s="19"/>
      <c r="O3012" s="19"/>
      <c r="P3012" s="19"/>
      <c r="Q3012" s="19"/>
      <c r="R3012" s="19" t="n">
        <v>66</v>
      </c>
      <c r="S3012" s="19"/>
      <c r="T3012" s="19"/>
      <c r="U3012" s="19"/>
      <c r="V3012" s="19"/>
      <c r="W3012" s="19"/>
      <c r="X3012" s="19" t="n">
        <v>176</v>
      </c>
      <c r="Y3012" s="19"/>
      <c r="Z3012" s="19"/>
      <c r="AA3012" s="19"/>
      <c r="AB3012" s="19"/>
      <c r="AC3012" s="19"/>
      <c r="AD3012" s="19"/>
      <c r="AE3012" s="19" t="n">
        <v>42</v>
      </c>
      <c r="AF3012" s="19"/>
      <c r="AG3012" s="19"/>
      <c r="AH3012" s="19" t="n">
        <v>50</v>
      </c>
      <c r="AI3012" s="19"/>
      <c r="AJ3012" s="19" t="n">
        <v>150</v>
      </c>
      <c r="AK3012" s="19"/>
      <c r="AL3012" s="19"/>
      <c r="AM3012" s="19"/>
      <c r="AN3012" s="19"/>
      <c r="AO3012" s="19"/>
      <c r="AP3012" s="19"/>
      <c r="AQ3012" s="19"/>
      <c r="AR3012" s="19" t="n">
        <v>242</v>
      </c>
      <c r="AS3012" s="20" t="str">
        <f aca="false">HYPERLINK("http://www.openstreetmap.org/?mlat=35.5913&amp;mlon=43.2401&amp;zoom=12#map=12/35.5913/43.2401","Maplink1")</f>
        <v>Maplink1</v>
      </c>
      <c r="AT3012" s="20" t="str">
        <f aca="false">HYPERLINK("https://www.google.iq/maps/search/+35.5913,43.2401/@35.5913,43.2401,14z?hl=en","Maplink2")</f>
        <v>Maplink2</v>
      </c>
      <c r="AU3012" s="20" t="str">
        <f aca="false">HYPERLINK("http://www.bing.com/maps/?lvl=14&amp;sty=h&amp;cp=35.5913~43.2401&amp;sp=point.35.5913_43.2401","Maplink3")</f>
        <v>Maplink3</v>
      </c>
    </row>
    <row r="3013" customFormat="false" ht="15" hidden="false" customHeight="true" outlineLevel="0" collapsed="false">
      <c r="A3013" s="15" t="n">
        <v>21955</v>
      </c>
      <c r="B3013" s="16" t="s">
        <v>29</v>
      </c>
      <c r="C3013" s="16" t="s">
        <v>5746</v>
      </c>
      <c r="D3013" s="16" t="s">
        <v>5759</v>
      </c>
      <c r="E3013" s="17" t="s">
        <v>5760</v>
      </c>
      <c r="F3013" s="16" t="n">
        <v>35.483874</v>
      </c>
      <c r="G3013" s="16" t="n">
        <v>43.239254</v>
      </c>
      <c r="H3013" s="18" t="n">
        <v>233</v>
      </c>
      <c r="I3013" s="18" t="n">
        <v>1398</v>
      </c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 t="n">
        <v>233</v>
      </c>
      <c r="Y3013" s="19"/>
      <c r="Z3013" s="19"/>
      <c r="AA3013" s="19"/>
      <c r="AB3013" s="19"/>
      <c r="AC3013" s="19"/>
      <c r="AD3013" s="19"/>
      <c r="AE3013" s="19" t="n">
        <v>233</v>
      </c>
      <c r="AF3013" s="19"/>
      <c r="AG3013" s="19"/>
      <c r="AH3013" s="19"/>
      <c r="AI3013" s="19"/>
      <c r="AJ3013" s="19"/>
      <c r="AK3013" s="19"/>
      <c r="AL3013" s="19"/>
      <c r="AM3013" s="19"/>
      <c r="AN3013" s="19"/>
      <c r="AO3013" s="19"/>
      <c r="AP3013" s="19"/>
      <c r="AQ3013" s="19"/>
      <c r="AR3013" s="19" t="n">
        <v>233</v>
      </c>
      <c r="AS3013" s="20" t="str">
        <f aca="false">HYPERLINK("http://www.openstreetmap.org/?mlat=35.4839&amp;mlon=43.2393&amp;zoom=12#map=12/35.4839/43.2393","Maplink1")</f>
        <v>Maplink1</v>
      </c>
      <c r="AT3013" s="20" t="str">
        <f aca="false">HYPERLINK("https://www.google.iq/maps/search/+35.4839,43.2393/@35.4839,43.2393,14z?hl=en","Maplink2")</f>
        <v>Maplink2</v>
      </c>
      <c r="AU3013" s="20" t="str">
        <f aca="false">HYPERLINK("http://www.bing.com/maps/?lvl=14&amp;sty=h&amp;cp=35.4839~43.2393&amp;sp=point.35.4839_43.2393","Maplink3")</f>
        <v>Maplink3</v>
      </c>
    </row>
    <row r="3014" customFormat="false" ht="15" hidden="false" customHeight="true" outlineLevel="0" collapsed="false">
      <c r="A3014" s="15" t="n">
        <v>29651</v>
      </c>
      <c r="B3014" s="16" t="s">
        <v>29</v>
      </c>
      <c r="C3014" s="16" t="s">
        <v>5746</v>
      </c>
      <c r="D3014" s="16" t="s">
        <v>5761</v>
      </c>
      <c r="E3014" s="17" t="s">
        <v>3242</v>
      </c>
      <c r="F3014" s="16" t="n">
        <v>35.432486</v>
      </c>
      <c r="G3014" s="16" t="n">
        <v>43.228508</v>
      </c>
      <c r="H3014" s="18" t="n">
        <v>57</v>
      </c>
      <c r="I3014" s="18" t="n">
        <v>342</v>
      </c>
      <c r="J3014" s="19"/>
      <c r="K3014" s="19"/>
      <c r="L3014" s="19"/>
      <c r="M3014" s="19"/>
      <c r="N3014" s="19"/>
      <c r="O3014" s="19"/>
      <c r="P3014" s="19"/>
      <c r="Q3014" s="19"/>
      <c r="R3014" s="19" t="n">
        <v>7</v>
      </c>
      <c r="S3014" s="19"/>
      <c r="T3014" s="19"/>
      <c r="U3014" s="19"/>
      <c r="V3014" s="19"/>
      <c r="W3014" s="19"/>
      <c r="X3014" s="19" t="n">
        <v>50</v>
      </c>
      <c r="Y3014" s="19"/>
      <c r="Z3014" s="19"/>
      <c r="AA3014" s="19"/>
      <c r="AB3014" s="19"/>
      <c r="AC3014" s="19"/>
      <c r="AD3014" s="19"/>
      <c r="AE3014" s="19"/>
      <c r="AF3014" s="19"/>
      <c r="AG3014" s="19"/>
      <c r="AH3014" s="19" t="n">
        <v>48</v>
      </c>
      <c r="AI3014" s="19"/>
      <c r="AJ3014" s="19" t="n">
        <v>9</v>
      </c>
      <c r="AK3014" s="19"/>
      <c r="AL3014" s="19"/>
      <c r="AM3014" s="19"/>
      <c r="AN3014" s="19"/>
      <c r="AO3014" s="19"/>
      <c r="AP3014" s="19"/>
      <c r="AQ3014" s="19"/>
      <c r="AR3014" s="19" t="n">
        <v>57</v>
      </c>
      <c r="AS3014" s="20" t="str">
        <f aca="false">HYPERLINK("http://www.openstreetmap.org/?mlat=35.4325&amp;mlon=43.2285&amp;zoom=12#map=12/35.4325/43.2285","Maplink1")</f>
        <v>Maplink1</v>
      </c>
      <c r="AT3014" s="20" t="str">
        <f aca="false">HYPERLINK("https://www.google.iq/maps/search/+35.4325,43.2285/@35.4325,43.2285,14z?hl=en","Maplink2")</f>
        <v>Maplink2</v>
      </c>
      <c r="AU3014" s="20" t="str">
        <f aca="false">HYPERLINK("http://www.bing.com/maps/?lvl=14&amp;sty=h&amp;cp=35.4325~43.2285&amp;sp=point.35.4325_43.2285","Maplink3")</f>
        <v>Maplink3</v>
      </c>
    </row>
    <row r="3015" customFormat="false" ht="15" hidden="false" customHeight="true" outlineLevel="0" collapsed="false">
      <c r="A3015" s="15" t="n">
        <v>29653</v>
      </c>
      <c r="B3015" s="16" t="s">
        <v>29</v>
      </c>
      <c r="C3015" s="16" t="s">
        <v>5746</v>
      </c>
      <c r="D3015" s="16" t="s">
        <v>5762</v>
      </c>
      <c r="E3015" s="17" t="s">
        <v>5074</v>
      </c>
      <c r="F3015" s="16" t="n">
        <v>35.526406</v>
      </c>
      <c r="G3015" s="16" t="n">
        <v>43.237721</v>
      </c>
      <c r="H3015" s="18" t="n">
        <v>215</v>
      </c>
      <c r="I3015" s="18" t="n">
        <v>1290</v>
      </c>
      <c r="J3015" s="19"/>
      <c r="K3015" s="19"/>
      <c r="L3015" s="19"/>
      <c r="M3015" s="19"/>
      <c r="N3015" s="19"/>
      <c r="O3015" s="19"/>
      <c r="P3015" s="19"/>
      <c r="Q3015" s="19"/>
      <c r="R3015" s="19" t="n">
        <v>23</v>
      </c>
      <c r="S3015" s="19"/>
      <c r="T3015" s="19"/>
      <c r="U3015" s="19"/>
      <c r="V3015" s="19"/>
      <c r="W3015" s="19"/>
      <c r="X3015" s="19" t="n">
        <v>192</v>
      </c>
      <c r="Y3015" s="19"/>
      <c r="Z3015" s="19"/>
      <c r="AA3015" s="19"/>
      <c r="AB3015" s="19"/>
      <c r="AC3015" s="19" t="n">
        <v>40</v>
      </c>
      <c r="AD3015" s="19"/>
      <c r="AE3015" s="19" t="n">
        <v>65</v>
      </c>
      <c r="AF3015" s="19"/>
      <c r="AG3015" s="19"/>
      <c r="AH3015" s="19" t="n">
        <v>77</v>
      </c>
      <c r="AI3015" s="19"/>
      <c r="AJ3015" s="19" t="n">
        <v>33</v>
      </c>
      <c r="AK3015" s="19"/>
      <c r="AL3015" s="19"/>
      <c r="AM3015" s="19"/>
      <c r="AN3015" s="19"/>
      <c r="AO3015" s="19"/>
      <c r="AP3015" s="19"/>
      <c r="AQ3015" s="19"/>
      <c r="AR3015" s="19" t="n">
        <v>215</v>
      </c>
      <c r="AS3015" s="20" t="str">
        <f aca="false">HYPERLINK("http://www.openstreetmap.org/?mlat=35.5264&amp;mlon=43.2377&amp;zoom=12#map=12/35.5264/43.2377","Maplink1")</f>
        <v>Maplink1</v>
      </c>
      <c r="AT3015" s="20" t="str">
        <f aca="false">HYPERLINK("https://www.google.iq/maps/search/+35.5264,43.2377/@35.5264,43.2377,14z?hl=en","Maplink2")</f>
        <v>Maplink2</v>
      </c>
      <c r="AU3015" s="20" t="str">
        <f aca="false">HYPERLINK("http://www.bing.com/maps/?lvl=14&amp;sty=h&amp;cp=35.5264~43.2377&amp;sp=point.35.5264_43.2377","Maplink3")</f>
        <v>Maplink3</v>
      </c>
    </row>
    <row r="3016" customFormat="false" ht="15" hidden="false" customHeight="true" outlineLevel="0" collapsed="false">
      <c r="A3016" s="15" t="n">
        <v>21349</v>
      </c>
      <c r="B3016" s="16" t="s">
        <v>29</v>
      </c>
      <c r="C3016" s="16" t="s">
        <v>5746</v>
      </c>
      <c r="D3016" s="16" t="s">
        <v>5763</v>
      </c>
      <c r="E3016" s="17" t="s">
        <v>5764</v>
      </c>
      <c r="F3016" s="16" t="n">
        <v>35.621825</v>
      </c>
      <c r="G3016" s="16" t="n">
        <v>43.246053</v>
      </c>
      <c r="H3016" s="18" t="n">
        <v>6</v>
      </c>
      <c r="I3016" s="18" t="n">
        <v>36</v>
      </c>
      <c r="J3016" s="19"/>
      <c r="K3016" s="19"/>
      <c r="L3016" s="19"/>
      <c r="M3016" s="19"/>
      <c r="N3016" s="19"/>
      <c r="O3016" s="19"/>
      <c r="P3016" s="19"/>
      <c r="Q3016" s="19"/>
      <c r="R3016" s="19" t="n">
        <v>4</v>
      </c>
      <c r="S3016" s="19"/>
      <c r="T3016" s="19"/>
      <c r="U3016" s="19"/>
      <c r="V3016" s="19"/>
      <c r="W3016" s="19"/>
      <c r="X3016" s="19" t="n">
        <v>2</v>
      </c>
      <c r="Y3016" s="19"/>
      <c r="Z3016" s="19"/>
      <c r="AA3016" s="19"/>
      <c r="AB3016" s="19"/>
      <c r="AC3016" s="19"/>
      <c r="AD3016" s="19"/>
      <c r="AE3016" s="19" t="n">
        <v>6</v>
      </c>
      <c r="AF3016" s="19"/>
      <c r="AG3016" s="19"/>
      <c r="AH3016" s="19"/>
      <c r="AI3016" s="19"/>
      <c r="AJ3016" s="19"/>
      <c r="AK3016" s="19"/>
      <c r="AL3016" s="19"/>
      <c r="AM3016" s="19"/>
      <c r="AN3016" s="19"/>
      <c r="AO3016" s="19"/>
      <c r="AP3016" s="19"/>
      <c r="AQ3016" s="19"/>
      <c r="AR3016" s="19" t="n">
        <v>6</v>
      </c>
      <c r="AS3016" s="20" t="str">
        <f aca="false">HYPERLINK("http://www.openstreetmap.org/?mlat=35.6218&amp;mlon=43.2461&amp;zoom=12#map=12/35.6218/43.2461","Maplink1")</f>
        <v>Maplink1</v>
      </c>
      <c r="AT3016" s="20" t="str">
        <f aca="false">HYPERLINK("https://www.google.iq/maps/search/+35.6218,43.2461/@35.6218,43.2461,14z?hl=en","Maplink2")</f>
        <v>Maplink2</v>
      </c>
      <c r="AU3016" s="20" t="str">
        <f aca="false">HYPERLINK("http://www.bing.com/maps/?lvl=14&amp;sty=h&amp;cp=35.6218~43.2461&amp;sp=point.35.6218_43.2461","Maplink3")</f>
        <v>Maplink3</v>
      </c>
    </row>
    <row r="3017" customFormat="false" ht="15" hidden="false" customHeight="true" outlineLevel="0" collapsed="false">
      <c r="A3017" s="15" t="n">
        <v>20395</v>
      </c>
      <c r="B3017" s="16" t="s">
        <v>29</v>
      </c>
      <c r="C3017" s="16" t="s">
        <v>5746</v>
      </c>
      <c r="D3017" s="16" t="s">
        <v>5765</v>
      </c>
      <c r="E3017" s="17" t="s">
        <v>5766</v>
      </c>
      <c r="F3017" s="16" t="n">
        <v>35.538307</v>
      </c>
      <c r="G3017" s="16" t="n">
        <v>43.224873</v>
      </c>
      <c r="H3017" s="18" t="n">
        <v>571</v>
      </c>
      <c r="I3017" s="18" t="n">
        <v>3426</v>
      </c>
      <c r="J3017" s="19" t="n">
        <v>4</v>
      </c>
      <c r="K3017" s="19"/>
      <c r="L3017" s="19"/>
      <c r="M3017" s="19"/>
      <c r="N3017" s="19"/>
      <c r="O3017" s="19"/>
      <c r="P3017" s="19"/>
      <c r="Q3017" s="19"/>
      <c r="R3017" s="19" t="n">
        <v>16</v>
      </c>
      <c r="S3017" s="19"/>
      <c r="T3017" s="19"/>
      <c r="U3017" s="19"/>
      <c r="V3017" s="19"/>
      <c r="W3017" s="19"/>
      <c r="X3017" s="19" t="n">
        <v>551</v>
      </c>
      <c r="Y3017" s="19"/>
      <c r="Z3017" s="19"/>
      <c r="AA3017" s="19"/>
      <c r="AB3017" s="19"/>
      <c r="AC3017" s="19" t="n">
        <v>240</v>
      </c>
      <c r="AD3017" s="19"/>
      <c r="AE3017" s="19" t="n">
        <v>121</v>
      </c>
      <c r="AF3017" s="19"/>
      <c r="AG3017" s="19"/>
      <c r="AH3017" s="19"/>
      <c r="AI3017" s="19"/>
      <c r="AJ3017" s="19" t="n">
        <v>210</v>
      </c>
      <c r="AK3017" s="19"/>
      <c r="AL3017" s="19" t="n">
        <v>4</v>
      </c>
      <c r="AM3017" s="19"/>
      <c r="AN3017" s="19"/>
      <c r="AO3017" s="19"/>
      <c r="AP3017" s="19"/>
      <c r="AQ3017" s="19"/>
      <c r="AR3017" s="19" t="n">
        <v>567</v>
      </c>
      <c r="AS3017" s="20" t="str">
        <f aca="false">HYPERLINK("http://www.openstreetmap.org/?mlat=35.5383&amp;mlon=43.2249&amp;zoom=12#map=12/35.5383/43.2249","Maplink1")</f>
        <v>Maplink1</v>
      </c>
      <c r="AT3017" s="20" t="str">
        <f aca="false">HYPERLINK("https://www.google.iq/maps/search/+35.5383,43.2249/@35.5383,43.2249,14z?hl=en","Maplink2")</f>
        <v>Maplink2</v>
      </c>
      <c r="AU3017" s="20" t="str">
        <f aca="false">HYPERLINK("http://www.bing.com/maps/?lvl=14&amp;sty=h&amp;cp=35.5383~43.2249&amp;sp=point.35.5383_43.2249","Maplink3")</f>
        <v>Maplink3</v>
      </c>
    </row>
    <row r="3018" customFormat="false" ht="15" hidden="false" customHeight="true" outlineLevel="0" collapsed="false">
      <c r="A3018" s="15" t="n">
        <v>21004</v>
      </c>
      <c r="B3018" s="16" t="s">
        <v>29</v>
      </c>
      <c r="C3018" s="16" t="s">
        <v>5746</v>
      </c>
      <c r="D3018" s="16" t="s">
        <v>5288</v>
      </c>
      <c r="E3018" s="17" t="s">
        <v>300</v>
      </c>
      <c r="F3018" s="16" t="n">
        <v>35.530934</v>
      </c>
      <c r="G3018" s="16" t="n">
        <v>43.226178</v>
      </c>
      <c r="H3018" s="18" t="n">
        <v>731</v>
      </c>
      <c r="I3018" s="18" t="n">
        <v>4386</v>
      </c>
      <c r="J3018" s="19"/>
      <c r="K3018" s="19"/>
      <c r="L3018" s="19"/>
      <c r="M3018" s="19"/>
      <c r="N3018" s="19"/>
      <c r="O3018" s="19"/>
      <c r="P3018" s="19"/>
      <c r="Q3018" s="19"/>
      <c r="R3018" s="19" t="n">
        <v>15</v>
      </c>
      <c r="S3018" s="19"/>
      <c r="T3018" s="19"/>
      <c r="U3018" s="19"/>
      <c r="V3018" s="19"/>
      <c r="W3018" s="19"/>
      <c r="X3018" s="19" t="n">
        <v>716</v>
      </c>
      <c r="Y3018" s="19"/>
      <c r="Z3018" s="19"/>
      <c r="AA3018" s="19"/>
      <c r="AB3018" s="19"/>
      <c r="AC3018" s="19" t="n">
        <v>100</v>
      </c>
      <c r="AD3018" s="19"/>
      <c r="AE3018" s="19" t="n">
        <v>23</v>
      </c>
      <c r="AF3018" s="19"/>
      <c r="AG3018" s="19"/>
      <c r="AH3018" s="19" t="n">
        <v>108</v>
      </c>
      <c r="AI3018" s="19"/>
      <c r="AJ3018" s="19" t="n">
        <v>500</v>
      </c>
      <c r="AK3018" s="19"/>
      <c r="AL3018" s="19"/>
      <c r="AM3018" s="19"/>
      <c r="AN3018" s="19"/>
      <c r="AO3018" s="19"/>
      <c r="AP3018" s="19"/>
      <c r="AQ3018" s="19"/>
      <c r="AR3018" s="19" t="n">
        <v>731</v>
      </c>
      <c r="AS3018" s="20" t="str">
        <f aca="false">HYPERLINK("http://www.openstreetmap.org/?mlat=35.5309&amp;mlon=43.2262&amp;zoom=12#map=12/35.5309/43.2262","Maplink1")</f>
        <v>Maplink1</v>
      </c>
      <c r="AT3018" s="20" t="str">
        <f aca="false">HYPERLINK("https://www.google.iq/maps/search/+35.5309,43.2262/@35.5309,43.2262,14z?hl=en","Maplink2")</f>
        <v>Maplink2</v>
      </c>
      <c r="AU3018" s="20" t="str">
        <f aca="false">HYPERLINK("http://www.bing.com/maps/?lvl=14&amp;sty=h&amp;cp=35.5309~43.2262&amp;sp=point.35.5309_43.2262","Maplink3")</f>
        <v>Maplink3</v>
      </c>
    </row>
    <row r="3019" customFormat="false" ht="15" hidden="false" customHeight="true" outlineLevel="0" collapsed="false">
      <c r="A3019" s="15" t="n">
        <v>24210</v>
      </c>
      <c r="B3019" s="16" t="s">
        <v>29</v>
      </c>
      <c r="C3019" s="16" t="s">
        <v>5746</v>
      </c>
      <c r="D3019" s="16" t="s">
        <v>5767</v>
      </c>
      <c r="E3019" s="17" t="s">
        <v>5768</v>
      </c>
      <c r="F3019" s="16" t="n">
        <v>35.5188</v>
      </c>
      <c r="G3019" s="16" t="n">
        <v>43.2271</v>
      </c>
      <c r="H3019" s="18" t="n">
        <v>600</v>
      </c>
      <c r="I3019" s="18" t="n">
        <v>3600</v>
      </c>
      <c r="J3019" s="19"/>
      <c r="K3019" s="19"/>
      <c r="L3019" s="19"/>
      <c r="M3019" s="19"/>
      <c r="N3019" s="19"/>
      <c r="O3019" s="19"/>
      <c r="P3019" s="19"/>
      <c r="Q3019" s="19"/>
      <c r="R3019" s="19" t="n">
        <v>80</v>
      </c>
      <c r="S3019" s="19"/>
      <c r="T3019" s="19"/>
      <c r="U3019" s="19"/>
      <c r="V3019" s="19"/>
      <c r="W3019" s="19"/>
      <c r="X3019" s="19" t="n">
        <v>520</v>
      </c>
      <c r="Y3019" s="19"/>
      <c r="Z3019" s="19"/>
      <c r="AA3019" s="19"/>
      <c r="AB3019" s="19"/>
      <c r="AC3019" s="19" t="n">
        <v>71</v>
      </c>
      <c r="AD3019" s="19"/>
      <c r="AE3019" s="19" t="n">
        <v>59</v>
      </c>
      <c r="AF3019" s="19"/>
      <c r="AG3019" s="19"/>
      <c r="AH3019" s="19" t="n">
        <v>370</v>
      </c>
      <c r="AI3019" s="19"/>
      <c r="AJ3019" s="19" t="n">
        <v>100</v>
      </c>
      <c r="AK3019" s="19"/>
      <c r="AL3019" s="19"/>
      <c r="AM3019" s="19"/>
      <c r="AN3019" s="19"/>
      <c r="AO3019" s="19"/>
      <c r="AP3019" s="19"/>
      <c r="AQ3019" s="19"/>
      <c r="AR3019" s="19" t="n">
        <v>600</v>
      </c>
      <c r="AS3019" s="20" t="str">
        <f aca="false">HYPERLINK("http://www.openstreetmap.org/?mlat=35.5188&amp;mlon=43.2271&amp;zoom=12#map=12/35.5188/43.2271","Maplink1")</f>
        <v>Maplink1</v>
      </c>
      <c r="AT3019" s="20" t="str">
        <f aca="false">HYPERLINK("https://www.google.iq/maps/search/+35.5188,43.2271/@35.5188,43.2271,14z?hl=en","Maplink2")</f>
        <v>Maplink2</v>
      </c>
      <c r="AU3019" s="20" t="str">
        <f aca="false">HYPERLINK("http://www.bing.com/maps/?lvl=14&amp;sty=h&amp;cp=35.5188~43.2271&amp;sp=point.35.5188_43.2271","Maplink3")</f>
        <v>Maplink3</v>
      </c>
    </row>
    <row r="3020" customFormat="false" ht="15" hidden="false" customHeight="true" outlineLevel="0" collapsed="false">
      <c r="A3020" s="15" t="n">
        <v>24246</v>
      </c>
      <c r="B3020" s="16" t="s">
        <v>29</v>
      </c>
      <c r="C3020" s="16" t="s">
        <v>5746</v>
      </c>
      <c r="D3020" s="16" t="s">
        <v>5769</v>
      </c>
      <c r="E3020" s="17" t="s">
        <v>5770</v>
      </c>
      <c r="F3020" s="16" t="n">
        <v>35.5071</v>
      </c>
      <c r="G3020" s="16" t="n">
        <v>43.2441</v>
      </c>
      <c r="H3020" s="18" t="n">
        <v>50</v>
      </c>
      <c r="I3020" s="18" t="n">
        <v>300</v>
      </c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 t="n">
        <v>50</v>
      </c>
      <c r="Y3020" s="19"/>
      <c r="Z3020" s="19"/>
      <c r="AA3020" s="19"/>
      <c r="AB3020" s="19"/>
      <c r="AC3020" s="19" t="n">
        <v>50</v>
      </c>
      <c r="AD3020" s="19"/>
      <c r="AE3020" s="19"/>
      <c r="AF3020" s="19"/>
      <c r="AG3020" s="19"/>
      <c r="AH3020" s="19"/>
      <c r="AI3020" s="19"/>
      <c r="AJ3020" s="19"/>
      <c r="AK3020" s="19"/>
      <c r="AL3020" s="19"/>
      <c r="AM3020" s="19" t="n">
        <v>50</v>
      </c>
      <c r="AN3020" s="19"/>
      <c r="AO3020" s="19"/>
      <c r="AP3020" s="19"/>
      <c r="AQ3020" s="19"/>
      <c r="AR3020" s="19"/>
      <c r="AS3020" s="20" t="str">
        <f aca="false">HYPERLINK("http://www.openstreetmap.org/?mlat=35.5071&amp;mlon=43.2441&amp;zoom=12#map=12/35.5071/43.2441","Maplink1")</f>
        <v>Maplink1</v>
      </c>
      <c r="AT3020" s="20" t="str">
        <f aca="false">HYPERLINK("https://www.google.iq/maps/search/+35.5071,43.2441/@35.5071,43.2441,14z?hl=en","Maplink2")</f>
        <v>Maplink2</v>
      </c>
      <c r="AU3020" s="20" t="str">
        <f aca="false">HYPERLINK("http://www.bing.com/maps/?lvl=14&amp;sty=h&amp;cp=35.5071~43.2441&amp;sp=point.35.5071_43.2441","Maplink3")</f>
        <v>Maplink3</v>
      </c>
    </row>
    <row r="3021" customFormat="false" ht="15" hidden="false" customHeight="true" outlineLevel="0" collapsed="false">
      <c r="A3021" s="15" t="n">
        <v>29654</v>
      </c>
      <c r="B3021" s="16" t="s">
        <v>29</v>
      </c>
      <c r="C3021" s="16" t="s">
        <v>5746</v>
      </c>
      <c r="D3021" s="16" t="s">
        <v>5771</v>
      </c>
      <c r="E3021" s="17" t="s">
        <v>2387</v>
      </c>
      <c r="F3021" s="16" t="n">
        <v>35.51714</v>
      </c>
      <c r="G3021" s="16" t="n">
        <v>43.235768</v>
      </c>
      <c r="H3021" s="18" t="n">
        <v>215</v>
      </c>
      <c r="I3021" s="18" t="n">
        <v>1290</v>
      </c>
      <c r="J3021" s="19"/>
      <c r="K3021" s="19"/>
      <c r="L3021" s="19"/>
      <c r="M3021" s="19"/>
      <c r="N3021" s="19"/>
      <c r="O3021" s="19"/>
      <c r="P3021" s="19"/>
      <c r="Q3021" s="19"/>
      <c r="R3021" s="19" t="n">
        <v>45</v>
      </c>
      <c r="S3021" s="19"/>
      <c r="T3021" s="19"/>
      <c r="U3021" s="19"/>
      <c r="V3021" s="19"/>
      <c r="W3021" s="19"/>
      <c r="X3021" s="19" t="n">
        <v>170</v>
      </c>
      <c r="Y3021" s="19"/>
      <c r="Z3021" s="19"/>
      <c r="AA3021" s="19"/>
      <c r="AB3021" s="19"/>
      <c r="AC3021" s="19"/>
      <c r="AD3021" s="19"/>
      <c r="AE3021" s="19"/>
      <c r="AF3021" s="19"/>
      <c r="AG3021" s="19"/>
      <c r="AH3021" s="19" t="n">
        <v>169</v>
      </c>
      <c r="AI3021" s="19"/>
      <c r="AJ3021" s="19" t="n">
        <v>46</v>
      </c>
      <c r="AK3021" s="19"/>
      <c r="AL3021" s="19"/>
      <c r="AM3021" s="19"/>
      <c r="AN3021" s="19"/>
      <c r="AO3021" s="19"/>
      <c r="AP3021" s="19"/>
      <c r="AQ3021" s="19"/>
      <c r="AR3021" s="19" t="n">
        <v>215</v>
      </c>
      <c r="AS3021" s="20" t="str">
        <f aca="false">HYPERLINK("http://www.openstreetmap.org/?mlat=35.5171&amp;mlon=43.2358&amp;zoom=12#map=12/35.5171/43.2358","Maplink1")</f>
        <v>Maplink1</v>
      </c>
      <c r="AT3021" s="20" t="str">
        <f aca="false">HYPERLINK("https://www.google.iq/maps/search/+35.5171,43.2358/@35.5171,43.2358,14z?hl=en","Maplink2")</f>
        <v>Maplink2</v>
      </c>
      <c r="AU3021" s="20" t="str">
        <f aca="false">HYPERLINK("http://www.bing.com/maps/?lvl=14&amp;sty=h&amp;cp=35.5171~43.2358&amp;sp=point.35.5171_43.2358","Maplink3")</f>
        <v>Maplink3</v>
      </c>
    </row>
    <row r="3022" customFormat="false" ht="15" hidden="false" customHeight="true" outlineLevel="0" collapsed="false">
      <c r="A3022" s="15" t="n">
        <v>29655</v>
      </c>
      <c r="B3022" s="16" t="s">
        <v>29</v>
      </c>
      <c r="C3022" s="16" t="s">
        <v>5746</v>
      </c>
      <c r="D3022" s="16" t="s">
        <v>5772</v>
      </c>
      <c r="E3022" s="17" t="s">
        <v>5773</v>
      </c>
      <c r="F3022" s="16" t="n">
        <v>35.538479</v>
      </c>
      <c r="G3022" s="16" t="n">
        <v>43.226946</v>
      </c>
      <c r="H3022" s="18" t="n">
        <v>469</v>
      </c>
      <c r="I3022" s="18" t="n">
        <v>2814</v>
      </c>
      <c r="J3022" s="19"/>
      <c r="K3022" s="19"/>
      <c r="L3022" s="19"/>
      <c r="M3022" s="19"/>
      <c r="N3022" s="19"/>
      <c r="O3022" s="19"/>
      <c r="P3022" s="19"/>
      <c r="Q3022" s="19"/>
      <c r="R3022" s="19" t="n">
        <v>120</v>
      </c>
      <c r="S3022" s="19"/>
      <c r="T3022" s="19"/>
      <c r="U3022" s="19"/>
      <c r="V3022" s="19" t="n">
        <v>49</v>
      </c>
      <c r="W3022" s="19"/>
      <c r="X3022" s="19" t="n">
        <v>300</v>
      </c>
      <c r="Y3022" s="19"/>
      <c r="Z3022" s="19"/>
      <c r="AA3022" s="19"/>
      <c r="AB3022" s="19"/>
      <c r="AC3022" s="19"/>
      <c r="AD3022" s="19"/>
      <c r="AE3022" s="19"/>
      <c r="AF3022" s="19"/>
      <c r="AG3022" s="19"/>
      <c r="AH3022" s="19" t="n">
        <v>387</v>
      </c>
      <c r="AI3022" s="19"/>
      <c r="AJ3022" s="19" t="n">
        <v>52</v>
      </c>
      <c r="AK3022" s="19" t="n">
        <v>30</v>
      </c>
      <c r="AL3022" s="19"/>
      <c r="AM3022" s="19"/>
      <c r="AN3022" s="19"/>
      <c r="AO3022" s="19"/>
      <c r="AP3022" s="19"/>
      <c r="AQ3022" s="19"/>
      <c r="AR3022" s="19" t="n">
        <v>469</v>
      </c>
      <c r="AS3022" s="20" t="str">
        <f aca="false">HYPERLINK("http://www.openstreetmap.org/?mlat=35.5385&amp;mlon=43.2269&amp;zoom=12#map=12/35.5385/43.2269","Maplink1")</f>
        <v>Maplink1</v>
      </c>
      <c r="AT3022" s="20" t="str">
        <f aca="false">HYPERLINK("https://www.google.iq/maps/search/+35.5385,43.2269/@35.5385,43.2269,14z?hl=en","Maplink2")</f>
        <v>Maplink2</v>
      </c>
      <c r="AU3022" s="20" t="str">
        <f aca="false">HYPERLINK("http://www.bing.com/maps/?lvl=14&amp;sty=h&amp;cp=35.5385~43.2269&amp;sp=point.35.5385_43.2269","Maplink3")</f>
        <v>Maplink3</v>
      </c>
    </row>
    <row r="3023" customFormat="false" ht="15" hidden="false" customHeight="true" outlineLevel="0" collapsed="false">
      <c r="A3023" s="15" t="n">
        <v>20403</v>
      </c>
      <c r="B3023" s="16" t="s">
        <v>29</v>
      </c>
      <c r="C3023" s="16" t="s">
        <v>5746</v>
      </c>
      <c r="D3023" s="16" t="s">
        <v>5774</v>
      </c>
      <c r="E3023" s="17" t="s">
        <v>5775</v>
      </c>
      <c r="F3023" s="16" t="n">
        <v>35.590428</v>
      </c>
      <c r="G3023" s="16" t="n">
        <v>43.239811</v>
      </c>
      <c r="H3023" s="18" t="n">
        <v>21</v>
      </c>
      <c r="I3023" s="18" t="n">
        <v>126</v>
      </c>
      <c r="J3023" s="19"/>
      <c r="K3023" s="19"/>
      <c r="L3023" s="19"/>
      <c r="M3023" s="19"/>
      <c r="N3023" s="19"/>
      <c r="O3023" s="19"/>
      <c r="P3023" s="19"/>
      <c r="Q3023" s="19"/>
      <c r="R3023" s="19" t="n">
        <v>4</v>
      </c>
      <c r="S3023" s="19"/>
      <c r="T3023" s="19"/>
      <c r="U3023" s="19"/>
      <c r="V3023" s="19"/>
      <c r="W3023" s="19"/>
      <c r="X3023" s="19" t="n">
        <v>17</v>
      </c>
      <c r="Y3023" s="19"/>
      <c r="Z3023" s="19"/>
      <c r="AA3023" s="19"/>
      <c r="AB3023" s="19"/>
      <c r="AC3023" s="19"/>
      <c r="AD3023" s="19" t="n">
        <v>17</v>
      </c>
      <c r="AE3023" s="19" t="n">
        <v>4</v>
      </c>
      <c r="AF3023" s="19"/>
      <c r="AG3023" s="19"/>
      <c r="AH3023" s="19"/>
      <c r="AI3023" s="19"/>
      <c r="AJ3023" s="19"/>
      <c r="AK3023" s="19"/>
      <c r="AL3023" s="19"/>
      <c r="AM3023" s="19"/>
      <c r="AN3023" s="19"/>
      <c r="AO3023" s="19"/>
      <c r="AP3023" s="19"/>
      <c r="AQ3023" s="19"/>
      <c r="AR3023" s="19" t="n">
        <v>21</v>
      </c>
      <c r="AS3023" s="20" t="str">
        <f aca="false">HYPERLINK("http://www.openstreetmap.org/?mlat=35.5904&amp;mlon=43.2398&amp;zoom=12#map=12/35.5904/43.2398","Maplink1")</f>
        <v>Maplink1</v>
      </c>
      <c r="AT3023" s="20" t="str">
        <f aca="false">HYPERLINK("https://www.google.iq/maps/search/+35.5904,43.2398/@35.5904,43.2398,14z?hl=en","Maplink2")</f>
        <v>Maplink2</v>
      </c>
      <c r="AU3023" s="20" t="str">
        <f aca="false">HYPERLINK("http://www.bing.com/maps/?lvl=14&amp;sty=h&amp;cp=35.5904~43.2398&amp;sp=point.35.5904_43.2398","Maplink3")</f>
        <v>Maplink3</v>
      </c>
    </row>
    <row r="3024" customFormat="false" ht="15" hidden="false" customHeight="true" outlineLevel="0" collapsed="false">
      <c r="A3024" s="15" t="n">
        <v>20991</v>
      </c>
      <c r="B3024" s="16" t="s">
        <v>29</v>
      </c>
      <c r="C3024" s="16" t="s">
        <v>5746</v>
      </c>
      <c r="D3024" s="16" t="s">
        <v>5776</v>
      </c>
      <c r="E3024" s="17" t="s">
        <v>5777</v>
      </c>
      <c r="F3024" s="16" t="n">
        <v>35.468225</v>
      </c>
      <c r="G3024" s="16" t="n">
        <v>43.244653</v>
      </c>
      <c r="H3024" s="18" t="n">
        <v>257</v>
      </c>
      <c r="I3024" s="18" t="n">
        <v>1542</v>
      </c>
      <c r="J3024" s="19" t="n">
        <v>16</v>
      </c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 t="n">
        <v>241</v>
      </c>
      <c r="Y3024" s="19"/>
      <c r="Z3024" s="19"/>
      <c r="AA3024" s="19"/>
      <c r="AB3024" s="19"/>
      <c r="AC3024" s="19" t="n">
        <v>60</v>
      </c>
      <c r="AD3024" s="19"/>
      <c r="AE3024" s="19" t="n">
        <v>157</v>
      </c>
      <c r="AF3024" s="19"/>
      <c r="AG3024" s="19"/>
      <c r="AH3024" s="19" t="n">
        <v>40</v>
      </c>
      <c r="AI3024" s="19"/>
      <c r="AJ3024" s="19"/>
      <c r="AK3024" s="19"/>
      <c r="AL3024" s="19" t="n">
        <v>16</v>
      </c>
      <c r="AM3024" s="19" t="n">
        <v>84</v>
      </c>
      <c r="AN3024" s="19"/>
      <c r="AO3024" s="19"/>
      <c r="AP3024" s="19"/>
      <c r="AQ3024" s="19"/>
      <c r="AR3024" s="19" t="n">
        <v>157</v>
      </c>
      <c r="AS3024" s="20" t="str">
        <f aca="false">HYPERLINK("http://www.openstreetmap.org/?mlat=35.4682&amp;mlon=43.2447&amp;zoom=12#map=12/35.4682/43.2447","Maplink1")</f>
        <v>Maplink1</v>
      </c>
      <c r="AT3024" s="20" t="str">
        <f aca="false">HYPERLINK("https://www.google.iq/maps/search/+35.4682,43.2447/@35.4682,43.2447,14z?hl=en","Maplink2")</f>
        <v>Maplink2</v>
      </c>
      <c r="AU3024" s="20" t="str">
        <f aca="false">HYPERLINK("http://www.bing.com/maps/?lvl=14&amp;sty=h&amp;cp=35.4682~43.2447&amp;sp=point.35.4682_43.2447","Maplink3")</f>
        <v>Maplink3</v>
      </c>
    </row>
    <row r="3025" customFormat="false" ht="15" hidden="false" customHeight="true" outlineLevel="0" collapsed="false">
      <c r="A3025" s="15" t="n">
        <v>21006</v>
      </c>
      <c r="B3025" s="16" t="s">
        <v>29</v>
      </c>
      <c r="C3025" s="16" t="s">
        <v>5746</v>
      </c>
      <c r="D3025" s="16" t="s">
        <v>5778</v>
      </c>
      <c r="E3025" s="17" t="s">
        <v>5779</v>
      </c>
      <c r="F3025" s="16" t="n">
        <v>35.488327</v>
      </c>
      <c r="G3025" s="16" t="n">
        <v>43.227102</v>
      </c>
      <c r="H3025" s="18" t="n">
        <v>407</v>
      </c>
      <c r="I3025" s="18" t="n">
        <v>2442</v>
      </c>
      <c r="J3025" s="19" t="n">
        <v>10</v>
      </c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 t="n">
        <v>397</v>
      </c>
      <c r="Y3025" s="19"/>
      <c r="Z3025" s="19"/>
      <c r="AA3025" s="19"/>
      <c r="AB3025" s="19"/>
      <c r="AC3025" s="19" t="n">
        <v>60</v>
      </c>
      <c r="AD3025" s="19"/>
      <c r="AE3025" s="19" t="n">
        <v>297</v>
      </c>
      <c r="AF3025" s="19"/>
      <c r="AG3025" s="19"/>
      <c r="AH3025" s="19" t="n">
        <v>30</v>
      </c>
      <c r="AI3025" s="19" t="n">
        <v>10</v>
      </c>
      <c r="AJ3025" s="19" t="n">
        <v>10</v>
      </c>
      <c r="AK3025" s="19"/>
      <c r="AL3025" s="19" t="n">
        <v>10</v>
      </c>
      <c r="AM3025" s="19" t="n">
        <v>40</v>
      </c>
      <c r="AN3025" s="19" t="n">
        <v>50</v>
      </c>
      <c r="AO3025" s="19"/>
      <c r="AP3025" s="19"/>
      <c r="AQ3025" s="19"/>
      <c r="AR3025" s="19" t="n">
        <v>307</v>
      </c>
      <c r="AS3025" s="20" t="str">
        <f aca="false">HYPERLINK("http://www.openstreetmap.org/?mlat=35.4883&amp;mlon=43.2271&amp;zoom=12#map=12/35.4883/43.2271","Maplink1")</f>
        <v>Maplink1</v>
      </c>
      <c r="AT3025" s="20" t="str">
        <f aca="false">HYPERLINK("https://www.google.iq/maps/search/+35.4883,43.2271/@35.4883,43.2271,14z?hl=en","Maplink2")</f>
        <v>Maplink2</v>
      </c>
      <c r="AU3025" s="20" t="str">
        <f aca="false">HYPERLINK("http://www.bing.com/maps/?lvl=14&amp;sty=h&amp;cp=35.4883~43.2271&amp;sp=point.35.4883_43.2271","Maplink3")</f>
        <v>Maplink3</v>
      </c>
    </row>
    <row r="3026" customFormat="false" ht="15" hidden="false" customHeight="true" outlineLevel="0" collapsed="false">
      <c r="A3026" s="15" t="n">
        <v>23388</v>
      </c>
      <c r="B3026" s="16" t="s">
        <v>29</v>
      </c>
      <c r="C3026" s="16" t="s">
        <v>5780</v>
      </c>
      <c r="D3026" s="16" t="s">
        <v>5781</v>
      </c>
      <c r="E3026" s="17" t="s">
        <v>5782</v>
      </c>
      <c r="F3026" s="16" t="n">
        <v>34.76836674</v>
      </c>
      <c r="G3026" s="16" t="n">
        <v>43.59085838</v>
      </c>
      <c r="H3026" s="18" t="n">
        <v>91</v>
      </c>
      <c r="I3026" s="18" t="n">
        <v>546</v>
      </c>
      <c r="J3026" s="19"/>
      <c r="K3026" s="19"/>
      <c r="L3026" s="19"/>
      <c r="M3026" s="19"/>
      <c r="N3026" s="19"/>
      <c r="O3026" s="19"/>
      <c r="P3026" s="19"/>
      <c r="Q3026" s="19"/>
      <c r="R3026" s="19" t="n">
        <v>5</v>
      </c>
      <c r="S3026" s="19"/>
      <c r="T3026" s="19"/>
      <c r="U3026" s="19"/>
      <c r="V3026" s="19"/>
      <c r="W3026" s="19"/>
      <c r="X3026" s="19" t="n">
        <v>86</v>
      </c>
      <c r="Y3026" s="19"/>
      <c r="Z3026" s="19"/>
      <c r="AA3026" s="19"/>
      <c r="AB3026" s="19"/>
      <c r="AC3026" s="19" t="n">
        <v>44</v>
      </c>
      <c r="AD3026" s="19"/>
      <c r="AE3026" s="19" t="n">
        <v>27</v>
      </c>
      <c r="AF3026" s="19"/>
      <c r="AG3026" s="19"/>
      <c r="AH3026" s="19" t="n">
        <v>20</v>
      </c>
      <c r="AI3026" s="19"/>
      <c r="AJ3026" s="19"/>
      <c r="AK3026" s="19"/>
      <c r="AL3026" s="19"/>
      <c r="AM3026" s="19" t="n">
        <v>29</v>
      </c>
      <c r="AN3026" s="19" t="n">
        <v>11</v>
      </c>
      <c r="AO3026" s="19"/>
      <c r="AP3026" s="19"/>
      <c r="AQ3026" s="19" t="n">
        <v>51</v>
      </c>
      <c r="AR3026" s="19"/>
      <c r="AS3026" s="20" t="str">
        <f aca="false">HYPERLINK("http://www.openstreetmap.org/?mlat=34.7684&amp;mlon=43.5909&amp;zoom=12#map=12/34.7684/43.5909","Maplink1")</f>
        <v>Maplink1</v>
      </c>
      <c r="AT3026" s="20" t="str">
        <f aca="false">HYPERLINK("https://www.google.iq/maps/search/+34.7684,43.5909/@34.7684,43.5909,14z?hl=en","Maplink2")</f>
        <v>Maplink2</v>
      </c>
      <c r="AU3026" s="20" t="str">
        <f aca="false">HYPERLINK("http://www.bing.com/maps/?lvl=14&amp;sty=h&amp;cp=34.7684~43.5909&amp;sp=point.34.7684_43.5909","Maplink3")</f>
        <v>Maplink3</v>
      </c>
    </row>
    <row r="3027" customFormat="false" ht="15" hidden="false" customHeight="true" outlineLevel="0" collapsed="false">
      <c r="A3027" s="15" t="n">
        <v>25921</v>
      </c>
      <c r="B3027" s="16" t="s">
        <v>29</v>
      </c>
      <c r="C3027" s="16" t="s">
        <v>5780</v>
      </c>
      <c r="D3027" s="16" t="s">
        <v>5783</v>
      </c>
      <c r="E3027" s="17" t="s">
        <v>5784</v>
      </c>
      <c r="F3027" s="16" t="n">
        <v>34.84794823</v>
      </c>
      <c r="G3027" s="16" t="n">
        <v>43.51412586</v>
      </c>
      <c r="H3027" s="18" t="n">
        <v>338</v>
      </c>
      <c r="I3027" s="18" t="n">
        <v>2028</v>
      </c>
      <c r="J3027" s="19"/>
      <c r="K3027" s="19"/>
      <c r="L3027" s="19"/>
      <c r="M3027" s="19"/>
      <c r="N3027" s="19"/>
      <c r="O3027" s="19"/>
      <c r="P3027" s="19"/>
      <c r="Q3027" s="19"/>
      <c r="R3027" s="19" t="n">
        <v>186</v>
      </c>
      <c r="S3027" s="19"/>
      <c r="T3027" s="19"/>
      <c r="U3027" s="19"/>
      <c r="V3027" s="19"/>
      <c r="W3027" s="19"/>
      <c r="X3027" s="19" t="n">
        <v>152</v>
      </c>
      <c r="Y3027" s="19"/>
      <c r="Z3027" s="19"/>
      <c r="AA3027" s="19"/>
      <c r="AB3027" s="19" t="n">
        <v>186</v>
      </c>
      <c r="AC3027" s="19" t="n">
        <v>20</v>
      </c>
      <c r="AD3027" s="19"/>
      <c r="AE3027" s="19" t="n">
        <v>32</v>
      </c>
      <c r="AF3027" s="19"/>
      <c r="AG3027" s="19" t="n">
        <v>15</v>
      </c>
      <c r="AH3027" s="19" t="n">
        <v>20</v>
      </c>
      <c r="AI3027" s="19"/>
      <c r="AJ3027" s="19" t="n">
        <v>65</v>
      </c>
      <c r="AK3027" s="19"/>
      <c r="AL3027" s="19"/>
      <c r="AM3027" s="19"/>
      <c r="AN3027" s="19"/>
      <c r="AO3027" s="19"/>
      <c r="AP3027" s="19"/>
      <c r="AQ3027" s="19" t="n">
        <v>338</v>
      </c>
      <c r="AR3027" s="19"/>
      <c r="AS3027" s="20" t="str">
        <f aca="false">HYPERLINK("http://www.openstreetmap.org/?mlat=34.8479&amp;mlon=43.5141&amp;zoom=12#map=12/34.8479/43.5141","Maplink1")</f>
        <v>Maplink1</v>
      </c>
      <c r="AT3027" s="20" t="str">
        <f aca="false">HYPERLINK("https://www.google.iq/maps/search/+34.8479,43.5141/@34.8479,43.5141,14z?hl=en","Maplink2")</f>
        <v>Maplink2</v>
      </c>
      <c r="AU3027" s="20" t="str">
        <f aca="false">HYPERLINK("http://www.bing.com/maps/?lvl=14&amp;sty=h&amp;cp=34.8479~43.5141&amp;sp=point.34.8479_43.5141","Maplink3")</f>
        <v>Maplink3</v>
      </c>
    </row>
    <row r="3028" customFormat="false" ht="15" hidden="false" customHeight="true" outlineLevel="0" collapsed="false">
      <c r="A3028" s="15" t="n">
        <v>20655</v>
      </c>
      <c r="B3028" s="16" t="s">
        <v>29</v>
      </c>
      <c r="C3028" s="16" t="s">
        <v>5780</v>
      </c>
      <c r="D3028" s="16" t="s">
        <v>5785</v>
      </c>
      <c r="E3028" s="17" t="s">
        <v>5786</v>
      </c>
      <c r="F3028" s="16" t="n">
        <v>34.88678</v>
      </c>
      <c r="G3028" s="16" t="n">
        <v>43.48855</v>
      </c>
      <c r="H3028" s="18" t="n">
        <v>75</v>
      </c>
      <c r="I3028" s="18" t="n">
        <v>450</v>
      </c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 t="n">
        <v>75</v>
      </c>
      <c r="Y3028" s="19"/>
      <c r="Z3028" s="19"/>
      <c r="AA3028" s="19"/>
      <c r="AB3028" s="19"/>
      <c r="AC3028" s="19" t="n">
        <v>75</v>
      </c>
      <c r="AD3028" s="19"/>
      <c r="AE3028" s="19"/>
      <c r="AF3028" s="19"/>
      <c r="AG3028" s="19"/>
      <c r="AH3028" s="19"/>
      <c r="AI3028" s="19"/>
      <c r="AJ3028" s="19"/>
      <c r="AK3028" s="19"/>
      <c r="AL3028" s="19"/>
      <c r="AM3028" s="19"/>
      <c r="AN3028" s="19" t="n">
        <v>30</v>
      </c>
      <c r="AO3028" s="19"/>
      <c r="AP3028" s="19"/>
      <c r="AQ3028" s="19" t="n">
        <v>45</v>
      </c>
      <c r="AR3028" s="19"/>
      <c r="AS3028" s="20" t="str">
        <f aca="false">HYPERLINK("http://www.openstreetmap.org/?mlat=34.8868&amp;mlon=43.4885&amp;zoom=12#map=12/34.8868/43.4885","Maplink1")</f>
        <v>Maplink1</v>
      </c>
      <c r="AT3028" s="20" t="str">
        <f aca="false">HYPERLINK("https://www.google.iq/maps/search/+34.8868,43.4885/@34.8868,43.4885,14z?hl=en","Maplink2")</f>
        <v>Maplink2</v>
      </c>
      <c r="AU3028" s="20" t="str">
        <f aca="false">HYPERLINK("http://www.bing.com/maps/?lvl=14&amp;sty=h&amp;cp=34.8868~43.4885&amp;sp=point.34.8868_43.4885","Maplink3")</f>
        <v>Maplink3</v>
      </c>
    </row>
    <row r="3029" customFormat="false" ht="15" hidden="false" customHeight="true" outlineLevel="0" collapsed="false">
      <c r="A3029" s="15" t="n">
        <v>24304</v>
      </c>
      <c r="B3029" s="16" t="s">
        <v>29</v>
      </c>
      <c r="C3029" s="16" t="s">
        <v>5780</v>
      </c>
      <c r="D3029" s="16" t="s">
        <v>5787</v>
      </c>
      <c r="E3029" s="17" t="s">
        <v>5788</v>
      </c>
      <c r="F3029" s="16" t="n">
        <v>35.185783</v>
      </c>
      <c r="G3029" s="16" t="n">
        <v>43.401864</v>
      </c>
      <c r="H3029" s="18" t="n">
        <v>150</v>
      </c>
      <c r="I3029" s="18" t="n">
        <v>900</v>
      </c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 t="n">
        <v>150</v>
      </c>
      <c r="Y3029" s="19"/>
      <c r="Z3029" s="19"/>
      <c r="AA3029" s="19"/>
      <c r="AB3029" s="19"/>
      <c r="AC3029" s="19" t="n">
        <v>70</v>
      </c>
      <c r="AD3029" s="19"/>
      <c r="AE3029" s="19"/>
      <c r="AF3029" s="19"/>
      <c r="AG3029" s="19" t="n">
        <v>10</v>
      </c>
      <c r="AH3029" s="19" t="n">
        <v>10</v>
      </c>
      <c r="AI3029" s="19" t="n">
        <v>30</v>
      </c>
      <c r="AJ3029" s="19" t="n">
        <v>30</v>
      </c>
      <c r="AK3029" s="19"/>
      <c r="AL3029" s="19"/>
      <c r="AM3029" s="19" t="n">
        <v>150</v>
      </c>
      <c r="AN3029" s="19"/>
      <c r="AO3029" s="19"/>
      <c r="AP3029" s="19"/>
      <c r="AQ3029" s="19"/>
      <c r="AR3029" s="19"/>
      <c r="AS3029" s="20" t="str">
        <f aca="false">HYPERLINK("http://www.openstreetmap.org/?mlat=35.1858&amp;mlon=43.4019&amp;zoom=12#map=12/35.1858/43.4019","Maplink1")</f>
        <v>Maplink1</v>
      </c>
      <c r="AT3029" s="20" t="str">
        <f aca="false">HYPERLINK("https://www.google.iq/maps/search/+35.1858,43.4019/@35.1858,43.4019,14z?hl=en","Maplink2")</f>
        <v>Maplink2</v>
      </c>
      <c r="AU3029" s="20" t="str">
        <f aca="false">HYPERLINK("http://www.bing.com/maps/?lvl=14&amp;sty=h&amp;cp=35.1858~43.4019&amp;sp=point.35.1858_43.4019","Maplink3")</f>
        <v>Maplink3</v>
      </c>
    </row>
    <row r="3030" customFormat="false" ht="15" hidden="false" customHeight="true" outlineLevel="0" collapsed="false">
      <c r="A3030" s="15" t="n">
        <v>24305</v>
      </c>
      <c r="B3030" s="16" t="s">
        <v>29</v>
      </c>
      <c r="C3030" s="16" t="s">
        <v>5780</v>
      </c>
      <c r="D3030" s="16" t="s">
        <v>5789</v>
      </c>
      <c r="E3030" s="17" t="s">
        <v>5790</v>
      </c>
      <c r="F3030" s="16" t="n">
        <v>35.333402</v>
      </c>
      <c r="G3030" s="16" t="n">
        <v>43.352386</v>
      </c>
      <c r="H3030" s="18" t="n">
        <v>100</v>
      </c>
      <c r="I3030" s="18" t="n">
        <v>600</v>
      </c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 t="n">
        <v>100</v>
      </c>
      <c r="Y3030" s="19"/>
      <c r="Z3030" s="19"/>
      <c r="AA3030" s="19"/>
      <c r="AB3030" s="19"/>
      <c r="AC3030" s="19" t="n">
        <v>30</v>
      </c>
      <c r="AD3030" s="19"/>
      <c r="AE3030" s="19"/>
      <c r="AF3030" s="19"/>
      <c r="AG3030" s="19" t="n">
        <v>15</v>
      </c>
      <c r="AH3030" s="19" t="n">
        <v>10</v>
      </c>
      <c r="AI3030" s="19" t="n">
        <v>10</v>
      </c>
      <c r="AJ3030" s="19" t="n">
        <v>35</v>
      </c>
      <c r="AK3030" s="19"/>
      <c r="AL3030" s="19"/>
      <c r="AM3030" s="19" t="n">
        <v>100</v>
      </c>
      <c r="AN3030" s="19"/>
      <c r="AO3030" s="19"/>
      <c r="AP3030" s="19"/>
      <c r="AQ3030" s="19"/>
      <c r="AR3030" s="19"/>
      <c r="AS3030" s="20" t="str">
        <f aca="false">HYPERLINK("http://www.openstreetmap.org/?mlat=35.3334&amp;mlon=43.3524&amp;zoom=12#map=12/35.3334/43.3524","Maplink1")</f>
        <v>Maplink1</v>
      </c>
      <c r="AT3030" s="20" t="str">
        <f aca="false">HYPERLINK("https://www.google.iq/maps/search/+35.3334,43.3524/@35.3334,43.3524,14z?hl=en","Maplink2")</f>
        <v>Maplink2</v>
      </c>
      <c r="AU3030" s="20" t="str">
        <f aca="false">HYPERLINK("http://www.bing.com/maps/?lvl=14&amp;sty=h&amp;cp=35.3334~43.3524&amp;sp=point.35.3334_43.3524","Maplink3")</f>
        <v>Maplink3</v>
      </c>
    </row>
    <row r="3031" customFormat="false" ht="15" hidden="false" customHeight="true" outlineLevel="0" collapsed="false">
      <c r="A3031" s="15" t="n">
        <v>25706</v>
      </c>
      <c r="B3031" s="16" t="s">
        <v>29</v>
      </c>
      <c r="C3031" s="16" t="s">
        <v>5780</v>
      </c>
      <c r="D3031" s="16" t="s">
        <v>5791</v>
      </c>
      <c r="E3031" s="17" t="s">
        <v>5792</v>
      </c>
      <c r="F3031" s="16" t="n">
        <v>34.82564225</v>
      </c>
      <c r="G3031" s="16" t="n">
        <v>43.54698153</v>
      </c>
      <c r="H3031" s="18" t="n">
        <v>408</v>
      </c>
      <c r="I3031" s="18" t="n">
        <v>2448</v>
      </c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 t="n">
        <v>120</v>
      </c>
      <c r="W3031" s="19"/>
      <c r="X3031" s="19" t="n">
        <v>288</v>
      </c>
      <c r="Y3031" s="19"/>
      <c r="Z3031" s="19"/>
      <c r="AA3031" s="19"/>
      <c r="AB3031" s="19"/>
      <c r="AC3031" s="19" t="n">
        <v>120</v>
      </c>
      <c r="AD3031" s="19"/>
      <c r="AE3031" s="19" t="n">
        <v>70</v>
      </c>
      <c r="AF3031" s="19"/>
      <c r="AG3031" s="19"/>
      <c r="AH3031" s="19" t="n">
        <v>98</v>
      </c>
      <c r="AI3031" s="19" t="n">
        <v>50</v>
      </c>
      <c r="AJ3031" s="19" t="n">
        <v>70</v>
      </c>
      <c r="AK3031" s="19"/>
      <c r="AL3031" s="19"/>
      <c r="AM3031" s="19"/>
      <c r="AN3031" s="19" t="n">
        <v>142</v>
      </c>
      <c r="AO3031" s="19" t="n">
        <v>56</v>
      </c>
      <c r="AP3031" s="19"/>
      <c r="AQ3031" s="19" t="n">
        <v>202</v>
      </c>
      <c r="AR3031" s="19" t="n">
        <v>8</v>
      </c>
      <c r="AS3031" s="20" t="str">
        <f aca="false">HYPERLINK("http://www.openstreetmap.org/?mlat=34.8256&amp;mlon=43.547&amp;zoom=12#map=12/34.8256/43.547","Maplink1")</f>
        <v>Maplink1</v>
      </c>
      <c r="AT3031" s="20" t="str">
        <f aca="false">HYPERLINK("https://www.google.iq/maps/search/+34.8256,43.547/@34.8256,43.547,14z?hl=en","Maplink2")</f>
        <v>Maplink2</v>
      </c>
      <c r="AU3031" s="20" t="str">
        <f aca="false">HYPERLINK("http://www.bing.com/maps/?lvl=14&amp;sty=h&amp;cp=34.8256~43.547&amp;sp=point.34.8256_43.547","Maplink3")</f>
        <v>Maplink3</v>
      </c>
    </row>
    <row r="3032" customFormat="false" ht="15" hidden="false" customHeight="true" outlineLevel="0" collapsed="false">
      <c r="A3032" s="15" t="n">
        <v>20686</v>
      </c>
      <c r="B3032" s="16" t="s">
        <v>29</v>
      </c>
      <c r="C3032" s="16" t="s">
        <v>5780</v>
      </c>
      <c r="D3032" s="16" t="s">
        <v>5793</v>
      </c>
      <c r="E3032" s="17" t="s">
        <v>5794</v>
      </c>
      <c r="F3032" s="16" t="n">
        <v>34.9464</v>
      </c>
      <c r="G3032" s="16" t="n">
        <v>43.4997</v>
      </c>
      <c r="H3032" s="18" t="n">
        <v>117</v>
      </c>
      <c r="I3032" s="18" t="n">
        <v>702</v>
      </c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 t="n">
        <v>117</v>
      </c>
      <c r="Y3032" s="19"/>
      <c r="Z3032" s="19"/>
      <c r="AA3032" s="19"/>
      <c r="AB3032" s="19"/>
      <c r="AC3032" s="19" t="n">
        <v>28</v>
      </c>
      <c r="AD3032" s="19"/>
      <c r="AE3032" s="19" t="n">
        <v>89</v>
      </c>
      <c r="AF3032" s="19"/>
      <c r="AG3032" s="19"/>
      <c r="AH3032" s="19"/>
      <c r="AI3032" s="19"/>
      <c r="AJ3032" s="19"/>
      <c r="AK3032" s="19"/>
      <c r="AL3032" s="19"/>
      <c r="AM3032" s="19"/>
      <c r="AN3032" s="19"/>
      <c r="AO3032" s="19"/>
      <c r="AP3032" s="19"/>
      <c r="AQ3032" s="19" t="n">
        <v>117</v>
      </c>
      <c r="AR3032" s="19"/>
      <c r="AS3032" s="20" t="str">
        <f aca="false">HYPERLINK("http://www.openstreetmap.org/?mlat=34.9464&amp;mlon=43.4997&amp;zoom=12#map=12/34.9464/43.4997","Maplink1")</f>
        <v>Maplink1</v>
      </c>
      <c r="AT3032" s="20" t="str">
        <f aca="false">HYPERLINK("https://www.google.iq/maps/search/+34.9464,43.4997/@34.9464,43.4997,14z?hl=en","Maplink2")</f>
        <v>Maplink2</v>
      </c>
      <c r="AU3032" s="20" t="str">
        <f aca="false">HYPERLINK("http://www.bing.com/maps/?lvl=14&amp;sty=h&amp;cp=34.9464~43.4997&amp;sp=point.34.9464_43.4997","Maplink3")</f>
        <v>Maplink3</v>
      </c>
    </row>
    <row r="3033" customFormat="false" ht="15" hidden="false" customHeight="true" outlineLevel="0" collapsed="false">
      <c r="A3033" s="15" t="n">
        <v>22958</v>
      </c>
      <c r="B3033" s="16" t="s">
        <v>29</v>
      </c>
      <c r="C3033" s="16" t="s">
        <v>5780</v>
      </c>
      <c r="D3033" s="16" t="s">
        <v>5795</v>
      </c>
      <c r="E3033" s="17" t="s">
        <v>5796</v>
      </c>
      <c r="F3033" s="16" t="n">
        <v>35.081697</v>
      </c>
      <c r="G3033" s="16" t="n">
        <v>43.522957</v>
      </c>
      <c r="H3033" s="18" t="n">
        <v>100</v>
      </c>
      <c r="I3033" s="18" t="n">
        <v>600</v>
      </c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 t="n">
        <v>100</v>
      </c>
      <c r="Y3033" s="19"/>
      <c r="Z3033" s="19"/>
      <c r="AA3033" s="19"/>
      <c r="AB3033" s="19"/>
      <c r="AC3033" s="19" t="n">
        <v>55</v>
      </c>
      <c r="AD3033" s="19"/>
      <c r="AE3033" s="19"/>
      <c r="AF3033" s="19"/>
      <c r="AG3033" s="19" t="n">
        <v>10</v>
      </c>
      <c r="AH3033" s="19" t="n">
        <v>5</v>
      </c>
      <c r="AI3033" s="19" t="n">
        <v>10</v>
      </c>
      <c r="AJ3033" s="19" t="n">
        <v>20</v>
      </c>
      <c r="AK3033" s="19"/>
      <c r="AL3033" s="19"/>
      <c r="AM3033" s="19" t="n">
        <v>100</v>
      </c>
      <c r="AN3033" s="19"/>
      <c r="AO3033" s="19"/>
      <c r="AP3033" s="19"/>
      <c r="AQ3033" s="19"/>
      <c r="AR3033" s="19"/>
      <c r="AS3033" s="20" t="str">
        <f aca="false">HYPERLINK("http://www.openstreetmap.org/?mlat=35.0817&amp;mlon=43.523&amp;zoom=12#map=12/35.0817/43.523","Maplink1")</f>
        <v>Maplink1</v>
      </c>
      <c r="AT3033" s="20" t="str">
        <f aca="false">HYPERLINK("https://www.google.iq/maps/search/+35.0817,43.523/@35.0817,43.523,14z?hl=en","Maplink2")</f>
        <v>Maplink2</v>
      </c>
      <c r="AU3033" s="20" t="str">
        <f aca="false">HYPERLINK("http://www.bing.com/maps/?lvl=14&amp;sty=h&amp;cp=35.0817~43.523&amp;sp=point.35.0817_43.523","Maplink3")</f>
        <v>Maplink3</v>
      </c>
    </row>
    <row r="3034" customFormat="false" ht="15" hidden="false" customHeight="true" outlineLevel="0" collapsed="false">
      <c r="A3034" s="15" t="n">
        <v>22959</v>
      </c>
      <c r="B3034" s="16" t="s">
        <v>29</v>
      </c>
      <c r="C3034" s="16" t="s">
        <v>5780</v>
      </c>
      <c r="D3034" s="16" t="s">
        <v>5797</v>
      </c>
      <c r="E3034" s="17" t="s">
        <v>5798</v>
      </c>
      <c r="F3034" s="16" t="n">
        <v>35.090911</v>
      </c>
      <c r="G3034" s="16" t="n">
        <v>43.51989</v>
      </c>
      <c r="H3034" s="18" t="n">
        <v>40</v>
      </c>
      <c r="I3034" s="18" t="n">
        <v>240</v>
      </c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 t="n">
        <v>40</v>
      </c>
      <c r="Y3034" s="19"/>
      <c r="Z3034" s="19"/>
      <c r="AA3034" s="19"/>
      <c r="AB3034" s="19"/>
      <c r="AC3034" s="19" t="n">
        <v>15</v>
      </c>
      <c r="AD3034" s="19"/>
      <c r="AE3034" s="19"/>
      <c r="AF3034" s="19"/>
      <c r="AG3034" s="19"/>
      <c r="AH3034" s="19" t="n">
        <v>5</v>
      </c>
      <c r="AI3034" s="19" t="n">
        <v>5</v>
      </c>
      <c r="AJ3034" s="19" t="n">
        <v>15</v>
      </c>
      <c r="AK3034" s="19"/>
      <c r="AL3034" s="19"/>
      <c r="AM3034" s="19" t="n">
        <v>40</v>
      </c>
      <c r="AN3034" s="19"/>
      <c r="AO3034" s="19"/>
      <c r="AP3034" s="19"/>
      <c r="AQ3034" s="19"/>
      <c r="AR3034" s="19"/>
      <c r="AS3034" s="20" t="str">
        <f aca="false">HYPERLINK("http://www.openstreetmap.org/?mlat=35.0909&amp;mlon=43.5199&amp;zoom=12#map=12/35.0909/43.5199","Maplink1")</f>
        <v>Maplink1</v>
      </c>
      <c r="AT3034" s="20" t="str">
        <f aca="false">HYPERLINK("https://www.google.iq/maps/search/+35.0909,43.5199/@35.0909,43.5199,14z?hl=en","Maplink2")</f>
        <v>Maplink2</v>
      </c>
      <c r="AU3034" s="20" t="str">
        <f aca="false">HYPERLINK("http://www.bing.com/maps/?lvl=14&amp;sty=h&amp;cp=35.0909~43.5199&amp;sp=point.35.0909_43.5199","Maplink3")</f>
        <v>Maplink3</v>
      </c>
    </row>
    <row r="3035" customFormat="false" ht="15" hidden="false" customHeight="true" outlineLevel="0" collapsed="false">
      <c r="A3035" s="15" t="n">
        <v>22813</v>
      </c>
      <c r="B3035" s="16" t="s">
        <v>29</v>
      </c>
      <c r="C3035" s="16" t="s">
        <v>5780</v>
      </c>
      <c r="D3035" s="16" t="s">
        <v>5799</v>
      </c>
      <c r="E3035" s="17" t="s">
        <v>5800</v>
      </c>
      <c r="F3035" s="16" t="n">
        <v>34.86265641</v>
      </c>
      <c r="G3035" s="16" t="n">
        <v>43.50793834</v>
      </c>
      <c r="H3035" s="18" t="n">
        <v>375</v>
      </c>
      <c r="I3035" s="18" t="n">
        <v>2250</v>
      </c>
      <c r="J3035" s="19"/>
      <c r="K3035" s="19"/>
      <c r="L3035" s="19"/>
      <c r="M3035" s="19"/>
      <c r="N3035" s="19"/>
      <c r="O3035" s="19"/>
      <c r="P3035" s="19"/>
      <c r="Q3035" s="19"/>
      <c r="R3035" s="19" t="n">
        <v>150</v>
      </c>
      <c r="S3035" s="19"/>
      <c r="T3035" s="19"/>
      <c r="U3035" s="19"/>
      <c r="V3035" s="19"/>
      <c r="W3035" s="19"/>
      <c r="X3035" s="19" t="n">
        <v>225</v>
      </c>
      <c r="Y3035" s="19"/>
      <c r="Z3035" s="19"/>
      <c r="AA3035" s="19"/>
      <c r="AB3035" s="19"/>
      <c r="AC3035" s="19" t="n">
        <v>25</v>
      </c>
      <c r="AD3035" s="19"/>
      <c r="AE3035" s="19" t="n">
        <v>250</v>
      </c>
      <c r="AF3035" s="19"/>
      <c r="AG3035" s="19"/>
      <c r="AH3035" s="19"/>
      <c r="AI3035" s="19"/>
      <c r="AJ3035" s="19" t="n">
        <v>100</v>
      </c>
      <c r="AK3035" s="19"/>
      <c r="AL3035" s="19"/>
      <c r="AM3035" s="19"/>
      <c r="AN3035" s="19"/>
      <c r="AO3035" s="19"/>
      <c r="AP3035" s="19" t="n">
        <v>325</v>
      </c>
      <c r="AQ3035" s="19" t="n">
        <v>50</v>
      </c>
      <c r="AR3035" s="19"/>
      <c r="AS3035" s="20" t="str">
        <f aca="false">HYPERLINK("http://www.openstreetmap.org/?mlat=34.8627&amp;mlon=43.5079&amp;zoom=12#map=12/34.8627/43.5079","Maplink1")</f>
        <v>Maplink1</v>
      </c>
      <c r="AT3035" s="20" t="str">
        <f aca="false">HYPERLINK("https://www.google.iq/maps/search/+34.8627,43.5079/@34.8627,43.5079,14z?hl=en","Maplink2")</f>
        <v>Maplink2</v>
      </c>
      <c r="AU3035" s="20" t="str">
        <f aca="false">HYPERLINK("http://www.bing.com/maps/?lvl=14&amp;sty=h&amp;cp=34.8627~43.5079&amp;sp=point.34.8627_43.5079","Maplink3")</f>
        <v>Maplink3</v>
      </c>
    </row>
    <row r="3036" customFormat="false" ht="15" hidden="false" customHeight="true" outlineLevel="0" collapsed="false">
      <c r="A3036" s="15" t="n">
        <v>23140</v>
      </c>
      <c r="B3036" s="16" t="s">
        <v>29</v>
      </c>
      <c r="C3036" s="16" t="s">
        <v>5801</v>
      </c>
      <c r="D3036" s="16" t="s">
        <v>5802</v>
      </c>
      <c r="E3036" s="17" t="s">
        <v>5803</v>
      </c>
      <c r="F3036" s="16" t="n">
        <v>34.08574044</v>
      </c>
      <c r="G3036" s="16" t="n">
        <v>44.16324766</v>
      </c>
      <c r="H3036" s="18" t="n">
        <v>409</v>
      </c>
      <c r="I3036" s="18" t="n">
        <v>2454</v>
      </c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 t="n">
        <v>409</v>
      </c>
      <c r="Y3036" s="19"/>
      <c r="Z3036" s="19"/>
      <c r="AA3036" s="19"/>
      <c r="AB3036" s="19"/>
      <c r="AC3036" s="19" t="n">
        <v>75</v>
      </c>
      <c r="AD3036" s="19"/>
      <c r="AE3036" s="19" t="n">
        <v>207</v>
      </c>
      <c r="AF3036" s="19"/>
      <c r="AG3036" s="19"/>
      <c r="AH3036" s="19" t="n">
        <v>27</v>
      </c>
      <c r="AI3036" s="19"/>
      <c r="AJ3036" s="19" t="n">
        <v>100</v>
      </c>
      <c r="AK3036" s="19"/>
      <c r="AL3036" s="19"/>
      <c r="AM3036" s="19" t="n">
        <v>170</v>
      </c>
      <c r="AN3036" s="19" t="n">
        <v>239</v>
      </c>
      <c r="AO3036" s="19"/>
      <c r="AP3036" s="19"/>
      <c r="AQ3036" s="19"/>
      <c r="AR3036" s="19"/>
      <c r="AS3036" s="20" t="str">
        <f aca="false">HYPERLINK("http://www.openstreetmap.org/?mlat=34.0857&amp;mlon=44.1632&amp;zoom=12#map=12/34.0857/44.1632","Maplink1")</f>
        <v>Maplink1</v>
      </c>
      <c r="AT3036" s="20" t="str">
        <f aca="false">HYPERLINK("https://www.google.iq/maps/search/+34.0857,44.1632/@34.0857,44.1632,14z?hl=en","Maplink2")</f>
        <v>Maplink2</v>
      </c>
      <c r="AU3036" s="20" t="str">
        <f aca="false">HYPERLINK("http://www.bing.com/maps/?lvl=14&amp;sty=h&amp;cp=34.0857~44.1632&amp;sp=point.34.0857_44.1632","Maplink3")</f>
        <v>Maplink3</v>
      </c>
    </row>
    <row r="3037" customFormat="false" ht="15" hidden="false" customHeight="true" outlineLevel="0" collapsed="false">
      <c r="A3037" s="15" t="n">
        <v>29600</v>
      </c>
      <c r="B3037" s="16" t="s">
        <v>29</v>
      </c>
      <c r="C3037" s="16" t="s">
        <v>5801</v>
      </c>
      <c r="D3037" s="16" t="s">
        <v>5804</v>
      </c>
      <c r="E3037" s="17" t="s">
        <v>5805</v>
      </c>
      <c r="F3037" s="16" t="n">
        <v>34.070947</v>
      </c>
      <c r="G3037" s="16" t="n">
        <v>44.1543793</v>
      </c>
      <c r="H3037" s="18" t="n">
        <v>273</v>
      </c>
      <c r="I3037" s="18" t="n">
        <v>1638</v>
      </c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 t="n">
        <v>273</v>
      </c>
      <c r="Y3037" s="19"/>
      <c r="Z3037" s="19"/>
      <c r="AA3037" s="19"/>
      <c r="AB3037" s="19" t="n">
        <v>273</v>
      </c>
      <c r="AC3037" s="19"/>
      <c r="AD3037" s="19"/>
      <c r="AE3037" s="19"/>
      <c r="AF3037" s="19"/>
      <c r="AG3037" s="19"/>
      <c r="AH3037" s="19"/>
      <c r="AI3037" s="19"/>
      <c r="AJ3037" s="19"/>
      <c r="AK3037" s="19"/>
      <c r="AL3037" s="19"/>
      <c r="AM3037" s="19"/>
      <c r="AN3037" s="19" t="n">
        <v>273</v>
      </c>
      <c r="AO3037" s="19"/>
      <c r="AP3037" s="19"/>
      <c r="AQ3037" s="19"/>
      <c r="AR3037" s="19"/>
      <c r="AS3037" s="20" t="str">
        <f aca="false">HYPERLINK("http://www.openstreetmap.org/?mlat=34.0709&amp;mlon=44.1544&amp;zoom=12#map=12/34.0709/44.1544","Maplink1")</f>
        <v>Maplink1</v>
      </c>
      <c r="AT3037" s="20" t="str">
        <f aca="false">HYPERLINK("https://www.google.iq/maps/search/+34.0709,44.1544/@34.0709,44.1544,14z?hl=en","Maplink2")</f>
        <v>Maplink2</v>
      </c>
      <c r="AU3037" s="20" t="str">
        <f aca="false">HYPERLINK("http://www.bing.com/maps/?lvl=14&amp;sty=h&amp;cp=34.0709~44.1544&amp;sp=point.34.0709_44.1544","Maplink3")</f>
        <v>Maplink3</v>
      </c>
    </row>
    <row r="3038" customFormat="false" ht="15" hidden="false" customHeight="true" outlineLevel="0" collapsed="false">
      <c r="A3038" s="15" t="n">
        <v>26020</v>
      </c>
      <c r="B3038" s="16" t="s">
        <v>29</v>
      </c>
      <c r="C3038" s="16" t="s">
        <v>5801</v>
      </c>
      <c r="D3038" s="16" t="s">
        <v>5806</v>
      </c>
      <c r="E3038" s="17" t="s">
        <v>3014</v>
      </c>
      <c r="F3038" s="16" t="n">
        <v>34.05857523</v>
      </c>
      <c r="G3038" s="16" t="n">
        <v>44.25842827</v>
      </c>
      <c r="H3038" s="18" t="n">
        <v>75</v>
      </c>
      <c r="I3038" s="18" t="n">
        <v>450</v>
      </c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 t="n">
        <v>75</v>
      </c>
      <c r="Y3038" s="19"/>
      <c r="Z3038" s="19"/>
      <c r="AA3038" s="19"/>
      <c r="AB3038" s="19"/>
      <c r="AC3038" s="19" t="n">
        <v>20</v>
      </c>
      <c r="AD3038" s="19"/>
      <c r="AE3038" s="19"/>
      <c r="AF3038" s="19"/>
      <c r="AG3038" s="19"/>
      <c r="AH3038" s="19" t="n">
        <v>30</v>
      </c>
      <c r="AI3038" s="19"/>
      <c r="AJ3038" s="19" t="n">
        <v>25</v>
      </c>
      <c r="AK3038" s="19"/>
      <c r="AL3038" s="19"/>
      <c r="AM3038" s="19"/>
      <c r="AN3038" s="19"/>
      <c r="AO3038" s="19" t="n">
        <v>75</v>
      </c>
      <c r="AP3038" s="19"/>
      <c r="AQ3038" s="19"/>
      <c r="AR3038" s="19"/>
      <c r="AS3038" s="20" t="str">
        <f aca="false">HYPERLINK("http://www.openstreetmap.org/?mlat=34.0586&amp;mlon=44.2584&amp;zoom=12#map=12/34.0586/44.2584","Maplink1")</f>
        <v>Maplink1</v>
      </c>
      <c r="AT3038" s="20" t="str">
        <f aca="false">HYPERLINK("https://www.google.iq/maps/search/+34.0586,44.2584/@34.0586,44.2584,14z?hl=en","Maplink2")</f>
        <v>Maplink2</v>
      </c>
      <c r="AU3038" s="20" t="str">
        <f aca="false">HYPERLINK("http://www.bing.com/maps/?lvl=14&amp;sty=h&amp;cp=34.0586~44.2584&amp;sp=point.34.0586_44.2584","Maplink3")</f>
        <v>Maplink3</v>
      </c>
    </row>
    <row r="3039" customFormat="false" ht="15" hidden="false" customHeight="true" outlineLevel="0" collapsed="false">
      <c r="A3039" s="15" t="n">
        <v>25742</v>
      </c>
      <c r="B3039" s="16" t="s">
        <v>29</v>
      </c>
      <c r="C3039" s="16" t="s">
        <v>5801</v>
      </c>
      <c r="D3039" s="16" t="s">
        <v>5807</v>
      </c>
      <c r="E3039" s="17" t="s">
        <v>5808</v>
      </c>
      <c r="F3039" s="16" t="n">
        <v>34.03252308</v>
      </c>
      <c r="G3039" s="16" t="n">
        <v>44.23102544</v>
      </c>
      <c r="H3039" s="18" t="n">
        <v>976</v>
      </c>
      <c r="I3039" s="18" t="n">
        <v>5856</v>
      </c>
      <c r="J3039" s="19"/>
      <c r="K3039" s="19"/>
      <c r="L3039" s="19"/>
      <c r="M3039" s="19"/>
      <c r="N3039" s="19"/>
      <c r="O3039" s="19"/>
      <c r="P3039" s="19"/>
      <c r="Q3039" s="19"/>
      <c r="R3039" s="19" t="n">
        <v>287</v>
      </c>
      <c r="S3039" s="19"/>
      <c r="T3039" s="19"/>
      <c r="U3039" s="19"/>
      <c r="V3039" s="19"/>
      <c r="W3039" s="19"/>
      <c r="X3039" s="19" t="n">
        <v>689</v>
      </c>
      <c r="Y3039" s="19"/>
      <c r="Z3039" s="19"/>
      <c r="AA3039" s="19"/>
      <c r="AB3039" s="19"/>
      <c r="AC3039" s="19"/>
      <c r="AD3039" s="19"/>
      <c r="AE3039" s="19" t="n">
        <v>87</v>
      </c>
      <c r="AF3039" s="19"/>
      <c r="AG3039" s="19"/>
      <c r="AH3039" s="19" t="n">
        <v>329</v>
      </c>
      <c r="AI3039" s="19"/>
      <c r="AJ3039" s="19" t="n">
        <v>404</v>
      </c>
      <c r="AK3039" s="19" t="n">
        <v>156</v>
      </c>
      <c r="AL3039" s="19"/>
      <c r="AM3039" s="19"/>
      <c r="AN3039" s="19"/>
      <c r="AO3039" s="19" t="n">
        <v>314</v>
      </c>
      <c r="AP3039" s="19" t="n">
        <v>375</v>
      </c>
      <c r="AQ3039" s="19"/>
      <c r="AR3039" s="19" t="n">
        <v>287</v>
      </c>
      <c r="AS3039" s="20" t="str">
        <f aca="false">HYPERLINK("http://www.openstreetmap.org/?mlat=34.0325&amp;mlon=44.231&amp;zoom=12#map=12/34.0325/44.231","Maplink1")</f>
        <v>Maplink1</v>
      </c>
      <c r="AT3039" s="20" t="str">
        <f aca="false">HYPERLINK("https://www.google.iq/maps/search/+34.0325,44.231/@34.0325,44.231,14z?hl=en","Maplink2")</f>
        <v>Maplink2</v>
      </c>
      <c r="AU3039" s="20" t="str">
        <f aca="false">HYPERLINK("http://www.bing.com/maps/?lvl=14&amp;sty=h&amp;cp=34.0325~44.231&amp;sp=point.34.0325_44.231","Maplink3")</f>
        <v>Maplink3</v>
      </c>
    </row>
    <row r="3040" customFormat="false" ht="15" hidden="false" customHeight="true" outlineLevel="0" collapsed="false">
      <c r="A3040" s="15" t="n">
        <v>20770</v>
      </c>
      <c r="B3040" s="16" t="s">
        <v>29</v>
      </c>
      <c r="C3040" s="16" t="s">
        <v>5801</v>
      </c>
      <c r="D3040" s="16" t="s">
        <v>5809</v>
      </c>
      <c r="E3040" s="17" t="s">
        <v>5810</v>
      </c>
      <c r="F3040" s="16" t="n">
        <v>34.04660942</v>
      </c>
      <c r="G3040" s="16" t="n">
        <v>44.21995147</v>
      </c>
      <c r="H3040" s="18" t="n">
        <v>240</v>
      </c>
      <c r="I3040" s="18" t="n">
        <v>1440</v>
      </c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 t="n">
        <v>240</v>
      </c>
      <c r="Y3040" s="19"/>
      <c r="Z3040" s="19"/>
      <c r="AA3040" s="19"/>
      <c r="AB3040" s="19"/>
      <c r="AC3040" s="19" t="n">
        <v>22</v>
      </c>
      <c r="AD3040" s="19"/>
      <c r="AE3040" s="19" t="n">
        <v>18</v>
      </c>
      <c r="AF3040" s="19"/>
      <c r="AG3040" s="19"/>
      <c r="AH3040" s="19" t="n">
        <v>77</v>
      </c>
      <c r="AI3040" s="19"/>
      <c r="AJ3040" s="19" t="n">
        <v>73</v>
      </c>
      <c r="AK3040" s="19" t="n">
        <v>50</v>
      </c>
      <c r="AL3040" s="19"/>
      <c r="AM3040" s="19"/>
      <c r="AN3040" s="19"/>
      <c r="AO3040" s="19" t="n">
        <v>240</v>
      </c>
      <c r="AP3040" s="19"/>
      <c r="AQ3040" s="19"/>
      <c r="AR3040" s="19"/>
      <c r="AS3040" s="20" t="str">
        <f aca="false">HYPERLINK("http://www.openstreetmap.org/?mlat=34.0466&amp;mlon=44.22&amp;zoom=12#map=12/34.0466/44.22","Maplink1")</f>
        <v>Maplink1</v>
      </c>
      <c r="AT3040" s="20" t="str">
        <f aca="false">HYPERLINK("https://www.google.iq/maps/search/+34.0466,44.22/@34.0466,44.22,14z?hl=en","Maplink2")</f>
        <v>Maplink2</v>
      </c>
      <c r="AU3040" s="20" t="str">
        <f aca="false">HYPERLINK("http://www.bing.com/maps/?lvl=14&amp;sty=h&amp;cp=34.0466~44.22&amp;sp=point.34.0466_44.22","Maplink3")</f>
        <v>Maplink3</v>
      </c>
    </row>
    <row r="3041" customFormat="false" ht="15" hidden="false" customHeight="true" outlineLevel="0" collapsed="false">
      <c r="A3041" s="15" t="n">
        <v>20921</v>
      </c>
      <c r="B3041" s="16" t="s">
        <v>29</v>
      </c>
      <c r="C3041" s="16" t="s">
        <v>5801</v>
      </c>
      <c r="D3041" s="16" t="s">
        <v>5811</v>
      </c>
      <c r="E3041" s="17" t="s">
        <v>5812</v>
      </c>
      <c r="F3041" s="16" t="n">
        <v>34.03357519</v>
      </c>
      <c r="G3041" s="16" t="n">
        <v>44.20553241</v>
      </c>
      <c r="H3041" s="18" t="n">
        <v>150</v>
      </c>
      <c r="I3041" s="18" t="n">
        <v>900</v>
      </c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 t="n">
        <v>150</v>
      </c>
      <c r="Y3041" s="19"/>
      <c r="Z3041" s="19"/>
      <c r="AA3041" s="19"/>
      <c r="AB3041" s="19"/>
      <c r="AC3041" s="19" t="n">
        <v>12</v>
      </c>
      <c r="AD3041" s="19"/>
      <c r="AE3041" s="19" t="n">
        <v>17</v>
      </c>
      <c r="AF3041" s="19"/>
      <c r="AG3041" s="19"/>
      <c r="AH3041" s="19" t="n">
        <v>40</v>
      </c>
      <c r="AI3041" s="19"/>
      <c r="AJ3041" s="19" t="n">
        <v>55</v>
      </c>
      <c r="AK3041" s="19" t="n">
        <v>26</v>
      </c>
      <c r="AL3041" s="19"/>
      <c r="AM3041" s="19"/>
      <c r="AN3041" s="19"/>
      <c r="AO3041" s="19" t="n">
        <v>65</v>
      </c>
      <c r="AP3041" s="19" t="n">
        <v>85</v>
      </c>
      <c r="AQ3041" s="19"/>
      <c r="AR3041" s="19"/>
      <c r="AS3041" s="20" t="str">
        <f aca="false">HYPERLINK("http://www.openstreetmap.org/?mlat=34.0336&amp;mlon=44.2055&amp;zoom=12#map=12/34.0336/44.2055","Maplink1")</f>
        <v>Maplink1</v>
      </c>
      <c r="AT3041" s="20" t="str">
        <f aca="false">HYPERLINK("https://www.google.iq/maps/search/+34.0336,44.2055/@34.0336,44.2055,14z?hl=en","Maplink2")</f>
        <v>Maplink2</v>
      </c>
      <c r="AU3041" s="20" t="str">
        <f aca="false">HYPERLINK("http://www.bing.com/maps/?lvl=14&amp;sty=h&amp;cp=34.0336~44.2055&amp;sp=point.34.0336_44.2055","Maplink3")</f>
        <v>Maplink3</v>
      </c>
    </row>
    <row r="3042" customFormat="false" ht="15" hidden="false" customHeight="true" outlineLevel="0" collapsed="false">
      <c r="A3042" s="15" t="n">
        <v>20771</v>
      </c>
      <c r="B3042" s="16" t="s">
        <v>29</v>
      </c>
      <c r="C3042" s="16" t="s">
        <v>5801</v>
      </c>
      <c r="D3042" s="16" t="s">
        <v>5813</v>
      </c>
      <c r="E3042" s="17" t="s">
        <v>5814</v>
      </c>
      <c r="F3042" s="16" t="n">
        <v>34.07273331</v>
      </c>
      <c r="G3042" s="16" t="n">
        <v>44.11165978</v>
      </c>
      <c r="H3042" s="18" t="n">
        <v>325</v>
      </c>
      <c r="I3042" s="18" t="n">
        <v>1950</v>
      </c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 t="n">
        <v>325</v>
      </c>
      <c r="Y3042" s="19"/>
      <c r="Z3042" s="19"/>
      <c r="AA3042" s="19"/>
      <c r="AB3042" s="19"/>
      <c r="AC3042" s="19" t="n">
        <v>50</v>
      </c>
      <c r="AD3042" s="19"/>
      <c r="AE3042" s="19" t="n">
        <v>63</v>
      </c>
      <c r="AF3042" s="19"/>
      <c r="AG3042" s="19" t="n">
        <v>32</v>
      </c>
      <c r="AH3042" s="19" t="n">
        <v>60</v>
      </c>
      <c r="AI3042" s="19"/>
      <c r="AJ3042" s="19" t="n">
        <v>100</v>
      </c>
      <c r="AK3042" s="19" t="n">
        <v>20</v>
      </c>
      <c r="AL3042" s="19"/>
      <c r="AM3042" s="19"/>
      <c r="AN3042" s="19" t="n">
        <v>100</v>
      </c>
      <c r="AO3042" s="19" t="n">
        <v>175</v>
      </c>
      <c r="AP3042" s="19" t="n">
        <v>50</v>
      </c>
      <c r="AQ3042" s="19"/>
      <c r="AR3042" s="19"/>
      <c r="AS3042" s="20" t="str">
        <f aca="false">HYPERLINK("http://www.openstreetmap.org/?mlat=34.0727&amp;mlon=44.1117&amp;zoom=12#map=12/34.0727/44.1117","Maplink1")</f>
        <v>Maplink1</v>
      </c>
      <c r="AT3042" s="20" t="str">
        <f aca="false">HYPERLINK("https://www.google.iq/maps/search/+34.0727,44.1117/@34.0727,44.1117,14z?hl=en","Maplink2")</f>
        <v>Maplink2</v>
      </c>
      <c r="AU3042" s="20" t="str">
        <f aca="false">HYPERLINK("http://www.bing.com/maps/?lvl=14&amp;sty=h&amp;cp=34.0727~44.1117&amp;sp=point.34.0727_44.1117","Maplink3")</f>
        <v>Maplink3</v>
      </c>
    </row>
    <row r="3043" customFormat="false" ht="15" hidden="false" customHeight="true" outlineLevel="0" collapsed="false">
      <c r="A3043" s="15" t="n">
        <v>20767</v>
      </c>
      <c r="B3043" s="16" t="s">
        <v>29</v>
      </c>
      <c r="C3043" s="16" t="s">
        <v>5801</v>
      </c>
      <c r="D3043" s="16" t="s">
        <v>5815</v>
      </c>
      <c r="E3043" s="17" t="s">
        <v>5816</v>
      </c>
      <c r="F3043" s="16" t="n">
        <v>34.05807534</v>
      </c>
      <c r="G3043" s="16" t="n">
        <v>44.21782195</v>
      </c>
      <c r="H3043" s="18" t="n">
        <v>360</v>
      </c>
      <c r="I3043" s="18" t="n">
        <v>2160</v>
      </c>
      <c r="J3043" s="19" t="n">
        <v>35</v>
      </c>
      <c r="K3043" s="19"/>
      <c r="L3043" s="19"/>
      <c r="M3043" s="19"/>
      <c r="N3043" s="19"/>
      <c r="O3043" s="19"/>
      <c r="P3043" s="19"/>
      <c r="Q3043" s="19"/>
      <c r="R3043" s="19" t="n">
        <v>150</v>
      </c>
      <c r="S3043" s="19"/>
      <c r="T3043" s="19"/>
      <c r="U3043" s="19"/>
      <c r="V3043" s="19" t="n">
        <v>25</v>
      </c>
      <c r="W3043" s="19"/>
      <c r="X3043" s="19" t="n">
        <v>150</v>
      </c>
      <c r="Y3043" s="19"/>
      <c r="Z3043" s="19"/>
      <c r="AA3043" s="19"/>
      <c r="AB3043" s="19"/>
      <c r="AC3043" s="19" t="n">
        <v>13</v>
      </c>
      <c r="AD3043" s="19"/>
      <c r="AE3043" s="19" t="n">
        <v>33</v>
      </c>
      <c r="AF3043" s="19"/>
      <c r="AG3043" s="19"/>
      <c r="AH3043" s="19" t="n">
        <v>58</v>
      </c>
      <c r="AI3043" s="19"/>
      <c r="AJ3043" s="19" t="n">
        <v>230</v>
      </c>
      <c r="AK3043" s="19" t="n">
        <v>26</v>
      </c>
      <c r="AL3043" s="19"/>
      <c r="AM3043" s="19"/>
      <c r="AN3043" s="19"/>
      <c r="AO3043" s="19" t="n">
        <v>135</v>
      </c>
      <c r="AP3043" s="19"/>
      <c r="AQ3043" s="19" t="n">
        <v>75</v>
      </c>
      <c r="AR3043" s="19" t="n">
        <v>150</v>
      </c>
      <c r="AS3043" s="20" t="str">
        <f aca="false">HYPERLINK("http://www.openstreetmap.org/?mlat=34.0581&amp;mlon=44.2178&amp;zoom=12#map=12/34.0581/44.2178","Maplink1")</f>
        <v>Maplink1</v>
      </c>
      <c r="AT3043" s="20" t="str">
        <f aca="false">HYPERLINK("https://www.google.iq/maps/search/+34.0581,44.2178/@34.0581,44.2178,14z?hl=en","Maplink2")</f>
        <v>Maplink2</v>
      </c>
      <c r="AU3043" s="20" t="str">
        <f aca="false">HYPERLINK("http://www.bing.com/maps/?lvl=14&amp;sty=h&amp;cp=34.0581~44.2178&amp;sp=point.34.0581_44.2178","Maplink3")</f>
        <v>Maplink3</v>
      </c>
    </row>
    <row r="3044" customFormat="false" ht="15" hidden="false" customHeight="true" outlineLevel="0" collapsed="false">
      <c r="A3044" s="15" t="n">
        <v>20773</v>
      </c>
      <c r="B3044" s="16" t="s">
        <v>29</v>
      </c>
      <c r="C3044" s="16" t="s">
        <v>5801</v>
      </c>
      <c r="D3044" s="16" t="s">
        <v>5817</v>
      </c>
      <c r="E3044" s="17" t="s">
        <v>5818</v>
      </c>
      <c r="F3044" s="16" t="n">
        <v>34.02670949</v>
      </c>
      <c r="G3044" s="16" t="n">
        <v>44.28184378</v>
      </c>
      <c r="H3044" s="18" t="n">
        <v>312</v>
      </c>
      <c r="I3044" s="18" t="n">
        <v>1872</v>
      </c>
      <c r="J3044" s="19"/>
      <c r="K3044" s="19"/>
      <c r="L3044" s="19"/>
      <c r="M3044" s="19"/>
      <c r="N3044" s="19"/>
      <c r="O3044" s="19"/>
      <c r="P3044" s="19"/>
      <c r="Q3044" s="19"/>
      <c r="R3044" s="19" t="n">
        <v>100</v>
      </c>
      <c r="S3044" s="19"/>
      <c r="T3044" s="19"/>
      <c r="U3044" s="19"/>
      <c r="V3044" s="19"/>
      <c r="W3044" s="19"/>
      <c r="X3044" s="19" t="n">
        <v>212</v>
      </c>
      <c r="Y3044" s="19"/>
      <c r="Z3044" s="19"/>
      <c r="AA3044" s="19"/>
      <c r="AB3044" s="19"/>
      <c r="AC3044" s="19" t="n">
        <v>25</v>
      </c>
      <c r="AD3044" s="19"/>
      <c r="AE3044" s="19"/>
      <c r="AF3044" s="19"/>
      <c r="AG3044" s="19"/>
      <c r="AH3044" s="19" t="n">
        <v>70</v>
      </c>
      <c r="AI3044" s="19"/>
      <c r="AJ3044" s="19" t="n">
        <v>173</v>
      </c>
      <c r="AK3044" s="19" t="n">
        <v>44</v>
      </c>
      <c r="AL3044" s="19"/>
      <c r="AM3044" s="19"/>
      <c r="AN3044" s="19" t="n">
        <v>112</v>
      </c>
      <c r="AO3044" s="19" t="n">
        <v>100</v>
      </c>
      <c r="AP3044" s="19"/>
      <c r="AQ3044" s="19"/>
      <c r="AR3044" s="19" t="n">
        <v>100</v>
      </c>
      <c r="AS3044" s="20" t="str">
        <f aca="false">HYPERLINK("http://www.openstreetmap.org/?mlat=34.0267&amp;mlon=44.2818&amp;zoom=12#map=12/34.0267/44.2818","Maplink1")</f>
        <v>Maplink1</v>
      </c>
      <c r="AT3044" s="20" t="str">
        <f aca="false">HYPERLINK("https://www.google.iq/maps/search/+34.0267,44.2818/@34.0267,44.2818,14z?hl=en","Maplink2")</f>
        <v>Maplink2</v>
      </c>
      <c r="AU3044" s="20" t="str">
        <f aca="false">HYPERLINK("http://www.bing.com/maps/?lvl=14&amp;sty=h&amp;cp=34.0267~44.2818&amp;sp=point.34.0267_44.2818","Maplink3")</f>
        <v>Maplink3</v>
      </c>
    </row>
    <row r="3045" customFormat="false" ht="15" hidden="false" customHeight="true" outlineLevel="0" collapsed="false">
      <c r="A3045" s="15" t="n">
        <v>29601</v>
      </c>
      <c r="B3045" s="16" t="s">
        <v>29</v>
      </c>
      <c r="C3045" s="16" t="s">
        <v>5801</v>
      </c>
      <c r="D3045" s="16" t="s">
        <v>5819</v>
      </c>
      <c r="E3045" s="17" t="s">
        <v>5820</v>
      </c>
      <c r="F3045" s="16" t="n">
        <v>34.0484182</v>
      </c>
      <c r="G3045" s="16" t="n">
        <v>43.9827702</v>
      </c>
      <c r="H3045" s="18" t="n">
        <v>513</v>
      </c>
      <c r="I3045" s="18" t="n">
        <v>3078</v>
      </c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 t="n">
        <v>513</v>
      </c>
      <c r="Y3045" s="19"/>
      <c r="Z3045" s="19"/>
      <c r="AA3045" s="19"/>
      <c r="AB3045" s="19" t="n">
        <v>513</v>
      </c>
      <c r="AC3045" s="19"/>
      <c r="AD3045" s="19"/>
      <c r="AE3045" s="19"/>
      <c r="AF3045" s="19"/>
      <c r="AG3045" s="19"/>
      <c r="AH3045" s="19"/>
      <c r="AI3045" s="19"/>
      <c r="AJ3045" s="19"/>
      <c r="AK3045" s="19"/>
      <c r="AL3045" s="19"/>
      <c r="AM3045" s="19"/>
      <c r="AN3045" s="19"/>
      <c r="AO3045" s="19" t="n">
        <v>197</v>
      </c>
      <c r="AP3045" s="19" t="n">
        <v>316</v>
      </c>
      <c r="AQ3045" s="19"/>
      <c r="AR3045" s="19"/>
      <c r="AS3045" s="20" t="str">
        <f aca="false">HYPERLINK("http://www.openstreetmap.org/?mlat=34.0484&amp;mlon=43.9828&amp;zoom=12#map=12/34.0484/43.9828","Maplink1")</f>
        <v>Maplink1</v>
      </c>
      <c r="AT3045" s="20" t="str">
        <f aca="false">HYPERLINK("https://www.google.iq/maps/search/+34.0484,43.9828/@34.0484,43.9828,14z?hl=en","Maplink2")</f>
        <v>Maplink2</v>
      </c>
      <c r="AU3045" s="20" t="str">
        <f aca="false">HYPERLINK("http://www.bing.com/maps/?lvl=14&amp;sty=h&amp;cp=34.0484~43.9828&amp;sp=point.34.0484_43.9828","Maplink3")</f>
        <v>Maplink3</v>
      </c>
    </row>
    <row r="3046" customFormat="false" ht="15" hidden="false" customHeight="true" outlineLevel="0" collapsed="false">
      <c r="A3046" s="15" t="n">
        <v>26021</v>
      </c>
      <c r="B3046" s="16" t="s">
        <v>29</v>
      </c>
      <c r="C3046" s="16" t="s">
        <v>5801</v>
      </c>
      <c r="D3046" s="16" t="s">
        <v>5821</v>
      </c>
      <c r="E3046" s="17" t="s">
        <v>5822</v>
      </c>
      <c r="F3046" s="16" t="n">
        <v>34.07559359</v>
      </c>
      <c r="G3046" s="16" t="n">
        <v>44.28724493</v>
      </c>
      <c r="H3046" s="18" t="n">
        <v>150</v>
      </c>
      <c r="I3046" s="18" t="n">
        <v>900</v>
      </c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 t="n">
        <v>150</v>
      </c>
      <c r="Y3046" s="19"/>
      <c r="Z3046" s="19"/>
      <c r="AA3046" s="19"/>
      <c r="AB3046" s="19"/>
      <c r="AC3046" s="19" t="n">
        <v>30</v>
      </c>
      <c r="AD3046" s="19"/>
      <c r="AE3046" s="19" t="n">
        <v>20</v>
      </c>
      <c r="AF3046" s="19"/>
      <c r="AG3046" s="19"/>
      <c r="AH3046" s="19" t="n">
        <v>40</v>
      </c>
      <c r="AI3046" s="19"/>
      <c r="AJ3046" s="19" t="n">
        <v>60</v>
      </c>
      <c r="AK3046" s="19"/>
      <c r="AL3046" s="19"/>
      <c r="AM3046" s="19"/>
      <c r="AN3046" s="19"/>
      <c r="AO3046" s="19" t="n">
        <v>150</v>
      </c>
      <c r="AP3046" s="19"/>
      <c r="AQ3046" s="19"/>
      <c r="AR3046" s="19"/>
      <c r="AS3046" s="20" t="str">
        <f aca="false">HYPERLINK("http://www.openstreetmap.org/?mlat=34.0756&amp;mlon=44.2872&amp;zoom=12#map=12/34.0756/44.2872","Maplink1")</f>
        <v>Maplink1</v>
      </c>
      <c r="AT3046" s="20" t="str">
        <f aca="false">HYPERLINK("https://www.google.iq/maps/search/+34.0756,44.2872/@34.0756,44.2872,14z?hl=en","Maplink2")</f>
        <v>Maplink2</v>
      </c>
      <c r="AU3046" s="20" t="str">
        <f aca="false">HYPERLINK("http://www.bing.com/maps/?lvl=14&amp;sty=h&amp;cp=34.0756~44.2872&amp;sp=point.34.0756_44.2872","Maplink3")</f>
        <v>Maplink3</v>
      </c>
    </row>
    <row r="3047" customFormat="false" ht="15" hidden="false" customHeight="true" outlineLevel="0" collapsed="false">
      <c r="A3047" s="15" t="n">
        <v>25918</v>
      </c>
      <c r="B3047" s="16" t="s">
        <v>29</v>
      </c>
      <c r="C3047" s="16" t="s">
        <v>5801</v>
      </c>
      <c r="D3047" s="16" t="s">
        <v>5823</v>
      </c>
      <c r="E3047" s="17" t="s">
        <v>5824</v>
      </c>
      <c r="F3047" s="16" t="n">
        <v>34.03935539</v>
      </c>
      <c r="G3047" s="16" t="n">
        <v>44.05185784</v>
      </c>
      <c r="H3047" s="18" t="n">
        <v>170</v>
      </c>
      <c r="I3047" s="18" t="n">
        <v>1020</v>
      </c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 t="n">
        <v>170</v>
      </c>
      <c r="Y3047" s="19"/>
      <c r="Z3047" s="19"/>
      <c r="AA3047" s="19"/>
      <c r="AB3047" s="19"/>
      <c r="AC3047" s="19"/>
      <c r="AD3047" s="19"/>
      <c r="AE3047" s="19" t="n">
        <v>73</v>
      </c>
      <c r="AF3047" s="19" t="n">
        <v>7</v>
      </c>
      <c r="AG3047" s="19"/>
      <c r="AH3047" s="19" t="n">
        <v>75</v>
      </c>
      <c r="AI3047" s="19"/>
      <c r="AJ3047" s="19" t="n">
        <v>15</v>
      </c>
      <c r="AK3047" s="19"/>
      <c r="AL3047" s="19"/>
      <c r="AM3047" s="19"/>
      <c r="AN3047" s="19"/>
      <c r="AO3047" s="19" t="n">
        <v>85</v>
      </c>
      <c r="AP3047" s="19" t="n">
        <v>85</v>
      </c>
      <c r="AQ3047" s="19"/>
      <c r="AR3047" s="19"/>
      <c r="AS3047" s="20" t="str">
        <f aca="false">HYPERLINK("http://www.openstreetmap.org/?mlat=34.0394&amp;mlon=44.0519&amp;zoom=12#map=12/34.0394/44.0519","Maplink1")</f>
        <v>Maplink1</v>
      </c>
      <c r="AT3047" s="20" t="str">
        <f aca="false">HYPERLINK("https://www.google.iq/maps/search/+34.0394,44.0519/@34.0394,44.0519,14z?hl=en","Maplink2")</f>
        <v>Maplink2</v>
      </c>
      <c r="AU3047" s="20" t="str">
        <f aca="false">HYPERLINK("http://www.bing.com/maps/?lvl=14&amp;sty=h&amp;cp=34.0394~44.0519&amp;sp=point.34.0394_44.0519","Maplink3")</f>
        <v>Maplink3</v>
      </c>
    </row>
    <row r="3048" customFormat="false" ht="15" hidden="false" customHeight="true" outlineLevel="0" collapsed="false">
      <c r="A3048" s="15" t="n">
        <v>22065</v>
      </c>
      <c r="B3048" s="16" t="s">
        <v>29</v>
      </c>
      <c r="C3048" s="16" t="s">
        <v>5801</v>
      </c>
      <c r="D3048" s="16" t="s">
        <v>5825</v>
      </c>
      <c r="E3048" s="17" t="s">
        <v>5826</v>
      </c>
      <c r="F3048" s="16" t="n">
        <v>34.04949061</v>
      </c>
      <c r="G3048" s="16" t="n">
        <v>43.98710871</v>
      </c>
      <c r="H3048" s="18" t="n">
        <v>793</v>
      </c>
      <c r="I3048" s="18" t="n">
        <v>4758</v>
      </c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 t="n">
        <v>793</v>
      </c>
      <c r="Y3048" s="19"/>
      <c r="Z3048" s="19"/>
      <c r="AA3048" s="19"/>
      <c r="AB3048" s="19"/>
      <c r="AC3048" s="19"/>
      <c r="AD3048" s="19"/>
      <c r="AE3048" s="19" t="n">
        <v>266</v>
      </c>
      <c r="AF3048" s="19"/>
      <c r="AG3048" s="19"/>
      <c r="AH3048" s="19" t="n">
        <v>172</v>
      </c>
      <c r="AI3048" s="19"/>
      <c r="AJ3048" s="19" t="n">
        <v>355</v>
      </c>
      <c r="AK3048" s="19"/>
      <c r="AL3048" s="19" t="n">
        <v>27</v>
      </c>
      <c r="AM3048" s="19"/>
      <c r="AN3048" s="19"/>
      <c r="AO3048" s="19" t="n">
        <v>68</v>
      </c>
      <c r="AP3048" s="19" t="n">
        <v>698</v>
      </c>
      <c r="AQ3048" s="19"/>
      <c r="AR3048" s="19"/>
      <c r="AS3048" s="20" t="str">
        <f aca="false">HYPERLINK("http://www.openstreetmap.org/?mlat=34.0495&amp;mlon=43.9871&amp;zoom=12#map=12/34.0495/43.9871","Maplink1")</f>
        <v>Maplink1</v>
      </c>
      <c r="AT3048" s="20" t="str">
        <f aca="false">HYPERLINK("https://www.google.iq/maps/search/+34.0495,43.9871/@34.0495,43.9871,14z?hl=en","Maplink2")</f>
        <v>Maplink2</v>
      </c>
      <c r="AU3048" s="20" t="str">
        <f aca="false">HYPERLINK("http://www.bing.com/maps/?lvl=14&amp;sty=h&amp;cp=34.0495~43.9871&amp;sp=point.34.0495_43.9871","Maplink3")</f>
        <v>Maplink3</v>
      </c>
    </row>
    <row r="3049" customFormat="false" ht="15" hidden="false" customHeight="true" outlineLevel="0" collapsed="false">
      <c r="A3049" s="15" t="n">
        <v>21589</v>
      </c>
      <c r="B3049" s="16" t="s">
        <v>29</v>
      </c>
      <c r="C3049" s="16" t="s">
        <v>5827</v>
      </c>
      <c r="D3049" s="16" t="s">
        <v>5828</v>
      </c>
      <c r="E3049" s="17" t="s">
        <v>5829</v>
      </c>
      <c r="F3049" s="16" t="n">
        <v>34.20160043</v>
      </c>
      <c r="G3049" s="16" t="n">
        <v>43.89276316</v>
      </c>
      <c r="H3049" s="18" t="n">
        <v>133</v>
      </c>
      <c r="I3049" s="18" t="n">
        <v>798</v>
      </c>
      <c r="J3049" s="19" t="n">
        <v>3</v>
      </c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 t="n">
        <v>130</v>
      </c>
      <c r="Y3049" s="19"/>
      <c r="Z3049" s="19"/>
      <c r="AA3049" s="19"/>
      <c r="AB3049" s="19"/>
      <c r="AC3049" s="19" t="n">
        <v>1</v>
      </c>
      <c r="AD3049" s="19"/>
      <c r="AE3049" s="19"/>
      <c r="AF3049" s="19" t="n">
        <v>3</v>
      </c>
      <c r="AG3049" s="19" t="n">
        <v>4</v>
      </c>
      <c r="AH3049" s="19" t="n">
        <v>76</v>
      </c>
      <c r="AI3049" s="19" t="n">
        <v>3</v>
      </c>
      <c r="AJ3049" s="19" t="n">
        <v>46</v>
      </c>
      <c r="AK3049" s="19"/>
      <c r="AL3049" s="19"/>
      <c r="AM3049" s="19"/>
      <c r="AN3049" s="19"/>
      <c r="AO3049" s="19" t="n">
        <v>50</v>
      </c>
      <c r="AP3049" s="19" t="n">
        <v>83</v>
      </c>
      <c r="AQ3049" s="19"/>
      <c r="AR3049" s="19"/>
      <c r="AS3049" s="20" t="str">
        <f aca="false">HYPERLINK("http://www.openstreetmap.org/?mlat=34.2016&amp;mlon=43.8928&amp;zoom=12#map=12/34.2016/43.8928","Maplink1")</f>
        <v>Maplink1</v>
      </c>
      <c r="AT3049" s="20" t="str">
        <f aca="false">HYPERLINK("https://www.google.iq/maps/search/+34.2016,43.8928/@34.2016,43.8928,14z?hl=en","Maplink2")</f>
        <v>Maplink2</v>
      </c>
      <c r="AU3049" s="20" t="str">
        <f aca="false">HYPERLINK("http://www.bing.com/maps/?lvl=14&amp;sty=h&amp;cp=34.2016~43.8928&amp;sp=point.34.2016_43.8928","Maplink3")</f>
        <v>Maplink3</v>
      </c>
    </row>
    <row r="3050" customFormat="false" ht="15" hidden="false" customHeight="true" outlineLevel="0" collapsed="false">
      <c r="A3050" s="15" t="n">
        <v>23876</v>
      </c>
      <c r="B3050" s="16" t="s">
        <v>29</v>
      </c>
      <c r="C3050" s="16" t="s">
        <v>5827</v>
      </c>
      <c r="D3050" s="16" t="s">
        <v>5830</v>
      </c>
      <c r="E3050" s="17" t="s">
        <v>5831</v>
      </c>
      <c r="F3050" s="16" t="n">
        <v>34.18643208</v>
      </c>
      <c r="G3050" s="16" t="n">
        <v>43.89591627</v>
      </c>
      <c r="H3050" s="18" t="n">
        <v>221</v>
      </c>
      <c r="I3050" s="18" t="n">
        <v>1326</v>
      </c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 t="n">
        <v>6</v>
      </c>
      <c r="W3050" s="19"/>
      <c r="X3050" s="19" t="n">
        <v>215</v>
      </c>
      <c r="Y3050" s="19"/>
      <c r="Z3050" s="19"/>
      <c r="AA3050" s="19"/>
      <c r="AB3050" s="19"/>
      <c r="AC3050" s="19"/>
      <c r="AD3050" s="19"/>
      <c r="AE3050" s="19"/>
      <c r="AF3050" s="19"/>
      <c r="AG3050" s="19" t="n">
        <v>19</v>
      </c>
      <c r="AH3050" s="19" t="n">
        <v>170</v>
      </c>
      <c r="AI3050" s="19" t="n">
        <v>32</v>
      </c>
      <c r="AJ3050" s="19"/>
      <c r="AK3050" s="19"/>
      <c r="AL3050" s="19"/>
      <c r="AM3050" s="19" t="n">
        <v>20</v>
      </c>
      <c r="AN3050" s="19" t="n">
        <v>180</v>
      </c>
      <c r="AO3050" s="19" t="n">
        <v>15</v>
      </c>
      <c r="AP3050" s="19"/>
      <c r="AQ3050" s="19" t="n">
        <v>6</v>
      </c>
      <c r="AR3050" s="19"/>
      <c r="AS3050" s="20" t="str">
        <f aca="false">HYPERLINK("http://www.openstreetmap.org/?mlat=34.1864&amp;mlon=43.8959&amp;zoom=12#map=12/34.1864/43.8959","Maplink1")</f>
        <v>Maplink1</v>
      </c>
      <c r="AT3050" s="20" t="str">
        <f aca="false">HYPERLINK("https://www.google.iq/maps/search/+34.1864,43.8959/@34.1864,43.8959,14z?hl=en","Maplink2")</f>
        <v>Maplink2</v>
      </c>
      <c r="AU3050" s="20" t="str">
        <f aca="false">HYPERLINK("http://www.bing.com/maps/?lvl=14&amp;sty=h&amp;cp=34.1864~43.8959&amp;sp=point.34.1864_43.8959","Maplink3")</f>
        <v>Maplink3</v>
      </c>
    </row>
    <row r="3051" customFormat="false" ht="15" hidden="false" customHeight="true" outlineLevel="0" collapsed="false">
      <c r="A3051" s="15" t="n">
        <v>21588</v>
      </c>
      <c r="B3051" s="16" t="s">
        <v>29</v>
      </c>
      <c r="C3051" s="16" t="s">
        <v>5827</v>
      </c>
      <c r="D3051" s="16" t="s">
        <v>5832</v>
      </c>
      <c r="E3051" s="17" t="s">
        <v>5833</v>
      </c>
      <c r="F3051" s="16" t="n">
        <v>34.18403883</v>
      </c>
      <c r="G3051" s="16" t="n">
        <v>43.90686555</v>
      </c>
      <c r="H3051" s="18" t="n">
        <v>708</v>
      </c>
      <c r="I3051" s="18" t="n">
        <v>4248</v>
      </c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 t="n">
        <v>708</v>
      </c>
      <c r="Y3051" s="19"/>
      <c r="Z3051" s="19"/>
      <c r="AA3051" s="19"/>
      <c r="AB3051" s="19"/>
      <c r="AC3051" s="19" t="n">
        <v>22</v>
      </c>
      <c r="AD3051" s="19"/>
      <c r="AE3051" s="19" t="n">
        <v>41</v>
      </c>
      <c r="AF3051" s="19" t="n">
        <v>18</v>
      </c>
      <c r="AG3051" s="19"/>
      <c r="AH3051" s="19" t="n">
        <v>208</v>
      </c>
      <c r="AI3051" s="19"/>
      <c r="AJ3051" s="19" t="n">
        <v>419</v>
      </c>
      <c r="AK3051" s="19"/>
      <c r="AL3051" s="19" t="n">
        <v>21</v>
      </c>
      <c r="AM3051" s="19" t="n">
        <v>188</v>
      </c>
      <c r="AN3051" s="19" t="n">
        <v>125</v>
      </c>
      <c r="AO3051" s="19" t="n">
        <v>171</v>
      </c>
      <c r="AP3051" s="19" t="n">
        <v>203</v>
      </c>
      <c r="AQ3051" s="19"/>
      <c r="AR3051" s="19"/>
      <c r="AS3051" s="20" t="str">
        <f aca="false">HYPERLINK("http://www.openstreetmap.org/?mlat=34.184&amp;mlon=43.9069&amp;zoom=12#map=12/34.184/43.9069","Maplink1")</f>
        <v>Maplink1</v>
      </c>
      <c r="AT3051" s="20" t="str">
        <f aca="false">HYPERLINK("https://www.google.iq/maps/search/+34.184,43.9069/@34.184,43.9069,14z?hl=en","Maplink2")</f>
        <v>Maplink2</v>
      </c>
      <c r="AU3051" s="20" t="str">
        <f aca="false">HYPERLINK("http://www.bing.com/maps/?lvl=14&amp;sty=h&amp;cp=34.184~43.9069&amp;sp=point.34.184_43.9069","Maplink3")</f>
        <v>Maplink3</v>
      </c>
    </row>
    <row r="3052" customFormat="false" ht="15" hidden="false" customHeight="true" outlineLevel="0" collapsed="false">
      <c r="A3052" s="15" t="n">
        <v>25518</v>
      </c>
      <c r="B3052" s="16" t="s">
        <v>29</v>
      </c>
      <c r="C3052" s="16" t="s">
        <v>5827</v>
      </c>
      <c r="D3052" s="16" t="s">
        <v>5834</v>
      </c>
      <c r="E3052" s="17" t="s">
        <v>5835</v>
      </c>
      <c r="F3052" s="16" t="n">
        <v>34.20496145</v>
      </c>
      <c r="G3052" s="16" t="n">
        <v>43.87194352</v>
      </c>
      <c r="H3052" s="18" t="n">
        <v>75</v>
      </c>
      <c r="I3052" s="18" t="n">
        <v>450</v>
      </c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 t="n">
        <v>75</v>
      </c>
      <c r="Y3052" s="19"/>
      <c r="Z3052" s="19"/>
      <c r="AA3052" s="19"/>
      <c r="AB3052" s="19"/>
      <c r="AC3052" s="19" t="n">
        <v>6</v>
      </c>
      <c r="AD3052" s="19"/>
      <c r="AE3052" s="19"/>
      <c r="AF3052" s="19"/>
      <c r="AG3052" s="19"/>
      <c r="AH3052" s="19" t="n">
        <v>69</v>
      </c>
      <c r="AI3052" s="19"/>
      <c r="AJ3052" s="19"/>
      <c r="AK3052" s="19"/>
      <c r="AL3052" s="19" t="n">
        <v>2</v>
      </c>
      <c r="AM3052" s="19" t="n">
        <v>11</v>
      </c>
      <c r="AN3052" s="19" t="n">
        <v>37</v>
      </c>
      <c r="AO3052" s="19" t="n">
        <v>8</v>
      </c>
      <c r="AP3052" s="19" t="n">
        <v>17</v>
      </c>
      <c r="AQ3052" s="19"/>
      <c r="AR3052" s="19"/>
      <c r="AS3052" s="20" t="str">
        <f aca="false">HYPERLINK("http://www.openstreetmap.org/?mlat=34.205&amp;mlon=43.8719&amp;zoom=12#map=12/34.205/43.8719","Maplink1")</f>
        <v>Maplink1</v>
      </c>
      <c r="AT3052" s="20" t="str">
        <f aca="false">HYPERLINK("https://www.google.iq/maps/search/+34.205,43.8719/@34.205,43.8719,14z?hl=en","Maplink2")</f>
        <v>Maplink2</v>
      </c>
      <c r="AU3052" s="20" t="str">
        <f aca="false">HYPERLINK("http://www.bing.com/maps/?lvl=14&amp;sty=h&amp;cp=34.205~43.8719&amp;sp=point.34.205_43.8719","Maplink3")</f>
        <v>Maplink3</v>
      </c>
    </row>
    <row r="3053" customFormat="false" ht="15" hidden="false" customHeight="true" outlineLevel="0" collapsed="false">
      <c r="A3053" s="15" t="n">
        <v>21723</v>
      </c>
      <c r="B3053" s="16" t="s">
        <v>29</v>
      </c>
      <c r="C3053" s="16" t="s">
        <v>5827</v>
      </c>
      <c r="D3053" s="16" t="s">
        <v>5836</v>
      </c>
      <c r="E3053" s="17" t="s">
        <v>5837</v>
      </c>
      <c r="F3053" s="16" t="n">
        <v>34.18276998</v>
      </c>
      <c r="G3053" s="16" t="n">
        <v>43.85725843</v>
      </c>
      <c r="H3053" s="18" t="n">
        <v>232</v>
      </c>
      <c r="I3053" s="18" t="n">
        <v>1392</v>
      </c>
      <c r="J3053" s="19" t="n">
        <v>10</v>
      </c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 t="n">
        <v>222</v>
      </c>
      <c r="Y3053" s="19"/>
      <c r="Z3053" s="19"/>
      <c r="AA3053" s="19"/>
      <c r="AB3053" s="19"/>
      <c r="AC3053" s="19" t="n">
        <v>11</v>
      </c>
      <c r="AD3053" s="19"/>
      <c r="AE3053" s="19" t="n">
        <v>3</v>
      </c>
      <c r="AF3053" s="19" t="n">
        <v>43</v>
      </c>
      <c r="AG3053" s="19"/>
      <c r="AH3053" s="19" t="n">
        <v>175</v>
      </c>
      <c r="AI3053" s="19"/>
      <c r="AJ3053" s="19"/>
      <c r="AK3053" s="19"/>
      <c r="AL3053" s="19" t="n">
        <v>10</v>
      </c>
      <c r="AM3053" s="19" t="n">
        <v>69</v>
      </c>
      <c r="AN3053" s="19" t="n">
        <v>8</v>
      </c>
      <c r="AO3053" s="19"/>
      <c r="AP3053" s="19" t="n">
        <v>145</v>
      </c>
      <c r="AQ3053" s="19"/>
      <c r="AR3053" s="19"/>
      <c r="AS3053" s="20" t="str">
        <f aca="false">HYPERLINK("http://www.openstreetmap.org/?mlat=34.1828&amp;mlon=43.8573&amp;zoom=12#map=12/34.1828/43.8573","Maplink1")</f>
        <v>Maplink1</v>
      </c>
      <c r="AT3053" s="20" t="str">
        <f aca="false">HYPERLINK("https://www.google.iq/maps/search/+34.1828,43.8573/@34.1828,43.8573,14z?hl=en","Maplink2")</f>
        <v>Maplink2</v>
      </c>
      <c r="AU3053" s="20" t="str">
        <f aca="false">HYPERLINK("http://www.bing.com/maps/?lvl=14&amp;sty=h&amp;cp=34.1828~43.8573&amp;sp=point.34.1828_43.8573","Maplink3")</f>
        <v>Maplink3</v>
      </c>
    </row>
    <row r="3054" customFormat="false" ht="15" hidden="false" customHeight="true" outlineLevel="0" collapsed="false">
      <c r="A3054" s="15" t="n">
        <v>23781</v>
      </c>
      <c r="B3054" s="16" t="s">
        <v>29</v>
      </c>
      <c r="C3054" s="16" t="s">
        <v>5827</v>
      </c>
      <c r="D3054" s="16" t="s">
        <v>5838</v>
      </c>
      <c r="E3054" s="17" t="s">
        <v>5839</v>
      </c>
      <c r="F3054" s="16" t="n">
        <v>34.07844219</v>
      </c>
      <c r="G3054" s="16" t="n">
        <v>44.05397859</v>
      </c>
      <c r="H3054" s="18" t="n">
        <v>68</v>
      </c>
      <c r="I3054" s="18" t="n">
        <v>408</v>
      </c>
      <c r="J3054" s="19"/>
      <c r="K3054" s="19"/>
      <c r="L3054" s="19"/>
      <c r="M3054" s="19"/>
      <c r="N3054" s="19"/>
      <c r="O3054" s="19"/>
      <c r="P3054" s="19"/>
      <c r="Q3054" s="19"/>
      <c r="R3054" s="19" t="n">
        <v>19</v>
      </c>
      <c r="S3054" s="19"/>
      <c r="T3054" s="19"/>
      <c r="U3054" s="19"/>
      <c r="V3054" s="19"/>
      <c r="W3054" s="19"/>
      <c r="X3054" s="19" t="n">
        <v>49</v>
      </c>
      <c r="Y3054" s="19"/>
      <c r="Z3054" s="19"/>
      <c r="AA3054" s="19"/>
      <c r="AB3054" s="19"/>
      <c r="AC3054" s="19" t="n">
        <v>4</v>
      </c>
      <c r="AD3054" s="19"/>
      <c r="AE3054" s="19" t="n">
        <v>3</v>
      </c>
      <c r="AF3054" s="19"/>
      <c r="AG3054" s="19"/>
      <c r="AH3054" s="19" t="n">
        <v>45</v>
      </c>
      <c r="AI3054" s="19"/>
      <c r="AJ3054" s="19" t="n">
        <v>16</v>
      </c>
      <c r="AK3054" s="19"/>
      <c r="AL3054" s="19"/>
      <c r="AM3054" s="19"/>
      <c r="AN3054" s="19"/>
      <c r="AO3054" s="19" t="n">
        <v>37</v>
      </c>
      <c r="AP3054" s="19" t="n">
        <v>12</v>
      </c>
      <c r="AQ3054" s="19"/>
      <c r="AR3054" s="19" t="n">
        <v>19</v>
      </c>
      <c r="AS3054" s="20" t="str">
        <f aca="false">HYPERLINK("http://www.openstreetmap.org/?mlat=34.0784&amp;mlon=44.054&amp;zoom=12#map=12/34.0784/44.054","Maplink1")</f>
        <v>Maplink1</v>
      </c>
      <c r="AT3054" s="20" t="str">
        <f aca="false">HYPERLINK("https://www.google.iq/maps/search/+34.0784,44.054/@34.0784,44.054,14z?hl=en","Maplink2")</f>
        <v>Maplink2</v>
      </c>
      <c r="AU3054" s="20" t="str">
        <f aca="false">HYPERLINK("http://www.bing.com/maps/?lvl=14&amp;sty=h&amp;cp=34.0784~44.054&amp;sp=point.34.0784_44.054","Maplink3")</f>
        <v>Maplink3</v>
      </c>
    </row>
    <row r="3055" customFormat="false" ht="15" hidden="false" customHeight="true" outlineLevel="0" collapsed="false">
      <c r="A3055" s="15" t="n">
        <v>20695</v>
      </c>
      <c r="B3055" s="16" t="s">
        <v>29</v>
      </c>
      <c r="C3055" s="16" t="s">
        <v>5827</v>
      </c>
      <c r="D3055" s="16" t="s">
        <v>5840</v>
      </c>
      <c r="E3055" s="17" t="s">
        <v>5841</v>
      </c>
      <c r="F3055" s="16" t="n">
        <v>34.29937718</v>
      </c>
      <c r="G3055" s="16" t="n">
        <v>43.78317934</v>
      </c>
      <c r="H3055" s="18" t="n">
        <v>345</v>
      </c>
      <c r="I3055" s="18" t="n">
        <v>2070</v>
      </c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 t="n">
        <v>345</v>
      </c>
      <c r="Y3055" s="19"/>
      <c r="Z3055" s="19"/>
      <c r="AA3055" s="19"/>
      <c r="AB3055" s="19"/>
      <c r="AC3055" s="19" t="n">
        <v>164</v>
      </c>
      <c r="AD3055" s="19"/>
      <c r="AE3055" s="19" t="n">
        <v>20</v>
      </c>
      <c r="AF3055" s="19"/>
      <c r="AG3055" s="19"/>
      <c r="AH3055" s="19" t="n">
        <v>111</v>
      </c>
      <c r="AI3055" s="19"/>
      <c r="AJ3055" s="19" t="n">
        <v>50</v>
      </c>
      <c r="AK3055" s="19"/>
      <c r="AL3055" s="19"/>
      <c r="AM3055" s="19"/>
      <c r="AN3055" s="19"/>
      <c r="AO3055" s="19"/>
      <c r="AP3055" s="19" t="n">
        <v>325</v>
      </c>
      <c r="AQ3055" s="19" t="n">
        <v>20</v>
      </c>
      <c r="AR3055" s="19"/>
      <c r="AS3055" s="20" t="str">
        <f aca="false">HYPERLINK("http://www.openstreetmap.org/?mlat=34.2994&amp;mlon=43.7832&amp;zoom=12#map=12/34.2994/43.7832","Maplink1")</f>
        <v>Maplink1</v>
      </c>
      <c r="AT3055" s="20" t="str">
        <f aca="false">HYPERLINK("https://www.google.iq/maps/search/+34.2994,43.7832/@34.2994,43.7832,14z?hl=en","Maplink2")</f>
        <v>Maplink2</v>
      </c>
      <c r="AU3055" s="20" t="str">
        <f aca="false">HYPERLINK("http://www.bing.com/maps/?lvl=14&amp;sty=h&amp;cp=34.2994~43.7832&amp;sp=point.34.2994_43.7832","Maplink3")</f>
        <v>Maplink3</v>
      </c>
    </row>
    <row r="3056" customFormat="false" ht="15" hidden="false" customHeight="true" outlineLevel="0" collapsed="false">
      <c r="A3056" s="15" t="n">
        <v>20675</v>
      </c>
      <c r="B3056" s="16" t="s">
        <v>29</v>
      </c>
      <c r="C3056" s="16" t="s">
        <v>5827</v>
      </c>
      <c r="D3056" s="16" t="s">
        <v>5842</v>
      </c>
      <c r="E3056" s="17" t="s">
        <v>5843</v>
      </c>
      <c r="F3056" s="16" t="n">
        <v>34.20818131</v>
      </c>
      <c r="G3056" s="16" t="n">
        <v>43.9065555</v>
      </c>
      <c r="H3056" s="18" t="n">
        <v>393</v>
      </c>
      <c r="I3056" s="18" t="n">
        <v>2358</v>
      </c>
      <c r="J3056" s="19" t="n">
        <v>5</v>
      </c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 t="n">
        <v>8</v>
      </c>
      <c r="W3056" s="19"/>
      <c r="X3056" s="19" t="n">
        <v>380</v>
      </c>
      <c r="Y3056" s="19"/>
      <c r="Z3056" s="19"/>
      <c r="AA3056" s="19"/>
      <c r="AB3056" s="19"/>
      <c r="AC3056" s="19"/>
      <c r="AD3056" s="19"/>
      <c r="AE3056" s="19" t="n">
        <v>171</v>
      </c>
      <c r="AF3056" s="19"/>
      <c r="AG3056" s="19"/>
      <c r="AH3056" s="19" t="n">
        <v>165</v>
      </c>
      <c r="AI3056" s="19"/>
      <c r="AJ3056" s="19" t="n">
        <v>57</v>
      </c>
      <c r="AK3056" s="19"/>
      <c r="AL3056" s="19" t="n">
        <v>10</v>
      </c>
      <c r="AM3056" s="19" t="n">
        <v>113</v>
      </c>
      <c r="AN3056" s="19" t="n">
        <v>24</v>
      </c>
      <c r="AO3056" s="19" t="n">
        <v>131</v>
      </c>
      <c r="AP3056" s="19" t="n">
        <v>115</v>
      </c>
      <c r="AQ3056" s="19"/>
      <c r="AR3056" s="19"/>
      <c r="AS3056" s="20" t="str">
        <f aca="false">HYPERLINK("http://www.openstreetmap.org/?mlat=34.2082&amp;mlon=43.9066&amp;zoom=12#map=12/34.2082/43.9066","Maplink1")</f>
        <v>Maplink1</v>
      </c>
      <c r="AT3056" s="20" t="str">
        <f aca="false">HYPERLINK("https://www.google.iq/maps/search/+34.2082,43.9066/@34.2082,43.9066,14z?hl=en","Maplink2")</f>
        <v>Maplink2</v>
      </c>
      <c r="AU3056" s="20" t="str">
        <f aca="false">HYPERLINK("http://www.bing.com/maps/?lvl=14&amp;sty=h&amp;cp=34.2082~43.9066&amp;sp=point.34.2082_43.9066","Maplink3")</f>
        <v>Maplink3</v>
      </c>
    </row>
    <row r="3057" customFormat="false" ht="15" hidden="false" customHeight="true" outlineLevel="0" collapsed="false">
      <c r="A3057" s="15" t="n">
        <v>20674</v>
      </c>
      <c r="B3057" s="16" t="s">
        <v>29</v>
      </c>
      <c r="C3057" s="16" t="s">
        <v>5827</v>
      </c>
      <c r="D3057" s="16" t="s">
        <v>5844</v>
      </c>
      <c r="E3057" s="17" t="s">
        <v>3047</v>
      </c>
      <c r="F3057" s="16" t="n">
        <v>34.20202116</v>
      </c>
      <c r="G3057" s="16" t="n">
        <v>43.81176347</v>
      </c>
      <c r="H3057" s="18" t="n">
        <v>401</v>
      </c>
      <c r="I3057" s="18" t="n">
        <v>2406</v>
      </c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 t="n">
        <v>401</v>
      </c>
      <c r="Y3057" s="19"/>
      <c r="Z3057" s="19"/>
      <c r="AA3057" s="19"/>
      <c r="AB3057" s="19"/>
      <c r="AC3057" s="19" t="n">
        <v>125</v>
      </c>
      <c r="AD3057" s="19"/>
      <c r="AE3057" s="19"/>
      <c r="AF3057" s="19"/>
      <c r="AG3057" s="19"/>
      <c r="AH3057" s="19" t="n">
        <v>108</v>
      </c>
      <c r="AI3057" s="19" t="n">
        <v>27</v>
      </c>
      <c r="AJ3057" s="19" t="n">
        <v>141</v>
      </c>
      <c r="AK3057" s="19"/>
      <c r="AL3057" s="19"/>
      <c r="AM3057" s="19"/>
      <c r="AN3057" s="19"/>
      <c r="AO3057" s="19" t="n">
        <v>67</v>
      </c>
      <c r="AP3057" s="19" t="n">
        <v>307</v>
      </c>
      <c r="AQ3057" s="19" t="n">
        <v>27</v>
      </c>
      <c r="AR3057" s="19"/>
      <c r="AS3057" s="20" t="str">
        <f aca="false">HYPERLINK("http://www.openstreetmap.org/?mlat=34.202&amp;mlon=43.8118&amp;zoom=12#map=12/34.202/43.8118","Maplink1")</f>
        <v>Maplink1</v>
      </c>
      <c r="AT3057" s="20" t="str">
        <f aca="false">HYPERLINK("https://www.google.iq/maps/search/+34.202,43.8118/@34.202,43.8118,14z?hl=en","Maplink2")</f>
        <v>Maplink2</v>
      </c>
      <c r="AU3057" s="20" t="str">
        <f aca="false">HYPERLINK("http://www.bing.com/maps/?lvl=14&amp;sty=h&amp;cp=34.202~43.8118&amp;sp=point.34.202_43.8118","Maplink3")</f>
        <v>Maplink3</v>
      </c>
    </row>
    <row r="3058" customFormat="false" ht="15" hidden="false" customHeight="true" outlineLevel="0" collapsed="false">
      <c r="A3058" s="15" t="n">
        <v>20643</v>
      </c>
      <c r="B3058" s="16" t="s">
        <v>29</v>
      </c>
      <c r="C3058" s="16" t="s">
        <v>5827</v>
      </c>
      <c r="D3058" s="16" t="s">
        <v>5845</v>
      </c>
      <c r="E3058" s="17" t="s">
        <v>5607</v>
      </c>
      <c r="F3058" s="16" t="n">
        <v>34.21234176</v>
      </c>
      <c r="G3058" s="16" t="n">
        <v>43.90191059</v>
      </c>
      <c r="H3058" s="18" t="n">
        <v>346</v>
      </c>
      <c r="I3058" s="18" t="n">
        <v>2076</v>
      </c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  <c r="W3058" s="19"/>
      <c r="X3058" s="19" t="n">
        <v>346</v>
      </c>
      <c r="Y3058" s="19"/>
      <c r="Z3058" s="19"/>
      <c r="AA3058" s="19"/>
      <c r="AB3058" s="19"/>
      <c r="AC3058" s="19" t="n">
        <v>20</v>
      </c>
      <c r="AD3058" s="19"/>
      <c r="AE3058" s="19"/>
      <c r="AF3058" s="19"/>
      <c r="AG3058" s="19"/>
      <c r="AH3058" s="19" t="n">
        <v>271</v>
      </c>
      <c r="AI3058" s="19"/>
      <c r="AJ3058" s="19" t="n">
        <v>55</v>
      </c>
      <c r="AK3058" s="19"/>
      <c r="AL3058" s="19" t="n">
        <v>30</v>
      </c>
      <c r="AM3058" s="19" t="n">
        <v>200</v>
      </c>
      <c r="AN3058" s="19" t="n">
        <v>42</v>
      </c>
      <c r="AO3058" s="19" t="n">
        <v>74</v>
      </c>
      <c r="AP3058" s="19"/>
      <c r="AQ3058" s="19"/>
      <c r="AR3058" s="19"/>
      <c r="AS3058" s="20" t="str">
        <f aca="false">HYPERLINK("http://www.openstreetmap.org/?mlat=34.2123&amp;mlon=43.9019&amp;zoom=12#map=12/34.2123/43.9019","Maplink1")</f>
        <v>Maplink1</v>
      </c>
      <c r="AT3058" s="20" t="str">
        <f aca="false">HYPERLINK("https://www.google.iq/maps/search/+34.2123,43.9019/@34.2123,43.9019,14z?hl=en","Maplink2")</f>
        <v>Maplink2</v>
      </c>
      <c r="AU3058" s="20" t="str">
        <f aca="false">HYPERLINK("http://www.bing.com/maps/?lvl=14&amp;sty=h&amp;cp=34.2123~43.9019&amp;sp=point.34.2123_43.9019","Maplink3")</f>
        <v>Maplink3</v>
      </c>
    </row>
    <row r="3059" customFormat="false" ht="15" hidden="false" customHeight="true" outlineLevel="0" collapsed="false">
      <c r="A3059" s="15" t="n">
        <v>20633</v>
      </c>
      <c r="B3059" s="16" t="s">
        <v>29</v>
      </c>
      <c r="C3059" s="16" t="s">
        <v>5827</v>
      </c>
      <c r="D3059" s="16" t="s">
        <v>5846</v>
      </c>
      <c r="E3059" s="17" t="s">
        <v>5847</v>
      </c>
      <c r="F3059" s="16" t="n">
        <v>34.18969599</v>
      </c>
      <c r="G3059" s="16" t="n">
        <v>43.90905566</v>
      </c>
      <c r="H3059" s="18" t="n">
        <v>392</v>
      </c>
      <c r="I3059" s="18" t="n">
        <v>2352</v>
      </c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  <c r="W3059" s="19"/>
      <c r="X3059" s="19" t="n">
        <v>392</v>
      </c>
      <c r="Y3059" s="19"/>
      <c r="Z3059" s="19"/>
      <c r="AA3059" s="19"/>
      <c r="AB3059" s="19"/>
      <c r="AC3059" s="19" t="n">
        <v>31</v>
      </c>
      <c r="AD3059" s="19"/>
      <c r="AE3059" s="19" t="n">
        <v>4</v>
      </c>
      <c r="AF3059" s="19"/>
      <c r="AG3059" s="19"/>
      <c r="AH3059" s="19" t="n">
        <v>314</v>
      </c>
      <c r="AI3059" s="19" t="n">
        <v>40</v>
      </c>
      <c r="AJ3059" s="19" t="n">
        <v>3</v>
      </c>
      <c r="AK3059" s="19"/>
      <c r="AL3059" s="19"/>
      <c r="AM3059" s="19"/>
      <c r="AN3059" s="19" t="n">
        <v>32</v>
      </c>
      <c r="AO3059" s="19" t="n">
        <v>182</v>
      </c>
      <c r="AP3059" s="19" t="n">
        <v>178</v>
      </c>
      <c r="AQ3059" s="19"/>
      <c r="AR3059" s="19"/>
      <c r="AS3059" s="20" t="str">
        <f aca="false">HYPERLINK("http://www.openstreetmap.org/?mlat=34.1897&amp;mlon=43.9091&amp;zoom=12#map=12/34.1897/43.9091","Maplink1")</f>
        <v>Maplink1</v>
      </c>
      <c r="AT3059" s="20" t="str">
        <f aca="false">HYPERLINK("https://www.google.iq/maps/search/+34.1897,43.9091/@34.1897,43.9091,14z?hl=en","Maplink2")</f>
        <v>Maplink2</v>
      </c>
      <c r="AU3059" s="20" t="str">
        <f aca="false">HYPERLINK("http://www.bing.com/maps/?lvl=14&amp;sty=h&amp;cp=34.1897~43.9091&amp;sp=point.34.1897_43.9091","Maplink3")</f>
        <v>Maplink3</v>
      </c>
    </row>
    <row r="3060" customFormat="false" ht="15" hidden="false" customHeight="true" outlineLevel="0" collapsed="false">
      <c r="A3060" s="15" t="n">
        <v>20649</v>
      </c>
      <c r="B3060" s="16" t="s">
        <v>29</v>
      </c>
      <c r="C3060" s="16" t="s">
        <v>5827</v>
      </c>
      <c r="D3060" s="16" t="s">
        <v>5848</v>
      </c>
      <c r="E3060" s="17" t="s">
        <v>5849</v>
      </c>
      <c r="F3060" s="16" t="n">
        <v>34.19040933</v>
      </c>
      <c r="G3060" s="16" t="n">
        <v>43.87749578</v>
      </c>
      <c r="H3060" s="18" t="n">
        <v>249</v>
      </c>
      <c r="I3060" s="18" t="n">
        <v>1494</v>
      </c>
      <c r="J3060" s="19" t="n">
        <v>6</v>
      </c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  <c r="W3060" s="19"/>
      <c r="X3060" s="19" t="n">
        <v>243</v>
      </c>
      <c r="Y3060" s="19"/>
      <c r="Z3060" s="19"/>
      <c r="AA3060" s="19"/>
      <c r="AB3060" s="19"/>
      <c r="AC3060" s="19" t="n">
        <v>12</v>
      </c>
      <c r="AD3060" s="19"/>
      <c r="AE3060" s="19"/>
      <c r="AF3060" s="19"/>
      <c r="AG3060" s="19"/>
      <c r="AH3060" s="19" t="n">
        <v>230</v>
      </c>
      <c r="AI3060" s="19"/>
      <c r="AJ3060" s="19" t="n">
        <v>4</v>
      </c>
      <c r="AK3060" s="19" t="n">
        <v>3</v>
      </c>
      <c r="AL3060" s="19"/>
      <c r="AM3060" s="19"/>
      <c r="AN3060" s="19" t="n">
        <v>162</v>
      </c>
      <c r="AO3060" s="19"/>
      <c r="AP3060" s="19" t="n">
        <v>87</v>
      </c>
      <c r="AQ3060" s="19"/>
      <c r="AR3060" s="19"/>
      <c r="AS3060" s="20" t="str">
        <f aca="false">HYPERLINK("http://www.openstreetmap.org/?mlat=34.1904&amp;mlon=43.8775&amp;zoom=12#map=12/34.1904/43.8775","Maplink1")</f>
        <v>Maplink1</v>
      </c>
      <c r="AT3060" s="20" t="str">
        <f aca="false">HYPERLINK("https://www.google.iq/maps/search/+34.1904,43.8775/@34.1904,43.8775,14z?hl=en","Maplink2")</f>
        <v>Maplink2</v>
      </c>
      <c r="AU3060" s="20" t="str">
        <f aca="false">HYPERLINK("http://www.bing.com/maps/?lvl=14&amp;sty=h&amp;cp=34.1904~43.8775&amp;sp=point.34.1904_43.8775","Maplink3")</f>
        <v>Maplink3</v>
      </c>
    </row>
    <row r="3061" customFormat="false" ht="15" hidden="false" customHeight="true" outlineLevel="0" collapsed="false">
      <c r="A3061" s="15" t="n">
        <v>20752</v>
      </c>
      <c r="B3061" s="16" t="s">
        <v>29</v>
      </c>
      <c r="C3061" s="16" t="s">
        <v>5827</v>
      </c>
      <c r="D3061" s="16" t="s">
        <v>5850</v>
      </c>
      <c r="E3061" s="17" t="s">
        <v>5851</v>
      </c>
      <c r="F3061" s="16" t="n">
        <v>34.368115</v>
      </c>
      <c r="G3061" s="16" t="n">
        <v>43.660999</v>
      </c>
      <c r="H3061" s="18" t="n">
        <v>9</v>
      </c>
      <c r="I3061" s="18" t="n">
        <v>54</v>
      </c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  <c r="W3061" s="19"/>
      <c r="X3061" s="19" t="n">
        <v>9</v>
      </c>
      <c r="Y3061" s="19"/>
      <c r="Z3061" s="19"/>
      <c r="AA3061" s="19"/>
      <c r="AB3061" s="19"/>
      <c r="AC3061" s="19" t="n">
        <v>5</v>
      </c>
      <c r="AD3061" s="19"/>
      <c r="AE3061" s="19"/>
      <c r="AF3061" s="19"/>
      <c r="AG3061" s="19"/>
      <c r="AH3061" s="19"/>
      <c r="AI3061" s="19"/>
      <c r="AJ3061" s="19" t="n">
        <v>4</v>
      </c>
      <c r="AK3061" s="19"/>
      <c r="AL3061" s="19"/>
      <c r="AM3061" s="19"/>
      <c r="AN3061" s="19"/>
      <c r="AO3061" s="19"/>
      <c r="AP3061" s="19" t="n">
        <v>9</v>
      </c>
      <c r="AQ3061" s="19"/>
      <c r="AR3061" s="19"/>
      <c r="AS3061" s="20" t="str">
        <f aca="false">HYPERLINK("http://www.openstreetmap.org/?mlat=34.3681&amp;mlon=43.661&amp;zoom=12#map=12/34.3681/43.661","Maplink1")</f>
        <v>Maplink1</v>
      </c>
      <c r="AT3061" s="20" t="str">
        <f aca="false">HYPERLINK("https://www.google.iq/maps/search/+34.3681,43.661/@34.3681,43.661,14z?hl=en","Maplink2")</f>
        <v>Maplink2</v>
      </c>
      <c r="AU3061" s="20" t="str">
        <f aca="false">HYPERLINK("http://www.bing.com/maps/?lvl=14&amp;sty=h&amp;cp=34.3681~43.661&amp;sp=point.34.3681_43.661","Maplink3")</f>
        <v>Maplink3</v>
      </c>
    </row>
    <row r="3062" customFormat="false" ht="15" hidden="false" customHeight="true" outlineLevel="0" collapsed="false">
      <c r="A3062" s="15" t="n">
        <v>22580</v>
      </c>
      <c r="B3062" s="16" t="s">
        <v>29</v>
      </c>
      <c r="C3062" s="16" t="s">
        <v>5827</v>
      </c>
      <c r="D3062" s="16" t="s">
        <v>5852</v>
      </c>
      <c r="E3062" s="17" t="s">
        <v>5853</v>
      </c>
      <c r="F3062" s="16" t="n">
        <v>34.20561302</v>
      </c>
      <c r="G3062" s="16" t="n">
        <v>43.88445586</v>
      </c>
      <c r="H3062" s="18" t="n">
        <v>285</v>
      </c>
      <c r="I3062" s="18" t="n">
        <v>1710</v>
      </c>
      <c r="J3062" s="19" t="n">
        <v>5</v>
      </c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 t="n">
        <v>5</v>
      </c>
      <c r="W3062" s="19"/>
      <c r="X3062" s="19" t="n">
        <v>275</v>
      </c>
      <c r="Y3062" s="19"/>
      <c r="Z3062" s="19"/>
      <c r="AA3062" s="19"/>
      <c r="AB3062" s="19"/>
      <c r="AC3062" s="19" t="n">
        <v>5</v>
      </c>
      <c r="AD3062" s="19"/>
      <c r="AE3062" s="19"/>
      <c r="AF3062" s="19"/>
      <c r="AG3062" s="19"/>
      <c r="AH3062" s="19" t="n">
        <v>264</v>
      </c>
      <c r="AI3062" s="19" t="n">
        <v>16</v>
      </c>
      <c r="AJ3062" s="19"/>
      <c r="AK3062" s="19"/>
      <c r="AL3062" s="19"/>
      <c r="AM3062" s="19" t="n">
        <v>93</v>
      </c>
      <c r="AN3062" s="19" t="n">
        <v>181</v>
      </c>
      <c r="AO3062" s="19" t="n">
        <v>11</v>
      </c>
      <c r="AP3062" s="19"/>
      <c r="AQ3062" s="19"/>
      <c r="AR3062" s="19"/>
      <c r="AS3062" s="20" t="str">
        <f aca="false">HYPERLINK("http://www.openstreetmap.org/?mlat=34.2056&amp;mlon=43.8845&amp;zoom=12#map=12/34.2056/43.8845","Maplink1")</f>
        <v>Maplink1</v>
      </c>
      <c r="AT3062" s="20" t="str">
        <f aca="false">HYPERLINK("https://www.google.iq/maps/search/+34.2056,43.8845/@34.2056,43.8845,14z?hl=en","Maplink2")</f>
        <v>Maplink2</v>
      </c>
      <c r="AU3062" s="20" t="str">
        <f aca="false">HYPERLINK("http://www.bing.com/maps/?lvl=14&amp;sty=h&amp;cp=34.2056~43.8845&amp;sp=point.34.2056_43.8845","Maplink3")</f>
        <v>Maplink3</v>
      </c>
    </row>
    <row r="3063" customFormat="false" ht="15" hidden="false" customHeight="true" outlineLevel="0" collapsed="false">
      <c r="A3063" s="15" t="n">
        <v>22474</v>
      </c>
      <c r="B3063" s="16" t="s">
        <v>29</v>
      </c>
      <c r="C3063" s="16" t="s">
        <v>5827</v>
      </c>
      <c r="D3063" s="16" t="s">
        <v>5854</v>
      </c>
      <c r="E3063" s="17" t="s">
        <v>5855</v>
      </c>
      <c r="F3063" s="16" t="n">
        <v>34.19509524</v>
      </c>
      <c r="G3063" s="16" t="n">
        <v>43.89422522</v>
      </c>
      <c r="H3063" s="18" t="n">
        <v>48</v>
      </c>
      <c r="I3063" s="18" t="n">
        <v>288</v>
      </c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  <c r="W3063" s="19"/>
      <c r="X3063" s="19" t="n">
        <v>48</v>
      </c>
      <c r="Y3063" s="19"/>
      <c r="Z3063" s="19"/>
      <c r="AA3063" s="19"/>
      <c r="AB3063" s="19"/>
      <c r="AC3063" s="19"/>
      <c r="AD3063" s="19"/>
      <c r="AE3063" s="19"/>
      <c r="AF3063" s="19"/>
      <c r="AG3063" s="19"/>
      <c r="AH3063" s="19"/>
      <c r="AI3063" s="19" t="n">
        <v>43</v>
      </c>
      <c r="AJ3063" s="19" t="n">
        <v>5</v>
      </c>
      <c r="AK3063" s="19"/>
      <c r="AL3063" s="19"/>
      <c r="AM3063" s="19" t="n">
        <v>20</v>
      </c>
      <c r="AN3063" s="19" t="n">
        <v>23</v>
      </c>
      <c r="AO3063" s="19"/>
      <c r="AP3063" s="19"/>
      <c r="AQ3063" s="19" t="n">
        <v>5</v>
      </c>
      <c r="AR3063" s="19"/>
      <c r="AS3063" s="20" t="str">
        <f aca="false">HYPERLINK("http://www.openstreetmap.org/?mlat=34.1951&amp;mlon=43.8942&amp;zoom=12#map=12/34.1951/43.8942","Maplink1")</f>
        <v>Maplink1</v>
      </c>
      <c r="AT3063" s="20" t="str">
        <f aca="false">HYPERLINK("https://www.google.iq/maps/search/+34.1951,43.8942/@34.1951,43.8942,14z?hl=en","Maplink2")</f>
        <v>Maplink2</v>
      </c>
      <c r="AU3063" s="20" t="str">
        <f aca="false">HYPERLINK("http://www.bing.com/maps/?lvl=14&amp;sty=h&amp;cp=34.1951~43.8942&amp;sp=point.34.1951_43.8942","Maplink3")</f>
        <v>Maplink3</v>
      </c>
    </row>
    <row r="3064" customFormat="false" ht="15" hidden="false" customHeight="true" outlineLevel="0" collapsed="false">
      <c r="A3064" s="15" t="n">
        <v>22584</v>
      </c>
      <c r="B3064" s="16" t="s">
        <v>29</v>
      </c>
      <c r="C3064" s="16" t="s">
        <v>5827</v>
      </c>
      <c r="D3064" s="16" t="s">
        <v>5856</v>
      </c>
      <c r="E3064" s="17" t="s">
        <v>5857</v>
      </c>
      <c r="F3064" s="16" t="n">
        <v>34.19361843</v>
      </c>
      <c r="G3064" s="16" t="n">
        <v>43.8956721</v>
      </c>
      <c r="H3064" s="18" t="n">
        <v>49</v>
      </c>
      <c r="I3064" s="18" t="n">
        <v>294</v>
      </c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  <c r="W3064" s="19"/>
      <c r="X3064" s="19" t="n">
        <v>49</v>
      </c>
      <c r="Y3064" s="19"/>
      <c r="Z3064" s="19"/>
      <c r="AA3064" s="19"/>
      <c r="AB3064" s="19"/>
      <c r="AC3064" s="19"/>
      <c r="AD3064" s="19"/>
      <c r="AE3064" s="19"/>
      <c r="AF3064" s="19"/>
      <c r="AG3064" s="19"/>
      <c r="AH3064" s="19" t="n">
        <v>37</v>
      </c>
      <c r="AI3064" s="19" t="n">
        <v>12</v>
      </c>
      <c r="AJ3064" s="19"/>
      <c r="AK3064" s="19"/>
      <c r="AL3064" s="19"/>
      <c r="AM3064" s="19" t="n">
        <v>10</v>
      </c>
      <c r="AN3064" s="19" t="n">
        <v>30</v>
      </c>
      <c r="AO3064" s="19" t="n">
        <v>9</v>
      </c>
      <c r="AP3064" s="19"/>
      <c r="AQ3064" s="19"/>
      <c r="AR3064" s="19"/>
      <c r="AS3064" s="20" t="str">
        <f aca="false">HYPERLINK("http://www.openstreetmap.org/?mlat=34.1936&amp;mlon=43.8957&amp;zoom=12#map=12/34.1936/43.8957","Maplink1")</f>
        <v>Maplink1</v>
      </c>
      <c r="AT3064" s="20" t="str">
        <f aca="false">HYPERLINK("https://www.google.iq/maps/search/+34.1936,43.8957/@34.1936,43.8957,14z?hl=en","Maplink2")</f>
        <v>Maplink2</v>
      </c>
      <c r="AU3064" s="20" t="str">
        <f aca="false">HYPERLINK("http://www.bing.com/maps/?lvl=14&amp;sty=h&amp;cp=34.1936~43.8957&amp;sp=point.34.1936_43.8957","Maplink3")</f>
        <v>Maplink3</v>
      </c>
    </row>
    <row r="3065" customFormat="false" ht="15" hidden="false" customHeight="true" outlineLevel="0" collapsed="false">
      <c r="A3065" s="15" t="n">
        <v>25519</v>
      </c>
      <c r="B3065" s="16" t="s">
        <v>29</v>
      </c>
      <c r="C3065" s="16" t="s">
        <v>5827</v>
      </c>
      <c r="D3065" s="16" t="s">
        <v>5858</v>
      </c>
      <c r="E3065" s="17" t="s">
        <v>5859</v>
      </c>
      <c r="F3065" s="16" t="n">
        <v>34.19529058</v>
      </c>
      <c r="G3065" s="16" t="n">
        <v>43.86633142</v>
      </c>
      <c r="H3065" s="18" t="n">
        <v>31</v>
      </c>
      <c r="I3065" s="18" t="n">
        <v>186</v>
      </c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 t="n">
        <v>31</v>
      </c>
      <c r="Y3065" s="19"/>
      <c r="Z3065" s="19"/>
      <c r="AA3065" s="19"/>
      <c r="AB3065" s="19"/>
      <c r="AC3065" s="19" t="n">
        <v>4</v>
      </c>
      <c r="AD3065" s="19"/>
      <c r="AE3065" s="19"/>
      <c r="AF3065" s="19"/>
      <c r="AG3065" s="19"/>
      <c r="AH3065" s="19" t="n">
        <v>27</v>
      </c>
      <c r="AI3065" s="19"/>
      <c r="AJ3065" s="19"/>
      <c r="AK3065" s="19"/>
      <c r="AL3065" s="19"/>
      <c r="AM3065" s="19"/>
      <c r="AN3065" s="19" t="n">
        <v>6</v>
      </c>
      <c r="AO3065" s="19" t="n">
        <v>8</v>
      </c>
      <c r="AP3065" s="19" t="n">
        <v>5</v>
      </c>
      <c r="AQ3065" s="19"/>
      <c r="AR3065" s="19" t="n">
        <v>12</v>
      </c>
      <c r="AS3065" s="20" t="str">
        <f aca="false">HYPERLINK("http://www.openstreetmap.org/?mlat=34.1953&amp;mlon=43.8663&amp;zoom=12#map=12/34.1953/43.8663","Maplink1")</f>
        <v>Maplink1</v>
      </c>
      <c r="AT3065" s="20" t="str">
        <f aca="false">HYPERLINK("https://www.google.iq/maps/search/+34.1953,43.8663/@34.1953,43.8663,14z?hl=en","Maplink2")</f>
        <v>Maplink2</v>
      </c>
      <c r="AU3065" s="20" t="str">
        <f aca="false">HYPERLINK("http://www.bing.com/maps/?lvl=14&amp;sty=h&amp;cp=34.1953~43.8663&amp;sp=point.34.1953_43.8663","Maplink3")</f>
        <v>Maplink3</v>
      </c>
    </row>
    <row r="3066" customFormat="false" ht="15" hidden="false" customHeight="true" outlineLevel="0" collapsed="false">
      <c r="A3066" s="15" t="n">
        <v>20680</v>
      </c>
      <c r="B3066" s="16" t="s">
        <v>29</v>
      </c>
      <c r="C3066" s="16" t="s">
        <v>5827</v>
      </c>
      <c r="D3066" s="16" t="s">
        <v>5860</v>
      </c>
      <c r="E3066" s="17" t="s">
        <v>5861</v>
      </c>
      <c r="F3066" s="16" t="n">
        <v>34.20244646</v>
      </c>
      <c r="G3066" s="16" t="n">
        <v>43.87613171</v>
      </c>
      <c r="H3066" s="18" t="n">
        <v>54</v>
      </c>
      <c r="I3066" s="18" t="n">
        <v>324</v>
      </c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  <c r="W3066" s="19"/>
      <c r="X3066" s="19" t="n">
        <v>54</v>
      </c>
      <c r="Y3066" s="19"/>
      <c r="Z3066" s="19"/>
      <c r="AA3066" s="19"/>
      <c r="AB3066" s="19"/>
      <c r="AC3066" s="19"/>
      <c r="AD3066" s="19"/>
      <c r="AE3066" s="19"/>
      <c r="AF3066" s="19"/>
      <c r="AG3066" s="19"/>
      <c r="AH3066" s="19" t="n">
        <v>54</v>
      </c>
      <c r="AI3066" s="19"/>
      <c r="AJ3066" s="19"/>
      <c r="AK3066" s="19"/>
      <c r="AL3066" s="19"/>
      <c r="AM3066" s="19" t="n">
        <v>9</v>
      </c>
      <c r="AN3066" s="19"/>
      <c r="AO3066" s="19" t="n">
        <v>40</v>
      </c>
      <c r="AP3066" s="19" t="n">
        <v>5</v>
      </c>
      <c r="AQ3066" s="19"/>
      <c r="AR3066" s="19"/>
      <c r="AS3066" s="20" t="str">
        <f aca="false">HYPERLINK("http://www.openstreetmap.org/?mlat=34.2024&amp;mlon=43.8761&amp;zoom=12#map=12/34.2024/43.8761","Maplink1")</f>
        <v>Maplink1</v>
      </c>
      <c r="AT3066" s="20" t="str">
        <f aca="false">HYPERLINK("https://www.google.iq/maps/search/+34.2024,43.8761/@34.2024,43.8761,14z?hl=en","Maplink2")</f>
        <v>Maplink2</v>
      </c>
      <c r="AU3066" s="20" t="str">
        <f aca="false">HYPERLINK("http://www.bing.com/maps/?lvl=14&amp;sty=h&amp;cp=34.2024~43.8761&amp;sp=point.34.2024_43.8761","Maplink3")</f>
        <v>Maplink3</v>
      </c>
    </row>
    <row r="3067" customFormat="false" ht="15" hidden="false" customHeight="true" outlineLevel="0" collapsed="false">
      <c r="A3067" s="15" t="n">
        <v>22903</v>
      </c>
      <c r="B3067" s="16" t="s">
        <v>29</v>
      </c>
      <c r="C3067" s="16" t="s">
        <v>5827</v>
      </c>
      <c r="D3067" s="16" t="s">
        <v>5862</v>
      </c>
      <c r="E3067" s="17" t="s">
        <v>5863</v>
      </c>
      <c r="F3067" s="16" t="n">
        <v>34.19621426</v>
      </c>
      <c r="G3067" s="16" t="n">
        <v>43.86903148</v>
      </c>
      <c r="H3067" s="18" t="n">
        <v>20</v>
      </c>
      <c r="I3067" s="18" t="n">
        <v>120</v>
      </c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 t="n">
        <v>20</v>
      </c>
      <c r="Y3067" s="19"/>
      <c r="Z3067" s="19"/>
      <c r="AA3067" s="19"/>
      <c r="AB3067" s="19"/>
      <c r="AC3067" s="19"/>
      <c r="AD3067" s="19"/>
      <c r="AE3067" s="19"/>
      <c r="AF3067" s="19"/>
      <c r="AG3067" s="19"/>
      <c r="AH3067" s="19" t="n">
        <v>20</v>
      </c>
      <c r="AI3067" s="19"/>
      <c r="AJ3067" s="19"/>
      <c r="AK3067" s="19"/>
      <c r="AL3067" s="19"/>
      <c r="AM3067" s="19"/>
      <c r="AN3067" s="19" t="n">
        <v>20</v>
      </c>
      <c r="AO3067" s="19"/>
      <c r="AP3067" s="19"/>
      <c r="AQ3067" s="19"/>
      <c r="AR3067" s="19"/>
      <c r="AS3067" s="20" t="str">
        <f aca="false">HYPERLINK("http://www.openstreetmap.org/?mlat=34.1962&amp;mlon=43.869&amp;zoom=12#map=12/34.1962/43.869","Maplink1")</f>
        <v>Maplink1</v>
      </c>
      <c r="AT3067" s="20" t="str">
        <f aca="false">HYPERLINK("https://www.google.iq/maps/search/+34.1962,43.869/@34.1962,43.869,14z?hl=en","Maplink2")</f>
        <v>Maplink2</v>
      </c>
      <c r="AU3067" s="20" t="str">
        <f aca="false">HYPERLINK("http://www.bing.com/maps/?lvl=14&amp;sty=h&amp;cp=34.1962~43.869&amp;sp=point.34.1962_43.869","Maplink3")</f>
        <v>Maplink3</v>
      </c>
    </row>
    <row r="3068" customFormat="false" ht="15" hidden="false" customHeight="true" outlineLevel="0" collapsed="false">
      <c r="A3068" s="15" t="n">
        <v>24122</v>
      </c>
      <c r="B3068" s="16" t="s">
        <v>29</v>
      </c>
      <c r="C3068" s="16" t="s">
        <v>5827</v>
      </c>
      <c r="D3068" s="16" t="s">
        <v>5864</v>
      </c>
      <c r="E3068" s="17" t="s">
        <v>5865</v>
      </c>
      <c r="F3068" s="16" t="n">
        <v>34.19683964</v>
      </c>
      <c r="G3068" s="16" t="n">
        <v>43.88705961</v>
      </c>
      <c r="H3068" s="18" t="n">
        <v>80</v>
      </c>
      <c r="I3068" s="18" t="n">
        <v>480</v>
      </c>
      <c r="J3068" s="19" t="n">
        <v>3</v>
      </c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 t="n">
        <v>2</v>
      </c>
      <c r="W3068" s="19"/>
      <c r="X3068" s="19" t="n">
        <v>75</v>
      </c>
      <c r="Y3068" s="19"/>
      <c r="Z3068" s="19"/>
      <c r="AA3068" s="19"/>
      <c r="AB3068" s="19"/>
      <c r="AC3068" s="19"/>
      <c r="AD3068" s="19"/>
      <c r="AE3068" s="19"/>
      <c r="AF3068" s="19"/>
      <c r="AG3068" s="19"/>
      <c r="AH3068" s="19" t="n">
        <v>67</v>
      </c>
      <c r="AI3068" s="19"/>
      <c r="AJ3068" s="19" t="n">
        <v>13</v>
      </c>
      <c r="AK3068" s="19"/>
      <c r="AL3068" s="19"/>
      <c r="AM3068" s="19"/>
      <c r="AN3068" s="19"/>
      <c r="AO3068" s="19" t="n">
        <v>27</v>
      </c>
      <c r="AP3068" s="19" t="n">
        <v>53</v>
      </c>
      <c r="AQ3068" s="19"/>
      <c r="AR3068" s="19"/>
      <c r="AS3068" s="20" t="str">
        <f aca="false">HYPERLINK("http://www.openstreetmap.org/?mlat=34.1968&amp;mlon=43.8871&amp;zoom=12#map=12/34.1968/43.8871","Maplink1")</f>
        <v>Maplink1</v>
      </c>
      <c r="AT3068" s="20" t="str">
        <f aca="false">HYPERLINK("https://www.google.iq/maps/search/+34.1968,43.8871/@34.1968,43.8871,14z?hl=en","Maplink2")</f>
        <v>Maplink2</v>
      </c>
      <c r="AU3068" s="20" t="str">
        <f aca="false">HYPERLINK("http://www.bing.com/maps/?lvl=14&amp;sty=h&amp;cp=34.1968~43.8871&amp;sp=point.34.1968_43.8871","Maplink3")</f>
        <v>Maplink3</v>
      </c>
    </row>
    <row r="3069" customFormat="false" ht="15" hidden="false" customHeight="true" outlineLevel="0" collapsed="false">
      <c r="A3069" s="15" t="n">
        <v>21724</v>
      </c>
      <c r="B3069" s="16" t="s">
        <v>29</v>
      </c>
      <c r="C3069" s="16" t="s">
        <v>5827</v>
      </c>
      <c r="D3069" s="16" t="s">
        <v>5866</v>
      </c>
      <c r="E3069" s="17" t="s">
        <v>5867</v>
      </c>
      <c r="F3069" s="16" t="n">
        <v>34.1938672</v>
      </c>
      <c r="G3069" s="16" t="n">
        <v>43.87973534</v>
      </c>
      <c r="H3069" s="18" t="n">
        <v>65</v>
      </c>
      <c r="I3069" s="18" t="n">
        <v>390</v>
      </c>
      <c r="J3069" s="19" t="n">
        <v>2</v>
      </c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  <c r="W3069" s="19"/>
      <c r="X3069" s="19" t="n">
        <v>63</v>
      </c>
      <c r="Y3069" s="19"/>
      <c r="Z3069" s="19"/>
      <c r="AA3069" s="19"/>
      <c r="AB3069" s="19"/>
      <c r="AC3069" s="19"/>
      <c r="AD3069" s="19"/>
      <c r="AE3069" s="19"/>
      <c r="AF3069" s="19"/>
      <c r="AG3069" s="19"/>
      <c r="AH3069" s="19" t="n">
        <v>65</v>
      </c>
      <c r="AI3069" s="19"/>
      <c r="AJ3069" s="19"/>
      <c r="AK3069" s="19"/>
      <c r="AL3069" s="19"/>
      <c r="AM3069" s="19"/>
      <c r="AN3069" s="19" t="n">
        <v>30</v>
      </c>
      <c r="AO3069" s="19" t="n">
        <v>35</v>
      </c>
      <c r="AP3069" s="19"/>
      <c r="AQ3069" s="19"/>
      <c r="AR3069" s="19"/>
      <c r="AS3069" s="20" t="str">
        <f aca="false">HYPERLINK("http://www.openstreetmap.org/?mlat=34.1939&amp;mlon=43.8797&amp;zoom=12#map=12/34.1939/43.8797","Maplink1")</f>
        <v>Maplink1</v>
      </c>
      <c r="AT3069" s="20" t="str">
        <f aca="false">HYPERLINK("https://www.google.iq/maps/search/+34.1939,43.8797/@34.1939,43.8797,14z?hl=en","Maplink2")</f>
        <v>Maplink2</v>
      </c>
      <c r="AU3069" s="20" t="str">
        <f aca="false">HYPERLINK("http://www.bing.com/maps/?lvl=14&amp;sty=h&amp;cp=34.1939~43.8797&amp;sp=point.34.1939_43.8797","Maplink3")</f>
        <v>Maplink3</v>
      </c>
    </row>
    <row r="3070" customFormat="false" ht="15" hidden="false" customHeight="true" outlineLevel="0" collapsed="false">
      <c r="A3070" s="15" t="n">
        <v>22473</v>
      </c>
      <c r="B3070" s="16" t="s">
        <v>29</v>
      </c>
      <c r="C3070" s="16" t="s">
        <v>5827</v>
      </c>
      <c r="D3070" s="16" t="s">
        <v>5868</v>
      </c>
      <c r="E3070" s="17" t="s">
        <v>5869</v>
      </c>
      <c r="F3070" s="16" t="n">
        <v>34.19311748</v>
      </c>
      <c r="G3070" s="16" t="n">
        <v>43.91228478</v>
      </c>
      <c r="H3070" s="18" t="n">
        <v>625</v>
      </c>
      <c r="I3070" s="18" t="n">
        <v>3750</v>
      </c>
      <c r="J3070" s="19" t="n">
        <v>11</v>
      </c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  <c r="W3070" s="19"/>
      <c r="X3070" s="19" t="n">
        <v>614</v>
      </c>
      <c r="Y3070" s="19"/>
      <c r="Z3070" s="19"/>
      <c r="AA3070" s="19"/>
      <c r="AB3070" s="19"/>
      <c r="AC3070" s="19"/>
      <c r="AD3070" s="19"/>
      <c r="AE3070" s="19" t="n">
        <v>49</v>
      </c>
      <c r="AF3070" s="19"/>
      <c r="AG3070" s="19"/>
      <c r="AH3070" s="19" t="n">
        <v>385</v>
      </c>
      <c r="AI3070" s="19" t="n">
        <v>61</v>
      </c>
      <c r="AJ3070" s="19" t="n">
        <v>130</v>
      </c>
      <c r="AK3070" s="19"/>
      <c r="AL3070" s="19"/>
      <c r="AM3070" s="19" t="n">
        <v>220</v>
      </c>
      <c r="AN3070" s="19" t="n">
        <v>225</v>
      </c>
      <c r="AO3070" s="19" t="n">
        <v>101</v>
      </c>
      <c r="AP3070" s="19" t="n">
        <v>67</v>
      </c>
      <c r="AQ3070" s="19"/>
      <c r="AR3070" s="19" t="n">
        <v>12</v>
      </c>
      <c r="AS3070" s="20" t="str">
        <f aca="false">HYPERLINK("http://www.openstreetmap.org/?mlat=34.1931&amp;mlon=43.9123&amp;zoom=12#map=12/34.1931/43.9123","Maplink1")</f>
        <v>Maplink1</v>
      </c>
      <c r="AT3070" s="20" t="str">
        <f aca="false">HYPERLINK("https://www.google.iq/maps/search/+34.1931,43.9123/@34.1931,43.9123,14z?hl=en","Maplink2")</f>
        <v>Maplink2</v>
      </c>
      <c r="AU3070" s="20" t="str">
        <f aca="false">HYPERLINK("http://www.bing.com/maps/?lvl=14&amp;sty=h&amp;cp=34.1931~43.9123&amp;sp=point.34.1931_43.9123","Maplink3")</f>
        <v>Maplink3</v>
      </c>
    </row>
    <row r="3071" customFormat="false" ht="15" hidden="false" customHeight="true" outlineLevel="0" collapsed="false">
      <c r="A3071" s="15" t="n">
        <v>22810</v>
      </c>
      <c r="B3071" s="16" t="s">
        <v>29</v>
      </c>
      <c r="C3071" s="16" t="s">
        <v>5827</v>
      </c>
      <c r="D3071" s="16" t="s">
        <v>5870</v>
      </c>
      <c r="E3071" s="17" t="s">
        <v>5871</v>
      </c>
      <c r="F3071" s="16" t="n">
        <v>34.18531129</v>
      </c>
      <c r="G3071" s="16" t="n">
        <v>43.90105035</v>
      </c>
      <c r="H3071" s="18" t="n">
        <v>50</v>
      </c>
      <c r="I3071" s="18" t="n">
        <v>300</v>
      </c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  <c r="W3071" s="19"/>
      <c r="X3071" s="19" t="n">
        <v>50</v>
      </c>
      <c r="Y3071" s="19"/>
      <c r="Z3071" s="19"/>
      <c r="AA3071" s="19"/>
      <c r="AB3071" s="19"/>
      <c r="AC3071" s="19" t="n">
        <v>11</v>
      </c>
      <c r="AD3071" s="19"/>
      <c r="AE3071" s="19"/>
      <c r="AF3071" s="19"/>
      <c r="AG3071" s="19"/>
      <c r="AH3071" s="19" t="n">
        <v>39</v>
      </c>
      <c r="AI3071" s="19"/>
      <c r="AJ3071" s="19"/>
      <c r="AK3071" s="19"/>
      <c r="AL3071" s="19"/>
      <c r="AM3071" s="19"/>
      <c r="AN3071" s="19" t="n">
        <v>21</v>
      </c>
      <c r="AO3071" s="19" t="n">
        <v>29</v>
      </c>
      <c r="AP3071" s="19"/>
      <c r="AQ3071" s="19"/>
      <c r="AR3071" s="19"/>
      <c r="AS3071" s="20" t="str">
        <f aca="false">HYPERLINK("http://www.openstreetmap.org/?mlat=34.1853&amp;mlon=43.9011&amp;zoom=12#map=12/34.1853/43.9011","Maplink1")</f>
        <v>Maplink1</v>
      </c>
      <c r="AT3071" s="20" t="str">
        <f aca="false">HYPERLINK("https://www.google.iq/maps/search/+34.1853,43.9011/@34.1853,43.9011,14z?hl=en","Maplink2")</f>
        <v>Maplink2</v>
      </c>
      <c r="AU3071" s="20" t="str">
        <f aca="false">HYPERLINK("http://www.bing.com/maps/?lvl=14&amp;sty=h&amp;cp=34.1853~43.9011&amp;sp=point.34.1853_43.9011","Maplink3")</f>
        <v>Maplink3</v>
      </c>
    </row>
    <row r="3072" customFormat="false" ht="15" hidden="false" customHeight="true" outlineLevel="0" collapsed="false">
      <c r="A3072" s="15" t="n">
        <v>21725</v>
      </c>
      <c r="B3072" s="16" t="s">
        <v>29</v>
      </c>
      <c r="C3072" s="16" t="s">
        <v>5827</v>
      </c>
      <c r="D3072" s="16" t="s">
        <v>5872</v>
      </c>
      <c r="E3072" s="17" t="s">
        <v>5873</v>
      </c>
      <c r="F3072" s="16" t="n">
        <v>34.18600808</v>
      </c>
      <c r="G3072" s="16" t="n">
        <v>43.90432717</v>
      </c>
      <c r="H3072" s="18" t="n">
        <v>478</v>
      </c>
      <c r="I3072" s="18" t="n">
        <v>2868</v>
      </c>
      <c r="J3072" s="19" t="n">
        <v>7</v>
      </c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 t="n">
        <v>2</v>
      </c>
      <c r="W3072" s="19"/>
      <c r="X3072" s="19" t="n">
        <v>469</v>
      </c>
      <c r="Y3072" s="19"/>
      <c r="Z3072" s="19"/>
      <c r="AA3072" s="19"/>
      <c r="AB3072" s="19"/>
      <c r="AC3072" s="19" t="n">
        <v>382</v>
      </c>
      <c r="AD3072" s="19"/>
      <c r="AE3072" s="19"/>
      <c r="AF3072" s="19"/>
      <c r="AG3072" s="19" t="n">
        <v>9</v>
      </c>
      <c r="AH3072" s="19" t="n">
        <v>8</v>
      </c>
      <c r="AI3072" s="19" t="n">
        <v>27</v>
      </c>
      <c r="AJ3072" s="19" t="n">
        <v>52</v>
      </c>
      <c r="AK3072" s="19"/>
      <c r="AL3072" s="19" t="n">
        <v>7</v>
      </c>
      <c r="AM3072" s="19" t="n">
        <v>205</v>
      </c>
      <c r="AN3072" s="19" t="n">
        <v>77</v>
      </c>
      <c r="AO3072" s="19" t="n">
        <v>180</v>
      </c>
      <c r="AP3072" s="19"/>
      <c r="AQ3072" s="19" t="n">
        <v>9</v>
      </c>
      <c r="AR3072" s="19"/>
      <c r="AS3072" s="20" t="str">
        <f aca="false">HYPERLINK("http://www.openstreetmap.org/?mlat=34.186&amp;mlon=43.9043&amp;zoom=12#map=12/34.186/43.9043","Maplink1")</f>
        <v>Maplink1</v>
      </c>
      <c r="AT3072" s="20" t="str">
        <f aca="false">HYPERLINK("https://www.google.iq/maps/search/+34.186,43.9043/@34.186,43.9043,14z?hl=en","Maplink2")</f>
        <v>Maplink2</v>
      </c>
      <c r="AU3072" s="20" t="str">
        <f aca="false">HYPERLINK("http://www.bing.com/maps/?lvl=14&amp;sty=h&amp;cp=34.186~43.9043&amp;sp=point.34.186_43.9043","Maplink3")</f>
        <v>Maplink3</v>
      </c>
    </row>
    <row r="3073" customFormat="false" ht="15" hidden="false" customHeight="true" outlineLevel="0" collapsed="false">
      <c r="A3073" s="15" t="n">
        <v>21594</v>
      </c>
      <c r="B3073" s="16" t="s">
        <v>29</v>
      </c>
      <c r="C3073" s="16" t="s">
        <v>5827</v>
      </c>
      <c r="D3073" s="16" t="s">
        <v>5874</v>
      </c>
      <c r="E3073" s="17" t="s">
        <v>5875</v>
      </c>
      <c r="F3073" s="16" t="n">
        <v>34.18697543</v>
      </c>
      <c r="G3073" s="16" t="n">
        <v>43.85529111</v>
      </c>
      <c r="H3073" s="18" t="n">
        <v>127</v>
      </c>
      <c r="I3073" s="18" t="n">
        <v>762</v>
      </c>
      <c r="J3073" s="19" t="n">
        <v>3</v>
      </c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  <c r="W3073" s="19"/>
      <c r="X3073" s="19" t="n">
        <v>124</v>
      </c>
      <c r="Y3073" s="19"/>
      <c r="Z3073" s="19"/>
      <c r="AA3073" s="19"/>
      <c r="AB3073" s="19"/>
      <c r="AC3073" s="19" t="n">
        <v>23</v>
      </c>
      <c r="AD3073" s="19"/>
      <c r="AE3073" s="19" t="n">
        <v>4</v>
      </c>
      <c r="AF3073" s="19" t="n">
        <v>4</v>
      </c>
      <c r="AG3073" s="19"/>
      <c r="AH3073" s="19" t="n">
        <v>79</v>
      </c>
      <c r="AI3073" s="19" t="n">
        <v>3</v>
      </c>
      <c r="AJ3073" s="19" t="n">
        <v>14</v>
      </c>
      <c r="AK3073" s="19"/>
      <c r="AL3073" s="19" t="n">
        <v>6</v>
      </c>
      <c r="AM3073" s="19"/>
      <c r="AN3073" s="19" t="n">
        <v>15</v>
      </c>
      <c r="AO3073" s="19"/>
      <c r="AP3073" s="19" t="n">
        <v>106</v>
      </c>
      <c r="AQ3073" s="19"/>
      <c r="AR3073" s="19"/>
      <c r="AS3073" s="20" t="str">
        <f aca="false">HYPERLINK("http://www.openstreetmap.org/?mlat=34.187&amp;mlon=43.8553&amp;zoom=12#map=12/34.187/43.8553","Maplink1")</f>
        <v>Maplink1</v>
      </c>
      <c r="AT3073" s="20" t="str">
        <f aca="false">HYPERLINK("https://www.google.iq/maps/search/+34.187,43.8553/@34.187,43.8553,14z?hl=en","Maplink2")</f>
        <v>Maplink2</v>
      </c>
      <c r="AU3073" s="20" t="str">
        <f aca="false">HYPERLINK("http://www.bing.com/maps/?lvl=14&amp;sty=h&amp;cp=34.187~43.8553&amp;sp=point.34.187_43.8553","Maplink3")</f>
        <v>Maplink3</v>
      </c>
    </row>
    <row r="3074" customFormat="false" ht="15" hidden="false" customHeight="true" outlineLevel="0" collapsed="false">
      <c r="A3074" s="15" t="n">
        <v>20569</v>
      </c>
      <c r="B3074" s="16" t="s">
        <v>29</v>
      </c>
      <c r="C3074" s="16" t="s">
        <v>5827</v>
      </c>
      <c r="D3074" s="16" t="s">
        <v>5876</v>
      </c>
      <c r="E3074" s="17" t="s">
        <v>5877</v>
      </c>
      <c r="F3074" s="16" t="n">
        <v>34.19794387</v>
      </c>
      <c r="G3074" s="16" t="n">
        <v>43.90302521</v>
      </c>
      <c r="H3074" s="18" t="n">
        <v>394</v>
      </c>
      <c r="I3074" s="18" t="n">
        <v>2364</v>
      </c>
      <c r="J3074" s="19" t="n">
        <v>9</v>
      </c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 t="n">
        <v>6</v>
      </c>
      <c r="W3074" s="19"/>
      <c r="X3074" s="19" t="n">
        <v>379</v>
      </c>
      <c r="Y3074" s="19"/>
      <c r="Z3074" s="19"/>
      <c r="AA3074" s="19"/>
      <c r="AB3074" s="19"/>
      <c r="AC3074" s="19" t="n">
        <v>28</v>
      </c>
      <c r="AD3074" s="19"/>
      <c r="AE3074" s="19" t="n">
        <v>65</v>
      </c>
      <c r="AF3074" s="19"/>
      <c r="AG3074" s="19" t="n">
        <v>17</v>
      </c>
      <c r="AH3074" s="19" t="n">
        <v>214</v>
      </c>
      <c r="AI3074" s="19"/>
      <c r="AJ3074" s="19" t="n">
        <v>70</v>
      </c>
      <c r="AK3074" s="19"/>
      <c r="AL3074" s="19"/>
      <c r="AM3074" s="19" t="n">
        <v>98</v>
      </c>
      <c r="AN3074" s="19" t="n">
        <v>45</v>
      </c>
      <c r="AO3074" s="19" t="n">
        <v>119</v>
      </c>
      <c r="AP3074" s="19" t="n">
        <v>123</v>
      </c>
      <c r="AQ3074" s="19"/>
      <c r="AR3074" s="19" t="n">
        <v>9</v>
      </c>
      <c r="AS3074" s="20" t="str">
        <f aca="false">HYPERLINK("http://www.openstreetmap.org/?mlat=34.1979&amp;mlon=43.903&amp;zoom=12#map=12/34.1979/43.903","Maplink1")</f>
        <v>Maplink1</v>
      </c>
      <c r="AT3074" s="20" t="str">
        <f aca="false">HYPERLINK("https://www.google.iq/maps/search/+34.1979,43.903/@34.1979,43.903,14z?hl=en","Maplink2")</f>
        <v>Maplink2</v>
      </c>
      <c r="AU3074" s="20" t="str">
        <f aca="false">HYPERLINK("http://www.bing.com/maps/?lvl=14&amp;sty=h&amp;cp=34.1979~43.903&amp;sp=point.34.1979_43.903","Maplink3")</f>
        <v>Maplink3</v>
      </c>
    </row>
    <row r="3075" customFormat="false" ht="15" hidden="false" customHeight="true" outlineLevel="0" collapsed="false">
      <c r="A3075" s="15" t="n">
        <v>23877</v>
      </c>
      <c r="B3075" s="16" t="s">
        <v>29</v>
      </c>
      <c r="C3075" s="16" t="s">
        <v>5827</v>
      </c>
      <c r="D3075" s="16" t="s">
        <v>5878</v>
      </c>
      <c r="E3075" s="17" t="s">
        <v>5879</v>
      </c>
      <c r="F3075" s="16" t="n">
        <v>34.18747982</v>
      </c>
      <c r="G3075" s="16" t="n">
        <v>43.87335227</v>
      </c>
      <c r="H3075" s="18" t="n">
        <v>75</v>
      </c>
      <c r="I3075" s="18" t="n">
        <v>450</v>
      </c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 t="n">
        <v>75</v>
      </c>
      <c r="Y3075" s="19"/>
      <c r="Z3075" s="19"/>
      <c r="AA3075" s="19"/>
      <c r="AB3075" s="19"/>
      <c r="AC3075" s="19" t="n">
        <v>8</v>
      </c>
      <c r="AD3075" s="19"/>
      <c r="AE3075" s="19"/>
      <c r="AF3075" s="19" t="n">
        <v>6</v>
      </c>
      <c r="AG3075" s="19"/>
      <c r="AH3075" s="19" t="n">
        <v>61</v>
      </c>
      <c r="AI3075" s="19"/>
      <c r="AJ3075" s="19"/>
      <c r="AK3075" s="19"/>
      <c r="AL3075" s="19" t="n">
        <v>3</v>
      </c>
      <c r="AM3075" s="19" t="n">
        <v>9</v>
      </c>
      <c r="AN3075" s="19" t="n">
        <v>29</v>
      </c>
      <c r="AO3075" s="19" t="n">
        <v>11</v>
      </c>
      <c r="AP3075" s="19" t="n">
        <v>23</v>
      </c>
      <c r="AQ3075" s="19"/>
      <c r="AR3075" s="19"/>
      <c r="AS3075" s="20" t="str">
        <f aca="false">HYPERLINK("http://www.openstreetmap.org/?mlat=34.1875&amp;mlon=43.8734&amp;zoom=12#map=12/34.1875/43.8734","Maplink1")</f>
        <v>Maplink1</v>
      </c>
      <c r="AT3075" s="20" t="str">
        <f aca="false">HYPERLINK("https://www.google.iq/maps/search/+34.1875,43.8734/@34.1875,43.8734,14z?hl=en","Maplink2")</f>
        <v>Maplink2</v>
      </c>
      <c r="AU3075" s="20" t="str">
        <f aca="false">HYPERLINK("http://www.bing.com/maps/?lvl=14&amp;sty=h&amp;cp=34.1875~43.8734&amp;sp=point.34.1875_43.8734","Maplink3")</f>
        <v>Maplink3</v>
      </c>
    </row>
    <row r="3076" customFormat="false" ht="15" hidden="false" customHeight="true" outlineLevel="0" collapsed="false">
      <c r="A3076" s="15" t="n">
        <v>25517</v>
      </c>
      <c r="B3076" s="16" t="s">
        <v>29</v>
      </c>
      <c r="C3076" s="16" t="s">
        <v>5827</v>
      </c>
      <c r="D3076" s="16" t="s">
        <v>5880</v>
      </c>
      <c r="E3076" s="17" t="s">
        <v>5881</v>
      </c>
      <c r="F3076" s="16" t="n">
        <v>34.19135267</v>
      </c>
      <c r="G3076" s="16" t="n">
        <v>43.87399441</v>
      </c>
      <c r="H3076" s="18" t="n">
        <v>20</v>
      </c>
      <c r="I3076" s="18" t="n">
        <v>120</v>
      </c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  <c r="W3076" s="19"/>
      <c r="X3076" s="19" t="n">
        <v>20</v>
      </c>
      <c r="Y3076" s="19"/>
      <c r="Z3076" s="19"/>
      <c r="AA3076" s="19"/>
      <c r="AB3076" s="19"/>
      <c r="AC3076" s="19"/>
      <c r="AD3076" s="19"/>
      <c r="AE3076" s="19"/>
      <c r="AF3076" s="19"/>
      <c r="AG3076" s="19"/>
      <c r="AH3076" s="19" t="n">
        <v>20</v>
      </c>
      <c r="AI3076" s="19"/>
      <c r="AJ3076" s="19"/>
      <c r="AK3076" s="19"/>
      <c r="AL3076" s="19"/>
      <c r="AM3076" s="19" t="n">
        <v>18</v>
      </c>
      <c r="AN3076" s="19"/>
      <c r="AO3076" s="19" t="n">
        <v>2</v>
      </c>
      <c r="AP3076" s="19"/>
      <c r="AQ3076" s="19"/>
      <c r="AR3076" s="19"/>
      <c r="AS3076" s="20" t="str">
        <f aca="false">HYPERLINK("http://www.openstreetmap.org/?mlat=34.1914&amp;mlon=43.874&amp;zoom=12#map=12/34.1914/43.874","Maplink1")</f>
        <v>Maplink1</v>
      </c>
      <c r="AT3076" s="20" t="str">
        <f aca="false">HYPERLINK("https://www.google.iq/maps/search/+34.1914,43.874/@34.1914,43.874,14z?hl=en","Maplink2")</f>
        <v>Maplink2</v>
      </c>
      <c r="AU3076" s="20" t="str">
        <f aca="false">HYPERLINK("http://www.bing.com/maps/?lvl=14&amp;sty=h&amp;cp=34.1914~43.874&amp;sp=point.34.1914_43.874","Maplink3")</f>
        <v>Maplink3</v>
      </c>
    </row>
    <row r="3077" customFormat="false" ht="15" hidden="false" customHeight="true" outlineLevel="0" collapsed="false">
      <c r="A3077" s="15" t="n">
        <v>23693</v>
      </c>
      <c r="B3077" s="16" t="s">
        <v>29</v>
      </c>
      <c r="C3077" s="16" t="s">
        <v>5827</v>
      </c>
      <c r="D3077" s="16" t="s">
        <v>5882</v>
      </c>
      <c r="E3077" s="17" t="s">
        <v>5883</v>
      </c>
      <c r="F3077" s="16" t="n">
        <v>34.21260428</v>
      </c>
      <c r="G3077" s="16" t="n">
        <v>43.89954949</v>
      </c>
      <c r="H3077" s="18" t="n">
        <v>164</v>
      </c>
      <c r="I3077" s="18" t="n">
        <v>984</v>
      </c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  <c r="W3077" s="19"/>
      <c r="X3077" s="19" t="n">
        <v>164</v>
      </c>
      <c r="Y3077" s="19"/>
      <c r="Z3077" s="19"/>
      <c r="AA3077" s="19"/>
      <c r="AB3077" s="19"/>
      <c r="AC3077" s="19" t="n">
        <v>4</v>
      </c>
      <c r="AD3077" s="19"/>
      <c r="AE3077" s="19"/>
      <c r="AF3077" s="19"/>
      <c r="AG3077" s="19"/>
      <c r="AH3077" s="19" t="n">
        <v>160</v>
      </c>
      <c r="AI3077" s="19"/>
      <c r="AJ3077" s="19"/>
      <c r="AK3077" s="19"/>
      <c r="AL3077" s="19"/>
      <c r="AM3077" s="19" t="n">
        <v>91</v>
      </c>
      <c r="AN3077" s="19" t="n">
        <v>73</v>
      </c>
      <c r="AO3077" s="19"/>
      <c r="AP3077" s="19"/>
      <c r="AQ3077" s="19"/>
      <c r="AR3077" s="19"/>
      <c r="AS3077" s="20" t="str">
        <f aca="false">HYPERLINK("http://www.openstreetmap.org/?mlat=34.2126&amp;mlon=43.8995&amp;zoom=12#map=12/34.2126/43.8995","Maplink1")</f>
        <v>Maplink1</v>
      </c>
      <c r="AT3077" s="20" t="str">
        <f aca="false">HYPERLINK("https://www.google.iq/maps/search/+34.2126,43.8995/@34.2126,43.8995,14z?hl=en","Maplink2")</f>
        <v>Maplink2</v>
      </c>
      <c r="AU3077" s="20" t="str">
        <f aca="false">HYPERLINK("http://www.bing.com/maps/?lvl=14&amp;sty=h&amp;cp=34.2126~43.8995&amp;sp=point.34.2126_43.8995","Maplink3")</f>
        <v>Maplink3</v>
      </c>
    </row>
    <row r="3078" customFormat="false" ht="15" hidden="false" customHeight="true" outlineLevel="0" collapsed="false">
      <c r="A3078" s="15" t="n">
        <v>21590</v>
      </c>
      <c r="B3078" s="16" t="s">
        <v>29</v>
      </c>
      <c r="C3078" s="16" t="s">
        <v>5827</v>
      </c>
      <c r="D3078" s="16" t="s">
        <v>5884</v>
      </c>
      <c r="E3078" s="17" t="s">
        <v>5885</v>
      </c>
      <c r="F3078" s="16" t="n">
        <v>34.2059187</v>
      </c>
      <c r="G3078" s="16" t="n">
        <v>43.91117276</v>
      </c>
      <c r="H3078" s="18" t="n">
        <v>460</v>
      </c>
      <c r="I3078" s="18" t="n">
        <v>2760</v>
      </c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  <c r="W3078" s="19"/>
      <c r="X3078" s="19" t="n">
        <v>460</v>
      </c>
      <c r="Y3078" s="19"/>
      <c r="Z3078" s="19"/>
      <c r="AA3078" s="19"/>
      <c r="AB3078" s="19"/>
      <c r="AC3078" s="19" t="n">
        <v>38</v>
      </c>
      <c r="AD3078" s="19"/>
      <c r="AE3078" s="19" t="n">
        <v>58</v>
      </c>
      <c r="AF3078" s="19" t="n">
        <v>4</v>
      </c>
      <c r="AG3078" s="19"/>
      <c r="AH3078" s="19" t="n">
        <v>264</v>
      </c>
      <c r="AI3078" s="19"/>
      <c r="AJ3078" s="19" t="n">
        <v>96</v>
      </c>
      <c r="AK3078" s="19"/>
      <c r="AL3078" s="19"/>
      <c r="AM3078" s="19"/>
      <c r="AN3078" s="19" t="n">
        <v>118</v>
      </c>
      <c r="AO3078" s="19" t="n">
        <v>250</v>
      </c>
      <c r="AP3078" s="19" t="n">
        <v>92</v>
      </c>
      <c r="AQ3078" s="19"/>
      <c r="AR3078" s="19"/>
      <c r="AS3078" s="20" t="str">
        <f aca="false">HYPERLINK("http://www.openstreetmap.org/?mlat=34.2059&amp;mlon=43.9112&amp;zoom=12#map=12/34.2059/43.9112","Maplink1")</f>
        <v>Maplink1</v>
      </c>
      <c r="AT3078" s="20" t="str">
        <f aca="false">HYPERLINK("https://www.google.iq/maps/search/+34.2059,43.9112/@34.2059,43.9112,14z?hl=en","Maplink2")</f>
        <v>Maplink2</v>
      </c>
      <c r="AU3078" s="20" t="str">
        <f aca="false">HYPERLINK("http://www.bing.com/maps/?lvl=14&amp;sty=h&amp;cp=34.2059~43.9112&amp;sp=point.34.2059_43.9112","Maplink3")</f>
        <v>Maplink3</v>
      </c>
    </row>
    <row r="3079" customFormat="false" ht="15" hidden="false" customHeight="true" outlineLevel="0" collapsed="false">
      <c r="A3079" s="15" t="n">
        <v>29539</v>
      </c>
      <c r="B3079" s="16" t="s">
        <v>29</v>
      </c>
      <c r="C3079" s="16" t="s">
        <v>5827</v>
      </c>
      <c r="D3079" s="16" t="s">
        <v>5886</v>
      </c>
      <c r="E3079" s="17" t="s">
        <v>5887</v>
      </c>
      <c r="F3079" s="16" t="n">
        <v>34.37176182</v>
      </c>
      <c r="G3079" s="16" t="n">
        <v>43.76253462</v>
      </c>
      <c r="H3079" s="18" t="n">
        <v>405</v>
      </c>
      <c r="I3079" s="18" t="n">
        <v>2430</v>
      </c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 t="n">
        <v>17</v>
      </c>
      <c r="W3079" s="19"/>
      <c r="X3079" s="19" t="n">
        <v>388</v>
      </c>
      <c r="Y3079" s="19"/>
      <c r="Z3079" s="19"/>
      <c r="AA3079" s="19"/>
      <c r="AB3079" s="19"/>
      <c r="AC3079" s="19" t="n">
        <v>230</v>
      </c>
      <c r="AD3079" s="19"/>
      <c r="AE3079" s="19"/>
      <c r="AF3079" s="19" t="n">
        <v>60</v>
      </c>
      <c r="AG3079" s="19"/>
      <c r="AH3079" s="19" t="n">
        <v>100</v>
      </c>
      <c r="AI3079" s="19" t="n">
        <v>15</v>
      </c>
      <c r="AJ3079" s="19"/>
      <c r="AK3079" s="19"/>
      <c r="AL3079" s="19"/>
      <c r="AM3079" s="19"/>
      <c r="AN3079" s="19"/>
      <c r="AO3079" s="19"/>
      <c r="AP3079" s="19" t="n">
        <v>330</v>
      </c>
      <c r="AQ3079" s="19"/>
      <c r="AR3079" s="19" t="n">
        <v>75</v>
      </c>
      <c r="AS3079" s="20" t="str">
        <f aca="false">HYPERLINK("http://www.openstreetmap.org/?mlat=34.3718&amp;mlon=43.7625&amp;zoom=12#map=12/34.3718/43.7625","Maplink1")</f>
        <v>Maplink1</v>
      </c>
      <c r="AT3079" s="20" t="str">
        <f aca="false">HYPERLINK("https://www.google.iq/maps/search/+34.3718,43.7625/@34.3718,43.7625,14z?hl=en","Maplink2")</f>
        <v>Maplink2</v>
      </c>
      <c r="AU3079" s="20" t="str">
        <f aca="false">HYPERLINK("http://www.bing.com/maps/?lvl=14&amp;sty=h&amp;cp=34.3718~43.7625&amp;sp=point.34.3718_43.7625","Maplink3")</f>
        <v>Maplink3</v>
      </c>
    </row>
    <row r="3080" customFormat="false" ht="15" hidden="false" customHeight="true" outlineLevel="0" collapsed="false">
      <c r="A3080" s="15" t="n">
        <v>23702</v>
      </c>
      <c r="B3080" s="16" t="s">
        <v>29</v>
      </c>
      <c r="C3080" s="16" t="s">
        <v>5888</v>
      </c>
      <c r="D3080" s="16" t="s">
        <v>5889</v>
      </c>
      <c r="E3080" s="17" t="s">
        <v>5890</v>
      </c>
      <c r="F3080" s="16" t="n">
        <v>34.66417859</v>
      </c>
      <c r="G3080" s="16" t="n">
        <v>43.65701859</v>
      </c>
      <c r="H3080" s="18" t="n">
        <v>1320</v>
      </c>
      <c r="I3080" s="18" t="n">
        <v>7920</v>
      </c>
      <c r="J3080" s="19"/>
      <c r="K3080" s="19"/>
      <c r="L3080" s="19"/>
      <c r="M3080" s="19"/>
      <c r="N3080" s="19"/>
      <c r="O3080" s="19"/>
      <c r="P3080" s="19"/>
      <c r="Q3080" s="19"/>
      <c r="R3080" s="19" t="n">
        <v>33</v>
      </c>
      <c r="S3080" s="19"/>
      <c r="T3080" s="19"/>
      <c r="U3080" s="19"/>
      <c r="V3080" s="19" t="n">
        <v>78</v>
      </c>
      <c r="W3080" s="19"/>
      <c r="X3080" s="19" t="n">
        <v>1209</v>
      </c>
      <c r="Y3080" s="19"/>
      <c r="Z3080" s="19"/>
      <c r="AA3080" s="19"/>
      <c r="AB3080" s="19"/>
      <c r="AC3080" s="19" t="n">
        <v>451</v>
      </c>
      <c r="AD3080" s="19"/>
      <c r="AE3080" s="19" t="n">
        <v>97</v>
      </c>
      <c r="AF3080" s="19"/>
      <c r="AG3080" s="19"/>
      <c r="AH3080" s="19" t="n">
        <v>339</v>
      </c>
      <c r="AI3080" s="19"/>
      <c r="AJ3080" s="19" t="n">
        <v>433</v>
      </c>
      <c r="AK3080" s="19"/>
      <c r="AL3080" s="19"/>
      <c r="AM3080" s="19"/>
      <c r="AN3080" s="19"/>
      <c r="AO3080" s="19"/>
      <c r="AP3080" s="19" t="n">
        <v>315</v>
      </c>
      <c r="AQ3080" s="19" t="n">
        <v>956</v>
      </c>
      <c r="AR3080" s="19" t="n">
        <v>49</v>
      </c>
      <c r="AS3080" s="20" t="str">
        <f aca="false">HYPERLINK("http://www.openstreetmap.org/?mlat=34.6642&amp;mlon=43.657&amp;zoom=12#map=12/34.6642/43.657","Maplink1")</f>
        <v>Maplink1</v>
      </c>
      <c r="AT3080" s="20" t="str">
        <f aca="false">HYPERLINK("https://www.google.iq/maps/search/+34.6642,43.657/@34.6642,43.657,14z?hl=en","Maplink2")</f>
        <v>Maplink2</v>
      </c>
      <c r="AU3080" s="20" t="str">
        <f aca="false">HYPERLINK("http://www.bing.com/maps/?lvl=14&amp;sty=h&amp;cp=34.6642~43.657&amp;sp=point.34.6642_43.657","Maplink3")</f>
        <v>Maplink3</v>
      </c>
    </row>
    <row r="3081" customFormat="false" ht="15" hidden="false" customHeight="true" outlineLevel="0" collapsed="false">
      <c r="A3081" s="15" t="n">
        <v>23145</v>
      </c>
      <c r="B3081" s="16" t="s">
        <v>29</v>
      </c>
      <c r="C3081" s="16" t="s">
        <v>5888</v>
      </c>
      <c r="D3081" s="16" t="s">
        <v>5891</v>
      </c>
      <c r="E3081" s="17" t="s">
        <v>5892</v>
      </c>
      <c r="F3081" s="16" t="n">
        <v>34.72597917</v>
      </c>
      <c r="G3081" s="16" t="n">
        <v>43.69485408</v>
      </c>
      <c r="H3081" s="18" t="n">
        <v>80</v>
      </c>
      <c r="I3081" s="18" t="n">
        <v>480</v>
      </c>
      <c r="J3081" s="19"/>
      <c r="K3081" s="19"/>
      <c r="L3081" s="19"/>
      <c r="M3081" s="19"/>
      <c r="N3081" s="19"/>
      <c r="O3081" s="19"/>
      <c r="P3081" s="19"/>
      <c r="Q3081" s="19"/>
      <c r="R3081" s="19" t="n">
        <v>43</v>
      </c>
      <c r="S3081" s="19"/>
      <c r="T3081" s="19"/>
      <c r="U3081" s="19"/>
      <c r="V3081" s="19"/>
      <c r="W3081" s="19"/>
      <c r="X3081" s="19" t="n">
        <v>37</v>
      </c>
      <c r="Y3081" s="19"/>
      <c r="Z3081" s="19"/>
      <c r="AA3081" s="19"/>
      <c r="AB3081" s="19"/>
      <c r="AC3081" s="19" t="n">
        <v>15</v>
      </c>
      <c r="AD3081" s="19"/>
      <c r="AE3081" s="19"/>
      <c r="AF3081" s="19"/>
      <c r="AG3081" s="19"/>
      <c r="AH3081" s="19" t="n">
        <v>65</v>
      </c>
      <c r="AI3081" s="19"/>
      <c r="AJ3081" s="19"/>
      <c r="AK3081" s="19"/>
      <c r="AL3081" s="19"/>
      <c r="AM3081" s="19"/>
      <c r="AN3081" s="19"/>
      <c r="AO3081" s="19"/>
      <c r="AP3081" s="19" t="n">
        <v>50</v>
      </c>
      <c r="AQ3081" s="19" t="n">
        <v>30</v>
      </c>
      <c r="AR3081" s="19"/>
      <c r="AS3081" s="20" t="str">
        <f aca="false">HYPERLINK("http://www.openstreetmap.org/?mlat=34.726&amp;mlon=43.6949&amp;zoom=12#map=12/34.726/43.6949","Maplink1")</f>
        <v>Maplink1</v>
      </c>
      <c r="AT3081" s="20" t="str">
        <f aca="false">HYPERLINK("https://www.google.iq/maps/search/+34.726,43.6949/@34.726,43.6949,14z?hl=en","Maplink2")</f>
        <v>Maplink2</v>
      </c>
      <c r="AU3081" s="20" t="str">
        <f aca="false">HYPERLINK("http://www.bing.com/maps/?lvl=14&amp;sty=h&amp;cp=34.726~43.6949&amp;sp=point.34.726_43.6949","Maplink3")</f>
        <v>Maplink3</v>
      </c>
    </row>
    <row r="3082" customFormat="false" ht="15" hidden="false" customHeight="true" outlineLevel="0" collapsed="false">
      <c r="A3082" s="15" t="n">
        <v>20594</v>
      </c>
      <c r="B3082" s="16" t="s">
        <v>29</v>
      </c>
      <c r="C3082" s="16" t="s">
        <v>5888</v>
      </c>
      <c r="D3082" s="16" t="s">
        <v>5893</v>
      </c>
      <c r="E3082" s="17" t="s">
        <v>5894</v>
      </c>
      <c r="F3082" s="16" t="n">
        <v>34.534817</v>
      </c>
      <c r="G3082" s="16" t="n">
        <v>43.695286</v>
      </c>
      <c r="H3082" s="18" t="n">
        <v>265</v>
      </c>
      <c r="I3082" s="18" t="n">
        <v>1590</v>
      </c>
      <c r="J3082" s="19"/>
      <c r="K3082" s="19"/>
      <c r="L3082" s="19"/>
      <c r="M3082" s="19"/>
      <c r="N3082" s="19"/>
      <c r="O3082" s="19"/>
      <c r="P3082" s="19"/>
      <c r="Q3082" s="19"/>
      <c r="R3082" s="19"/>
      <c r="S3082" s="19"/>
      <c r="T3082" s="19"/>
      <c r="U3082" s="19"/>
      <c r="V3082" s="19" t="n">
        <v>50</v>
      </c>
      <c r="W3082" s="19"/>
      <c r="X3082" s="19" t="n">
        <v>215</v>
      </c>
      <c r="Y3082" s="19"/>
      <c r="Z3082" s="19"/>
      <c r="AA3082" s="19"/>
      <c r="AB3082" s="19"/>
      <c r="AC3082" s="19"/>
      <c r="AD3082" s="19"/>
      <c r="AE3082" s="19"/>
      <c r="AF3082" s="19"/>
      <c r="AG3082" s="19"/>
      <c r="AH3082" s="19"/>
      <c r="AI3082" s="19"/>
      <c r="AJ3082" s="19"/>
      <c r="AK3082" s="19" t="n">
        <v>265</v>
      </c>
      <c r="AL3082" s="19"/>
      <c r="AM3082" s="19"/>
      <c r="AN3082" s="19"/>
      <c r="AO3082" s="19"/>
      <c r="AP3082" s="19"/>
      <c r="AQ3082" s="19" t="n">
        <v>265</v>
      </c>
      <c r="AR3082" s="19"/>
      <c r="AS3082" s="20" t="str">
        <f aca="false">HYPERLINK("http://www.openstreetmap.org/?mlat=34.5348&amp;mlon=43.6953&amp;zoom=12#map=12/34.5348/43.6953","Maplink1")</f>
        <v>Maplink1</v>
      </c>
      <c r="AT3082" s="20" t="str">
        <f aca="false">HYPERLINK("https://www.google.iq/maps/search/+34.5348,43.6953/@34.5348,43.6953,14z?hl=en","Maplink2")</f>
        <v>Maplink2</v>
      </c>
      <c r="AU3082" s="20" t="str">
        <f aca="false">HYPERLINK("http://www.bing.com/maps/?lvl=14&amp;sty=h&amp;cp=34.5348~43.6953&amp;sp=point.34.5348_43.6953","Maplink3")</f>
        <v>Maplink3</v>
      </c>
    </row>
    <row r="3083" customFormat="false" ht="15" hidden="false" customHeight="true" outlineLevel="0" collapsed="false">
      <c r="A3083" s="15" t="n">
        <v>25949</v>
      </c>
      <c r="B3083" s="16" t="s">
        <v>29</v>
      </c>
      <c r="C3083" s="16" t="s">
        <v>5888</v>
      </c>
      <c r="D3083" s="16" t="s">
        <v>5895</v>
      </c>
      <c r="E3083" s="17" t="s">
        <v>5896</v>
      </c>
      <c r="F3083" s="16" t="n">
        <v>34.87631768</v>
      </c>
      <c r="G3083" s="16" t="n">
        <v>43.58070932</v>
      </c>
      <c r="H3083" s="18" t="n">
        <v>60</v>
      </c>
      <c r="I3083" s="18" t="n">
        <v>360</v>
      </c>
      <c r="J3083" s="19"/>
      <c r="K3083" s="19"/>
      <c r="L3083" s="19"/>
      <c r="M3083" s="19"/>
      <c r="N3083" s="19"/>
      <c r="O3083" s="19"/>
      <c r="P3083" s="19"/>
      <c r="Q3083" s="19"/>
      <c r="R3083" s="19" t="n">
        <v>30</v>
      </c>
      <c r="S3083" s="19"/>
      <c r="T3083" s="19"/>
      <c r="U3083" s="19"/>
      <c r="V3083" s="19"/>
      <c r="W3083" s="19"/>
      <c r="X3083" s="19" t="n">
        <v>30</v>
      </c>
      <c r="Y3083" s="19"/>
      <c r="Z3083" s="19"/>
      <c r="AA3083" s="19"/>
      <c r="AB3083" s="19"/>
      <c r="AC3083" s="19" t="n">
        <v>25</v>
      </c>
      <c r="AD3083" s="19"/>
      <c r="AE3083" s="19"/>
      <c r="AF3083" s="19"/>
      <c r="AG3083" s="19"/>
      <c r="AH3083" s="19" t="n">
        <v>35</v>
      </c>
      <c r="AI3083" s="19"/>
      <c r="AJ3083" s="19"/>
      <c r="AK3083" s="19"/>
      <c r="AL3083" s="19"/>
      <c r="AM3083" s="19"/>
      <c r="AN3083" s="19"/>
      <c r="AO3083" s="19"/>
      <c r="AP3083" s="19" t="n">
        <v>35</v>
      </c>
      <c r="AQ3083" s="19" t="n">
        <v>25</v>
      </c>
      <c r="AR3083" s="19"/>
      <c r="AS3083" s="20" t="str">
        <f aca="false">HYPERLINK("http://www.openstreetmap.org/?mlat=34.8763&amp;mlon=43.5807&amp;zoom=12#map=12/34.8763/43.5807","Maplink1")</f>
        <v>Maplink1</v>
      </c>
      <c r="AT3083" s="20" t="str">
        <f aca="false">HYPERLINK("https://www.google.iq/maps/search/+34.8763,43.5807/@34.8763,43.5807,14z?hl=en","Maplink2")</f>
        <v>Maplink2</v>
      </c>
      <c r="AU3083" s="20" t="str">
        <f aca="false">HYPERLINK("http://www.bing.com/maps/?lvl=14&amp;sty=h&amp;cp=34.8763~43.5807&amp;sp=point.34.8763_43.5807","Maplink3")</f>
        <v>Maplink3</v>
      </c>
    </row>
    <row r="3084" customFormat="false" ht="15" hidden="false" customHeight="true" outlineLevel="0" collapsed="false">
      <c r="A3084" s="15" t="n">
        <v>25569</v>
      </c>
      <c r="B3084" s="16" t="s">
        <v>29</v>
      </c>
      <c r="C3084" s="16" t="s">
        <v>5888</v>
      </c>
      <c r="D3084" s="16" t="s">
        <v>5897</v>
      </c>
      <c r="E3084" s="17" t="s">
        <v>5898</v>
      </c>
      <c r="F3084" s="16" t="n">
        <v>34.70073241</v>
      </c>
      <c r="G3084" s="16" t="n">
        <v>43.68183324</v>
      </c>
      <c r="H3084" s="18" t="n">
        <v>120</v>
      </c>
      <c r="I3084" s="18" t="n">
        <v>720</v>
      </c>
      <c r="J3084" s="19"/>
      <c r="K3084" s="19"/>
      <c r="L3084" s="19"/>
      <c r="M3084" s="19"/>
      <c r="N3084" s="19"/>
      <c r="O3084" s="19"/>
      <c r="P3084" s="19"/>
      <c r="Q3084" s="19"/>
      <c r="R3084" s="19" t="n">
        <v>55</v>
      </c>
      <c r="S3084" s="19"/>
      <c r="T3084" s="19"/>
      <c r="U3084" s="19"/>
      <c r="V3084" s="19"/>
      <c r="W3084" s="19"/>
      <c r="X3084" s="19" t="n">
        <v>65</v>
      </c>
      <c r="Y3084" s="19"/>
      <c r="Z3084" s="19"/>
      <c r="AA3084" s="19"/>
      <c r="AB3084" s="19"/>
      <c r="AC3084" s="19"/>
      <c r="AD3084" s="19"/>
      <c r="AE3084" s="19" t="n">
        <v>10</v>
      </c>
      <c r="AF3084" s="19"/>
      <c r="AG3084" s="19"/>
      <c r="AH3084" s="19" t="n">
        <v>65</v>
      </c>
      <c r="AI3084" s="19"/>
      <c r="AJ3084" s="19" t="n">
        <v>45</v>
      </c>
      <c r="AK3084" s="19"/>
      <c r="AL3084" s="19"/>
      <c r="AM3084" s="19"/>
      <c r="AN3084" s="19"/>
      <c r="AO3084" s="19"/>
      <c r="AP3084" s="19" t="n">
        <v>120</v>
      </c>
      <c r="AQ3084" s="19"/>
      <c r="AR3084" s="19"/>
      <c r="AS3084" s="20" t="str">
        <f aca="false">HYPERLINK("http://www.openstreetmap.org/?mlat=34.7007&amp;mlon=43.6818&amp;zoom=12#map=12/34.7007/43.6818","Maplink1")</f>
        <v>Maplink1</v>
      </c>
      <c r="AT3084" s="20" t="str">
        <f aca="false">HYPERLINK("https://www.google.iq/maps/search/+34.7007,43.6818/@34.7007,43.6818,14z?hl=en","Maplink2")</f>
        <v>Maplink2</v>
      </c>
      <c r="AU3084" s="20" t="str">
        <f aca="false">HYPERLINK("http://www.bing.com/maps/?lvl=14&amp;sty=h&amp;cp=34.7007~43.6818&amp;sp=point.34.7007_43.6818","Maplink3")</f>
        <v>Maplink3</v>
      </c>
    </row>
    <row r="3085" customFormat="false" ht="15" hidden="false" customHeight="true" outlineLevel="0" collapsed="false">
      <c r="A3085" s="15" t="n">
        <v>24212</v>
      </c>
      <c r="B3085" s="16" t="s">
        <v>29</v>
      </c>
      <c r="C3085" s="16" t="s">
        <v>5888</v>
      </c>
      <c r="D3085" s="16" t="s">
        <v>5899</v>
      </c>
      <c r="E3085" s="17" t="s">
        <v>5900</v>
      </c>
      <c r="F3085" s="16" t="n">
        <v>34.76827358</v>
      </c>
      <c r="G3085" s="16" t="n">
        <v>43.65621957</v>
      </c>
      <c r="H3085" s="18" t="n">
        <v>85</v>
      </c>
      <c r="I3085" s="18" t="n">
        <v>510</v>
      </c>
      <c r="J3085" s="19"/>
      <c r="K3085" s="19"/>
      <c r="L3085" s="19"/>
      <c r="M3085" s="19"/>
      <c r="N3085" s="19"/>
      <c r="O3085" s="19"/>
      <c r="P3085" s="19"/>
      <c r="Q3085" s="19"/>
      <c r="R3085" s="19" t="n">
        <v>31</v>
      </c>
      <c r="S3085" s="19"/>
      <c r="T3085" s="19"/>
      <c r="U3085" s="19"/>
      <c r="V3085" s="19"/>
      <c r="W3085" s="19"/>
      <c r="X3085" s="19" t="n">
        <v>54</v>
      </c>
      <c r="Y3085" s="19"/>
      <c r="Z3085" s="19"/>
      <c r="AA3085" s="19"/>
      <c r="AB3085" s="19"/>
      <c r="AC3085" s="19" t="n">
        <v>5</v>
      </c>
      <c r="AD3085" s="19"/>
      <c r="AE3085" s="19"/>
      <c r="AF3085" s="19"/>
      <c r="AG3085" s="19"/>
      <c r="AH3085" s="19" t="n">
        <v>80</v>
      </c>
      <c r="AI3085" s="19"/>
      <c r="AJ3085" s="19"/>
      <c r="AK3085" s="19"/>
      <c r="AL3085" s="19"/>
      <c r="AM3085" s="19"/>
      <c r="AN3085" s="19"/>
      <c r="AO3085" s="19"/>
      <c r="AP3085" s="19" t="n">
        <v>60</v>
      </c>
      <c r="AQ3085" s="19" t="n">
        <v>25</v>
      </c>
      <c r="AR3085" s="19"/>
      <c r="AS3085" s="20" t="str">
        <f aca="false">HYPERLINK("http://www.openstreetmap.org/?mlat=34.7683&amp;mlon=43.6562&amp;zoom=12#map=12/34.7683/43.6562","Maplink1")</f>
        <v>Maplink1</v>
      </c>
      <c r="AT3085" s="20" t="str">
        <f aca="false">HYPERLINK("https://www.google.iq/maps/search/+34.7683,43.6562/@34.7683,43.6562,14z?hl=en","Maplink2")</f>
        <v>Maplink2</v>
      </c>
      <c r="AU3085" s="20" t="str">
        <f aca="false">HYPERLINK("http://www.bing.com/maps/?lvl=14&amp;sty=h&amp;cp=34.7683~43.6562&amp;sp=point.34.7683_43.6562","Maplink3")</f>
        <v>Maplink3</v>
      </c>
    </row>
    <row r="3086" customFormat="false" ht="15" hidden="false" customHeight="true" outlineLevel="0" collapsed="false">
      <c r="A3086" s="15" t="n">
        <v>26034</v>
      </c>
      <c r="B3086" s="16" t="s">
        <v>29</v>
      </c>
      <c r="C3086" s="16" t="s">
        <v>5888</v>
      </c>
      <c r="D3086" s="16" t="s">
        <v>5901</v>
      </c>
      <c r="E3086" s="17" t="s">
        <v>5902</v>
      </c>
      <c r="F3086" s="16" t="n">
        <v>34.72576421</v>
      </c>
      <c r="G3086" s="16" t="n">
        <v>43.63827766</v>
      </c>
      <c r="H3086" s="18" t="n">
        <v>127</v>
      </c>
      <c r="I3086" s="18" t="n">
        <v>762</v>
      </c>
      <c r="J3086" s="19"/>
      <c r="K3086" s="19"/>
      <c r="L3086" s="19"/>
      <c r="M3086" s="19"/>
      <c r="N3086" s="19"/>
      <c r="O3086" s="19"/>
      <c r="P3086" s="19"/>
      <c r="Q3086" s="19"/>
      <c r="R3086" s="19"/>
      <c r="S3086" s="19"/>
      <c r="T3086" s="19"/>
      <c r="U3086" s="19"/>
      <c r="V3086" s="19" t="n">
        <v>10</v>
      </c>
      <c r="W3086" s="19"/>
      <c r="X3086" s="19" t="n">
        <v>117</v>
      </c>
      <c r="Y3086" s="19"/>
      <c r="Z3086" s="19"/>
      <c r="AA3086" s="19"/>
      <c r="AB3086" s="19"/>
      <c r="AC3086" s="19" t="n">
        <v>10</v>
      </c>
      <c r="AD3086" s="19"/>
      <c r="AE3086" s="19" t="n">
        <v>21</v>
      </c>
      <c r="AF3086" s="19"/>
      <c r="AG3086" s="19"/>
      <c r="AH3086" s="19" t="n">
        <v>40</v>
      </c>
      <c r="AI3086" s="19"/>
      <c r="AJ3086" s="19" t="n">
        <v>56</v>
      </c>
      <c r="AK3086" s="19"/>
      <c r="AL3086" s="19"/>
      <c r="AM3086" s="19"/>
      <c r="AN3086" s="19" t="n">
        <v>28</v>
      </c>
      <c r="AO3086" s="19" t="n">
        <v>15</v>
      </c>
      <c r="AP3086" s="19"/>
      <c r="AQ3086" s="19" t="n">
        <v>84</v>
      </c>
      <c r="AR3086" s="19"/>
      <c r="AS3086" s="20" t="str">
        <f aca="false">HYPERLINK("http://www.openstreetmap.org/?mlat=34.7258&amp;mlon=43.6383&amp;zoom=12#map=12/34.7258/43.6383","Maplink1")</f>
        <v>Maplink1</v>
      </c>
      <c r="AT3086" s="20" t="str">
        <f aca="false">HYPERLINK("https://www.google.iq/maps/search/+34.7258,43.6383/@34.7258,43.6383,14z?hl=en","Maplink2")</f>
        <v>Maplink2</v>
      </c>
      <c r="AU3086" s="20" t="str">
        <f aca="false">HYPERLINK("http://www.bing.com/maps/?lvl=14&amp;sty=h&amp;cp=34.7258~43.6383&amp;sp=point.34.7258_43.6383","Maplink3")</f>
        <v>Maplink3</v>
      </c>
    </row>
    <row r="3087" customFormat="false" ht="15" hidden="false" customHeight="true" outlineLevel="0" collapsed="false">
      <c r="A3087" s="15" t="n">
        <v>23146</v>
      </c>
      <c r="B3087" s="16" t="s">
        <v>29</v>
      </c>
      <c r="C3087" s="16" t="s">
        <v>5888</v>
      </c>
      <c r="D3087" s="16" t="s">
        <v>5903</v>
      </c>
      <c r="E3087" s="17" t="s">
        <v>5904</v>
      </c>
      <c r="F3087" s="16" t="n">
        <v>34.639779</v>
      </c>
      <c r="G3087" s="16" t="n">
        <v>43.861341</v>
      </c>
      <c r="H3087" s="18" t="n">
        <v>145</v>
      </c>
      <c r="I3087" s="18" t="n">
        <v>870</v>
      </c>
      <c r="J3087" s="19"/>
      <c r="K3087" s="19"/>
      <c r="L3087" s="19"/>
      <c r="M3087" s="19"/>
      <c r="N3087" s="19"/>
      <c r="O3087" s="19"/>
      <c r="P3087" s="19"/>
      <c r="Q3087" s="19"/>
      <c r="R3087" s="19" t="n">
        <v>5</v>
      </c>
      <c r="S3087" s="19"/>
      <c r="T3087" s="19"/>
      <c r="U3087" s="19"/>
      <c r="V3087" s="19"/>
      <c r="W3087" s="19"/>
      <c r="X3087" s="19" t="n">
        <v>140</v>
      </c>
      <c r="Y3087" s="19"/>
      <c r="Z3087" s="19"/>
      <c r="AA3087" s="19"/>
      <c r="AB3087" s="19"/>
      <c r="AC3087" s="19"/>
      <c r="AD3087" s="19"/>
      <c r="AE3087" s="19" t="n">
        <v>145</v>
      </c>
      <c r="AF3087" s="19"/>
      <c r="AG3087" s="19"/>
      <c r="AH3087" s="19"/>
      <c r="AI3087" s="19"/>
      <c r="AJ3087" s="19"/>
      <c r="AK3087" s="19"/>
      <c r="AL3087" s="19"/>
      <c r="AM3087" s="19"/>
      <c r="AN3087" s="19"/>
      <c r="AO3087" s="19"/>
      <c r="AP3087" s="19"/>
      <c r="AQ3087" s="19" t="n">
        <v>145</v>
      </c>
      <c r="AR3087" s="19"/>
      <c r="AS3087" s="20" t="str">
        <f aca="false">HYPERLINK("http://www.openstreetmap.org/?mlat=34.6398&amp;mlon=43.8613&amp;zoom=12#map=12/34.6398/43.8613","Maplink1")</f>
        <v>Maplink1</v>
      </c>
      <c r="AT3087" s="20" t="str">
        <f aca="false">HYPERLINK("https://www.google.iq/maps/search/+34.6398,43.8613/@34.6398,43.8613,14z?hl=en","Maplink2")</f>
        <v>Maplink2</v>
      </c>
      <c r="AU3087" s="20" t="str">
        <f aca="false">HYPERLINK("http://www.bing.com/maps/?lvl=14&amp;sty=h&amp;cp=34.6398~43.8613&amp;sp=point.34.6398_43.8613","Maplink3")</f>
        <v>Maplink3</v>
      </c>
    </row>
    <row r="3088" customFormat="false" ht="15" hidden="false" customHeight="true" outlineLevel="0" collapsed="false">
      <c r="A3088" s="15" t="n">
        <v>24211</v>
      </c>
      <c r="B3088" s="16" t="s">
        <v>29</v>
      </c>
      <c r="C3088" s="16" t="s">
        <v>5888</v>
      </c>
      <c r="D3088" s="16" t="s">
        <v>5905</v>
      </c>
      <c r="E3088" s="17" t="s">
        <v>5906</v>
      </c>
      <c r="F3088" s="16" t="n">
        <v>34.66867403</v>
      </c>
      <c r="G3088" s="16" t="n">
        <v>43.87653096</v>
      </c>
      <c r="H3088" s="18" t="n">
        <v>35</v>
      </c>
      <c r="I3088" s="18" t="n">
        <v>210</v>
      </c>
      <c r="J3088" s="19"/>
      <c r="K3088" s="19"/>
      <c r="L3088" s="19"/>
      <c r="M3088" s="19"/>
      <c r="N3088" s="19"/>
      <c r="O3088" s="19"/>
      <c r="P3088" s="19"/>
      <c r="Q3088" s="19"/>
      <c r="R3088" s="19"/>
      <c r="S3088" s="19"/>
      <c r="T3088" s="19"/>
      <c r="U3088" s="19"/>
      <c r="V3088" s="19"/>
      <c r="W3088" s="19"/>
      <c r="X3088" s="19" t="n">
        <v>35</v>
      </c>
      <c r="Y3088" s="19"/>
      <c r="Z3088" s="19"/>
      <c r="AA3088" s="19"/>
      <c r="AB3088" s="19"/>
      <c r="AC3088" s="19"/>
      <c r="AD3088" s="19"/>
      <c r="AE3088" s="19"/>
      <c r="AF3088" s="19"/>
      <c r="AG3088" s="19"/>
      <c r="AH3088" s="19"/>
      <c r="AI3088" s="19" t="n">
        <v>35</v>
      </c>
      <c r="AJ3088" s="19"/>
      <c r="AK3088" s="19"/>
      <c r="AL3088" s="19"/>
      <c r="AM3088" s="19"/>
      <c r="AN3088" s="19"/>
      <c r="AO3088" s="19"/>
      <c r="AP3088" s="19"/>
      <c r="AQ3088" s="19" t="n">
        <v>35</v>
      </c>
      <c r="AR3088" s="19"/>
      <c r="AS3088" s="20" t="str">
        <f aca="false">HYPERLINK("http://www.openstreetmap.org/?mlat=34.6687&amp;mlon=43.8765&amp;zoom=12#map=12/34.6687/43.8765","Maplink1")</f>
        <v>Maplink1</v>
      </c>
      <c r="AT3088" s="20" t="str">
        <f aca="false">HYPERLINK("https://www.google.iq/maps/search/+34.6687,43.8765/@34.6687,43.8765,14z?hl=en","Maplink2")</f>
        <v>Maplink2</v>
      </c>
      <c r="AU3088" s="20" t="str">
        <f aca="false">HYPERLINK("http://www.bing.com/maps/?lvl=14&amp;sty=h&amp;cp=34.6687~43.8765&amp;sp=point.34.6687_43.8765","Maplink3")</f>
        <v>Maplink3</v>
      </c>
    </row>
    <row r="3089" customFormat="false" ht="15" hidden="false" customHeight="true" outlineLevel="0" collapsed="false">
      <c r="A3089" s="15" t="n">
        <v>27231</v>
      </c>
      <c r="B3089" s="16" t="s">
        <v>29</v>
      </c>
      <c r="C3089" s="16" t="s">
        <v>5888</v>
      </c>
      <c r="D3089" s="16" t="s">
        <v>5907</v>
      </c>
      <c r="E3089" s="17" t="s">
        <v>5908</v>
      </c>
      <c r="F3089" s="16" t="n">
        <v>34.66820665</v>
      </c>
      <c r="G3089" s="16" t="n">
        <v>43.725525</v>
      </c>
      <c r="H3089" s="18" t="n">
        <v>77</v>
      </c>
      <c r="I3089" s="18" t="n">
        <v>462</v>
      </c>
      <c r="J3089" s="19"/>
      <c r="K3089" s="19"/>
      <c r="L3089" s="19"/>
      <c r="M3089" s="19"/>
      <c r="N3089" s="19"/>
      <c r="O3089" s="19"/>
      <c r="P3089" s="19"/>
      <c r="Q3089" s="19"/>
      <c r="R3089" s="19" t="n">
        <v>23</v>
      </c>
      <c r="S3089" s="19"/>
      <c r="T3089" s="19"/>
      <c r="U3089" s="19"/>
      <c r="V3089" s="19"/>
      <c r="W3089" s="19"/>
      <c r="X3089" s="19" t="n">
        <v>54</v>
      </c>
      <c r="Y3089" s="19"/>
      <c r="Z3089" s="19"/>
      <c r="AA3089" s="19"/>
      <c r="AB3089" s="19"/>
      <c r="AC3089" s="19"/>
      <c r="AD3089" s="19"/>
      <c r="AE3089" s="19"/>
      <c r="AF3089" s="19"/>
      <c r="AG3089" s="19"/>
      <c r="AH3089" s="19" t="n">
        <v>10</v>
      </c>
      <c r="AI3089" s="19" t="n">
        <v>7</v>
      </c>
      <c r="AJ3089" s="19" t="n">
        <v>60</v>
      </c>
      <c r="AK3089" s="19"/>
      <c r="AL3089" s="19"/>
      <c r="AM3089" s="19"/>
      <c r="AN3089" s="19"/>
      <c r="AO3089" s="19"/>
      <c r="AP3089" s="19"/>
      <c r="AQ3089" s="19" t="n">
        <v>77</v>
      </c>
      <c r="AR3089" s="19"/>
      <c r="AS3089" s="20" t="str">
        <f aca="false">HYPERLINK("http://www.openstreetmap.org/?mlat=34.6682&amp;mlon=43.7255&amp;zoom=12#map=12/34.6682/43.7255","Maplink1")</f>
        <v>Maplink1</v>
      </c>
      <c r="AT3089" s="20" t="str">
        <f aca="false">HYPERLINK("https://www.google.iq/maps/search/+34.6682,43.7255/@34.6682,43.7255,14z?hl=en","Maplink2")</f>
        <v>Maplink2</v>
      </c>
      <c r="AU3089" s="20" t="str">
        <f aca="false">HYPERLINK("http://www.bing.com/maps/?lvl=14&amp;sty=h&amp;cp=34.6682~43.7255&amp;sp=point.34.6682_43.7255","Maplink3")</f>
        <v>Maplink3</v>
      </c>
    </row>
    <row r="3090" customFormat="false" ht="15" hidden="false" customHeight="true" outlineLevel="0" collapsed="false">
      <c r="A3090" s="15" t="n">
        <v>21357</v>
      </c>
      <c r="B3090" s="16" t="s">
        <v>29</v>
      </c>
      <c r="C3090" s="16" t="s">
        <v>5888</v>
      </c>
      <c r="D3090" s="16" t="s">
        <v>5909</v>
      </c>
      <c r="E3090" s="17" t="s">
        <v>5910</v>
      </c>
      <c r="F3090" s="16" t="n">
        <v>34.45852913</v>
      </c>
      <c r="G3090" s="16" t="n">
        <v>43.73613002</v>
      </c>
      <c r="H3090" s="18" t="n">
        <v>142</v>
      </c>
      <c r="I3090" s="18" t="n">
        <v>852</v>
      </c>
      <c r="J3090" s="19"/>
      <c r="K3090" s="19"/>
      <c r="L3090" s="19"/>
      <c r="M3090" s="19"/>
      <c r="N3090" s="19"/>
      <c r="O3090" s="19"/>
      <c r="P3090" s="19"/>
      <c r="Q3090" s="19"/>
      <c r="R3090" s="19"/>
      <c r="S3090" s="19"/>
      <c r="T3090" s="19"/>
      <c r="U3090" s="19"/>
      <c r="V3090" s="19"/>
      <c r="W3090" s="19"/>
      <c r="X3090" s="19" t="n">
        <v>142</v>
      </c>
      <c r="Y3090" s="19"/>
      <c r="Z3090" s="19"/>
      <c r="AA3090" s="19"/>
      <c r="AB3090" s="19"/>
      <c r="AC3090" s="19" t="n">
        <v>90</v>
      </c>
      <c r="AD3090" s="19"/>
      <c r="AE3090" s="19"/>
      <c r="AF3090" s="19"/>
      <c r="AG3090" s="19"/>
      <c r="AH3090" s="19" t="n">
        <v>52</v>
      </c>
      <c r="AI3090" s="19"/>
      <c r="AJ3090" s="19"/>
      <c r="AK3090" s="19"/>
      <c r="AL3090" s="19"/>
      <c r="AM3090" s="19"/>
      <c r="AN3090" s="19"/>
      <c r="AO3090" s="19"/>
      <c r="AP3090" s="19"/>
      <c r="AQ3090" s="19" t="n">
        <v>142</v>
      </c>
      <c r="AR3090" s="19"/>
      <c r="AS3090" s="20" t="str">
        <f aca="false">HYPERLINK("http://www.openstreetmap.org/?mlat=34.4585&amp;mlon=43.7361&amp;zoom=12#map=12/34.4585/43.7361","Maplink1")</f>
        <v>Maplink1</v>
      </c>
      <c r="AT3090" s="20" t="str">
        <f aca="false">HYPERLINK("https://www.google.iq/maps/search/+34.4585,43.7361/@34.4585,43.7361,14z?hl=en","Maplink2")</f>
        <v>Maplink2</v>
      </c>
      <c r="AU3090" s="20" t="str">
        <f aca="false">HYPERLINK("http://www.bing.com/maps/?lvl=14&amp;sty=h&amp;cp=34.4585~43.7361&amp;sp=point.34.4585_43.7361","Maplink3")</f>
        <v>Maplink3</v>
      </c>
    </row>
    <row r="3091" customFormat="false" ht="15" hidden="false" customHeight="true" outlineLevel="0" collapsed="false">
      <c r="A3091" s="15" t="n">
        <v>29589</v>
      </c>
      <c r="B3091" s="16" t="s">
        <v>29</v>
      </c>
      <c r="C3091" s="16" t="s">
        <v>5888</v>
      </c>
      <c r="D3091" s="16" t="s">
        <v>5911</v>
      </c>
      <c r="E3091" s="17" t="s">
        <v>5912</v>
      </c>
      <c r="F3091" s="16" t="n">
        <v>34.65555556</v>
      </c>
      <c r="G3091" s="16" t="n">
        <v>43.71305556</v>
      </c>
      <c r="H3091" s="18" t="n">
        <v>50</v>
      </c>
      <c r="I3091" s="18" t="n">
        <v>300</v>
      </c>
      <c r="J3091" s="19"/>
      <c r="K3091" s="19"/>
      <c r="L3091" s="19"/>
      <c r="M3091" s="19"/>
      <c r="N3091" s="19"/>
      <c r="O3091" s="19"/>
      <c r="P3091" s="19"/>
      <c r="Q3091" s="19"/>
      <c r="R3091" s="19" t="n">
        <v>10</v>
      </c>
      <c r="S3091" s="19"/>
      <c r="T3091" s="19"/>
      <c r="U3091" s="19"/>
      <c r="V3091" s="19"/>
      <c r="W3091" s="19"/>
      <c r="X3091" s="19" t="n">
        <v>40</v>
      </c>
      <c r="Y3091" s="19"/>
      <c r="Z3091" s="19"/>
      <c r="AA3091" s="19"/>
      <c r="AB3091" s="19"/>
      <c r="AC3091" s="19" t="n">
        <v>20</v>
      </c>
      <c r="AD3091" s="19"/>
      <c r="AE3091" s="19" t="n">
        <v>20</v>
      </c>
      <c r="AF3091" s="19"/>
      <c r="AG3091" s="19"/>
      <c r="AH3091" s="19"/>
      <c r="AI3091" s="19"/>
      <c r="AJ3091" s="19" t="n">
        <v>10</v>
      </c>
      <c r="AK3091" s="19"/>
      <c r="AL3091" s="19"/>
      <c r="AM3091" s="19"/>
      <c r="AN3091" s="19"/>
      <c r="AO3091" s="19"/>
      <c r="AP3091" s="19"/>
      <c r="AQ3091" s="19" t="n">
        <v>50</v>
      </c>
      <c r="AR3091" s="19"/>
      <c r="AS3091" s="20" t="str">
        <f aca="false">HYPERLINK("http://www.openstreetmap.org/?mlat=34.6556&amp;mlon=43.7131&amp;zoom=12#map=12/34.6556/43.7131","Maplink1")</f>
        <v>Maplink1</v>
      </c>
      <c r="AT3091" s="20" t="str">
        <f aca="false">HYPERLINK("https://www.google.iq/maps/search/+34.6556,43.7131/@34.6556,43.7131,14z?hl=en","Maplink2")</f>
        <v>Maplink2</v>
      </c>
      <c r="AU3091" s="20" t="str">
        <f aca="false">HYPERLINK("http://www.bing.com/maps/?lvl=14&amp;sty=h&amp;cp=34.6556~43.7131&amp;sp=point.34.6556_43.7131","Maplink3")</f>
        <v>Maplink3</v>
      </c>
    </row>
    <row r="3092" customFormat="false" ht="15" hidden="false" customHeight="true" outlineLevel="0" collapsed="false">
      <c r="A3092" s="15" t="n">
        <v>20642</v>
      </c>
      <c r="B3092" s="16" t="s">
        <v>29</v>
      </c>
      <c r="C3092" s="16" t="s">
        <v>5888</v>
      </c>
      <c r="D3092" s="16" t="s">
        <v>5913</v>
      </c>
      <c r="E3092" s="17" t="s">
        <v>5914</v>
      </c>
      <c r="F3092" s="16" t="n">
        <v>34.69029787</v>
      </c>
      <c r="G3092" s="16" t="n">
        <v>43.62441</v>
      </c>
      <c r="H3092" s="18" t="n">
        <v>217</v>
      </c>
      <c r="I3092" s="18" t="n">
        <v>1302</v>
      </c>
      <c r="J3092" s="19"/>
      <c r="K3092" s="19"/>
      <c r="L3092" s="19"/>
      <c r="M3092" s="19"/>
      <c r="N3092" s="19"/>
      <c r="O3092" s="19"/>
      <c r="P3092" s="19"/>
      <c r="Q3092" s="19"/>
      <c r="R3092" s="19"/>
      <c r="S3092" s="19"/>
      <c r="T3092" s="19"/>
      <c r="U3092" s="19"/>
      <c r="V3092" s="19" t="n">
        <v>2</v>
      </c>
      <c r="W3092" s="19"/>
      <c r="X3092" s="19" t="n">
        <v>215</v>
      </c>
      <c r="Y3092" s="19"/>
      <c r="Z3092" s="19"/>
      <c r="AA3092" s="19"/>
      <c r="AB3092" s="19"/>
      <c r="AC3092" s="19" t="n">
        <v>165</v>
      </c>
      <c r="AD3092" s="19"/>
      <c r="AE3092" s="19" t="n">
        <v>12</v>
      </c>
      <c r="AF3092" s="19"/>
      <c r="AG3092" s="19"/>
      <c r="AH3092" s="19" t="n">
        <v>32</v>
      </c>
      <c r="AI3092" s="19"/>
      <c r="AJ3092" s="19" t="n">
        <v>8</v>
      </c>
      <c r="AK3092" s="19"/>
      <c r="AL3092" s="19"/>
      <c r="AM3092" s="19"/>
      <c r="AN3092" s="19"/>
      <c r="AO3092" s="19"/>
      <c r="AP3092" s="19" t="n">
        <v>21</v>
      </c>
      <c r="AQ3092" s="19" t="n">
        <v>194</v>
      </c>
      <c r="AR3092" s="19" t="n">
        <v>2</v>
      </c>
      <c r="AS3092" s="20" t="str">
        <f aca="false">HYPERLINK("http://www.openstreetmap.org/?mlat=34.6903&amp;mlon=43.6244&amp;zoom=12#map=12/34.6903/43.6244","Maplink1")</f>
        <v>Maplink1</v>
      </c>
      <c r="AT3092" s="20" t="str">
        <f aca="false">HYPERLINK("https://www.google.iq/maps/search/+34.6903,43.6244/@34.6903,43.6244,14z?hl=en","Maplink2")</f>
        <v>Maplink2</v>
      </c>
      <c r="AU3092" s="20" t="str">
        <f aca="false">HYPERLINK("http://www.bing.com/maps/?lvl=14&amp;sty=h&amp;cp=34.6903~43.6244&amp;sp=point.34.6903_43.6244","Maplink3")</f>
        <v>Maplink3</v>
      </c>
    </row>
    <row r="3093" customFormat="false" ht="15" hidden="false" customHeight="true" outlineLevel="0" collapsed="false">
      <c r="A3093" s="15" t="n">
        <v>28419</v>
      </c>
      <c r="B3093" s="16" t="s">
        <v>29</v>
      </c>
      <c r="C3093" s="16" t="s">
        <v>5888</v>
      </c>
      <c r="D3093" s="16" t="s">
        <v>5915</v>
      </c>
      <c r="E3093" s="17" t="s">
        <v>5916</v>
      </c>
      <c r="F3093" s="16" t="n">
        <v>34.72539703</v>
      </c>
      <c r="G3093" s="16" t="n">
        <v>43.59572368</v>
      </c>
      <c r="H3093" s="18" t="n">
        <v>400</v>
      </c>
      <c r="I3093" s="18" t="n">
        <v>2400</v>
      </c>
      <c r="J3093" s="19"/>
      <c r="K3093" s="19"/>
      <c r="L3093" s="19"/>
      <c r="M3093" s="19"/>
      <c r="N3093" s="19"/>
      <c r="O3093" s="19"/>
      <c r="P3093" s="19"/>
      <c r="Q3093" s="19"/>
      <c r="R3093" s="19"/>
      <c r="S3093" s="19"/>
      <c r="T3093" s="19"/>
      <c r="U3093" s="19"/>
      <c r="V3093" s="19"/>
      <c r="W3093" s="19"/>
      <c r="X3093" s="19" t="n">
        <v>400</v>
      </c>
      <c r="Y3093" s="19"/>
      <c r="Z3093" s="19"/>
      <c r="AA3093" s="19"/>
      <c r="AB3093" s="19"/>
      <c r="AC3093" s="19" t="n">
        <v>222</v>
      </c>
      <c r="AD3093" s="19"/>
      <c r="AE3093" s="19" t="n">
        <v>152</v>
      </c>
      <c r="AF3093" s="19"/>
      <c r="AG3093" s="19"/>
      <c r="AH3093" s="19"/>
      <c r="AI3093" s="19"/>
      <c r="AJ3093" s="19" t="n">
        <v>26</v>
      </c>
      <c r="AK3093" s="19"/>
      <c r="AL3093" s="19"/>
      <c r="AM3093" s="19"/>
      <c r="AN3093" s="19"/>
      <c r="AO3093" s="19"/>
      <c r="AP3093" s="19"/>
      <c r="AQ3093" s="19" t="n">
        <v>400</v>
      </c>
      <c r="AR3093" s="19"/>
      <c r="AS3093" s="20" t="str">
        <f aca="false">HYPERLINK("http://www.openstreetmap.org/?mlat=34.7254&amp;mlon=43.5957&amp;zoom=12#map=12/34.7254/43.5957","Maplink1")</f>
        <v>Maplink1</v>
      </c>
      <c r="AT3093" s="20" t="str">
        <f aca="false">HYPERLINK("https://www.google.iq/maps/search/+34.7254,43.5957/@34.7254,43.5957,14z?hl=en","Maplink2")</f>
        <v>Maplink2</v>
      </c>
      <c r="AU3093" s="20" t="str">
        <f aca="false">HYPERLINK("http://www.bing.com/maps/?lvl=14&amp;sty=h&amp;cp=34.7254~43.5957&amp;sp=point.34.7254_43.5957","Maplink3")</f>
        <v>Maplink3</v>
      </c>
    </row>
    <row r="3094" customFormat="false" ht="15" hidden="false" customHeight="true" outlineLevel="0" collapsed="false">
      <c r="A3094" s="15" t="n">
        <v>23918</v>
      </c>
      <c r="B3094" s="16" t="s">
        <v>29</v>
      </c>
      <c r="C3094" s="16" t="s">
        <v>5888</v>
      </c>
      <c r="D3094" s="16" t="s">
        <v>5917</v>
      </c>
      <c r="E3094" s="17" t="s">
        <v>5918</v>
      </c>
      <c r="F3094" s="16" t="n">
        <v>34.62745128</v>
      </c>
      <c r="G3094" s="16" t="n">
        <v>43.66986475</v>
      </c>
      <c r="H3094" s="18" t="n">
        <v>1594</v>
      </c>
      <c r="I3094" s="18" t="n">
        <v>9564</v>
      </c>
      <c r="J3094" s="19"/>
      <c r="K3094" s="19"/>
      <c r="L3094" s="19"/>
      <c r="M3094" s="19"/>
      <c r="N3094" s="19"/>
      <c r="O3094" s="19"/>
      <c r="P3094" s="19"/>
      <c r="Q3094" s="19"/>
      <c r="R3094" s="19" t="n">
        <v>152</v>
      </c>
      <c r="S3094" s="19"/>
      <c r="T3094" s="19"/>
      <c r="U3094" s="19"/>
      <c r="V3094" s="19" t="n">
        <v>393</v>
      </c>
      <c r="W3094" s="19"/>
      <c r="X3094" s="19" t="n">
        <v>1049</v>
      </c>
      <c r="Y3094" s="19"/>
      <c r="Z3094" s="19"/>
      <c r="AA3094" s="19"/>
      <c r="AB3094" s="19"/>
      <c r="AC3094" s="19" t="n">
        <v>40</v>
      </c>
      <c r="AD3094" s="19"/>
      <c r="AE3094" s="19" t="n">
        <v>440</v>
      </c>
      <c r="AF3094" s="19"/>
      <c r="AG3094" s="19"/>
      <c r="AH3094" s="19" t="n">
        <v>700</v>
      </c>
      <c r="AI3094" s="19" t="n">
        <v>54</v>
      </c>
      <c r="AJ3094" s="19" t="n">
        <v>360</v>
      </c>
      <c r="AK3094" s="19"/>
      <c r="AL3094" s="19"/>
      <c r="AM3094" s="19"/>
      <c r="AN3094" s="19"/>
      <c r="AO3094" s="19"/>
      <c r="AP3094" s="19" t="n">
        <v>306</v>
      </c>
      <c r="AQ3094" s="19" t="n">
        <v>916</v>
      </c>
      <c r="AR3094" s="19" t="n">
        <v>372</v>
      </c>
      <c r="AS3094" s="20" t="str">
        <f aca="false">HYPERLINK("http://www.openstreetmap.org/?mlat=34.6275&amp;mlon=43.6699&amp;zoom=12#map=12/34.6275/43.6699","Maplink1")</f>
        <v>Maplink1</v>
      </c>
      <c r="AT3094" s="20" t="str">
        <f aca="false">HYPERLINK("https://www.google.iq/maps/search/+34.6275,43.6699/@34.6275,43.6699,14z?hl=en","Maplink2")</f>
        <v>Maplink2</v>
      </c>
      <c r="AU3094" s="20" t="str">
        <f aca="false">HYPERLINK("http://www.bing.com/maps/?lvl=14&amp;sty=h&amp;cp=34.6275~43.6699&amp;sp=point.34.6275_43.6699","Maplink3")</f>
        <v>Maplink3</v>
      </c>
    </row>
    <row r="3095" customFormat="false" ht="15" hidden="false" customHeight="true" outlineLevel="0" collapsed="false">
      <c r="A3095" s="15" t="n">
        <v>20631</v>
      </c>
      <c r="B3095" s="16" t="s">
        <v>29</v>
      </c>
      <c r="C3095" s="16" t="s">
        <v>5888</v>
      </c>
      <c r="D3095" s="16" t="s">
        <v>5919</v>
      </c>
      <c r="E3095" s="17" t="s">
        <v>5920</v>
      </c>
      <c r="F3095" s="16" t="n">
        <v>34.69406859</v>
      </c>
      <c r="G3095" s="16" t="n">
        <v>43.61725638</v>
      </c>
      <c r="H3095" s="18" t="n">
        <v>45</v>
      </c>
      <c r="I3095" s="18" t="n">
        <v>270</v>
      </c>
      <c r="J3095" s="19"/>
      <c r="K3095" s="19"/>
      <c r="L3095" s="19"/>
      <c r="M3095" s="19"/>
      <c r="N3095" s="19"/>
      <c r="O3095" s="19"/>
      <c r="P3095" s="19"/>
      <c r="Q3095" s="19"/>
      <c r="R3095" s="19"/>
      <c r="S3095" s="19"/>
      <c r="T3095" s="19"/>
      <c r="U3095" s="19"/>
      <c r="V3095" s="19"/>
      <c r="W3095" s="19"/>
      <c r="X3095" s="19" t="n">
        <v>45</v>
      </c>
      <c r="Y3095" s="19"/>
      <c r="Z3095" s="19"/>
      <c r="AA3095" s="19"/>
      <c r="AB3095" s="19"/>
      <c r="AC3095" s="19" t="n">
        <v>27</v>
      </c>
      <c r="AD3095" s="19"/>
      <c r="AE3095" s="19" t="n">
        <v>8</v>
      </c>
      <c r="AF3095" s="19"/>
      <c r="AG3095" s="19"/>
      <c r="AH3095" s="19" t="n">
        <v>10</v>
      </c>
      <c r="AI3095" s="19"/>
      <c r="AJ3095" s="19"/>
      <c r="AK3095" s="19"/>
      <c r="AL3095" s="19"/>
      <c r="AM3095" s="19"/>
      <c r="AN3095" s="19"/>
      <c r="AO3095" s="19"/>
      <c r="AP3095" s="19"/>
      <c r="AQ3095" s="19" t="n">
        <v>42</v>
      </c>
      <c r="AR3095" s="19" t="n">
        <v>3</v>
      </c>
      <c r="AS3095" s="20" t="str">
        <f aca="false">HYPERLINK("http://www.openstreetmap.org/?mlat=34.6941&amp;mlon=43.6173&amp;zoom=12#map=12/34.6941/43.6173","Maplink1")</f>
        <v>Maplink1</v>
      </c>
      <c r="AT3095" s="20" t="str">
        <f aca="false">HYPERLINK("https://www.google.iq/maps/search/+34.6941,43.6173/@34.6941,43.6173,14z?hl=en","Maplink2")</f>
        <v>Maplink2</v>
      </c>
      <c r="AU3095" s="20" t="str">
        <f aca="false">HYPERLINK("http://www.bing.com/maps/?lvl=14&amp;sty=h&amp;cp=34.6941~43.6173&amp;sp=point.34.6941_43.6173","Maplink3")</f>
        <v>Maplink3</v>
      </c>
    </row>
    <row r="3096" customFormat="false" ht="15" hidden="false" customHeight="true" outlineLevel="0" collapsed="false">
      <c r="A3096" s="15" t="n">
        <v>20630</v>
      </c>
      <c r="B3096" s="16" t="s">
        <v>29</v>
      </c>
      <c r="C3096" s="16" t="s">
        <v>5888</v>
      </c>
      <c r="D3096" s="16" t="s">
        <v>5921</v>
      </c>
      <c r="E3096" s="17" t="s">
        <v>5922</v>
      </c>
      <c r="F3096" s="16" t="n">
        <v>34.7006576</v>
      </c>
      <c r="G3096" s="16" t="n">
        <v>43.616457</v>
      </c>
      <c r="H3096" s="18" t="n">
        <v>618</v>
      </c>
      <c r="I3096" s="18" t="n">
        <v>3708</v>
      </c>
      <c r="J3096" s="19"/>
      <c r="K3096" s="19"/>
      <c r="L3096" s="19"/>
      <c r="M3096" s="19"/>
      <c r="N3096" s="19"/>
      <c r="O3096" s="19"/>
      <c r="P3096" s="19"/>
      <c r="Q3096" s="19"/>
      <c r="R3096" s="19" t="n">
        <v>258</v>
      </c>
      <c r="S3096" s="19"/>
      <c r="T3096" s="19"/>
      <c r="U3096" s="19"/>
      <c r="V3096" s="19" t="n">
        <v>22</v>
      </c>
      <c r="W3096" s="19"/>
      <c r="X3096" s="19" t="n">
        <v>338</v>
      </c>
      <c r="Y3096" s="19"/>
      <c r="Z3096" s="19"/>
      <c r="AA3096" s="19"/>
      <c r="AB3096" s="19" t="n">
        <v>280</v>
      </c>
      <c r="AC3096" s="19" t="n">
        <v>76</v>
      </c>
      <c r="AD3096" s="19"/>
      <c r="AE3096" s="19" t="n">
        <v>61</v>
      </c>
      <c r="AF3096" s="19"/>
      <c r="AG3096" s="19"/>
      <c r="AH3096" s="19" t="n">
        <v>80</v>
      </c>
      <c r="AI3096" s="19"/>
      <c r="AJ3096" s="19" t="n">
        <v>121</v>
      </c>
      <c r="AK3096" s="19"/>
      <c r="AL3096" s="19"/>
      <c r="AM3096" s="19"/>
      <c r="AN3096" s="19" t="n">
        <v>30</v>
      </c>
      <c r="AO3096" s="19" t="n">
        <v>30</v>
      </c>
      <c r="AP3096" s="19" t="n">
        <v>20</v>
      </c>
      <c r="AQ3096" s="19" t="n">
        <v>357</v>
      </c>
      <c r="AR3096" s="19" t="n">
        <v>181</v>
      </c>
      <c r="AS3096" s="20" t="str">
        <f aca="false">HYPERLINK("http://www.openstreetmap.org/?mlat=34.7007&amp;mlon=43.6165&amp;zoom=12#map=12/34.7007/43.6165","Maplink1")</f>
        <v>Maplink1</v>
      </c>
      <c r="AT3096" s="20" t="str">
        <f aca="false">HYPERLINK("https://www.google.iq/maps/search/+34.7007,43.6165/@34.7007,43.6165,14z?hl=en","Maplink2")</f>
        <v>Maplink2</v>
      </c>
      <c r="AU3096" s="20" t="str">
        <f aca="false">HYPERLINK("http://www.bing.com/maps/?lvl=14&amp;sty=h&amp;cp=34.7007~43.6165&amp;sp=point.34.7007_43.6165","Maplink3")</f>
        <v>Maplink3</v>
      </c>
    </row>
    <row r="3097" customFormat="false" ht="15" hidden="false" customHeight="true" outlineLevel="0" collapsed="false">
      <c r="A3097" s="15" t="n">
        <v>24248</v>
      </c>
      <c r="B3097" s="16" t="s">
        <v>29</v>
      </c>
      <c r="C3097" s="16" t="s">
        <v>5888</v>
      </c>
      <c r="D3097" s="16" t="s">
        <v>5923</v>
      </c>
      <c r="E3097" s="17" t="s">
        <v>5924</v>
      </c>
      <c r="F3097" s="16" t="n">
        <v>34.66514471</v>
      </c>
      <c r="G3097" s="16" t="n">
        <v>43.72173706</v>
      </c>
      <c r="H3097" s="18" t="n">
        <v>465</v>
      </c>
      <c r="I3097" s="18" t="n">
        <v>2790</v>
      </c>
      <c r="J3097" s="19"/>
      <c r="K3097" s="19"/>
      <c r="L3097" s="19"/>
      <c r="M3097" s="19"/>
      <c r="N3097" s="19"/>
      <c r="O3097" s="19"/>
      <c r="P3097" s="19"/>
      <c r="Q3097" s="19"/>
      <c r="R3097" s="19" t="n">
        <v>325</v>
      </c>
      <c r="S3097" s="19"/>
      <c r="T3097" s="19"/>
      <c r="U3097" s="19"/>
      <c r="V3097" s="19"/>
      <c r="W3097" s="19"/>
      <c r="X3097" s="19" t="n">
        <v>140</v>
      </c>
      <c r="Y3097" s="19"/>
      <c r="Z3097" s="19"/>
      <c r="AA3097" s="19"/>
      <c r="AB3097" s="19"/>
      <c r="AC3097" s="19"/>
      <c r="AD3097" s="19"/>
      <c r="AE3097" s="19" t="n">
        <v>100</v>
      </c>
      <c r="AF3097" s="19"/>
      <c r="AG3097" s="19"/>
      <c r="AH3097" s="19" t="n">
        <v>195</v>
      </c>
      <c r="AI3097" s="19" t="n">
        <v>6</v>
      </c>
      <c r="AJ3097" s="19" t="n">
        <v>164</v>
      </c>
      <c r="AK3097" s="19"/>
      <c r="AL3097" s="19"/>
      <c r="AM3097" s="19"/>
      <c r="AN3097" s="19"/>
      <c r="AO3097" s="19"/>
      <c r="AP3097" s="19" t="n">
        <v>195</v>
      </c>
      <c r="AQ3097" s="19" t="n">
        <v>76</v>
      </c>
      <c r="AR3097" s="19" t="n">
        <v>194</v>
      </c>
      <c r="AS3097" s="20" t="str">
        <f aca="false">HYPERLINK("http://www.openstreetmap.org/?mlat=34.6651&amp;mlon=43.7217&amp;zoom=12#map=12/34.6651/43.7217","Maplink1")</f>
        <v>Maplink1</v>
      </c>
      <c r="AT3097" s="20" t="str">
        <f aca="false">HYPERLINK("https://www.google.iq/maps/search/+34.6651,43.7217/@34.6651,43.7217,14z?hl=en","Maplink2")</f>
        <v>Maplink2</v>
      </c>
      <c r="AU3097" s="20" t="str">
        <f aca="false">HYPERLINK("http://www.bing.com/maps/?lvl=14&amp;sty=h&amp;cp=34.6651~43.7217&amp;sp=point.34.6651_43.7217","Maplink3")</f>
        <v>Maplink3</v>
      </c>
    </row>
    <row r="3098" customFormat="false" ht="15" hidden="false" customHeight="true" outlineLevel="0" collapsed="false">
      <c r="A3098" s="15" t="n">
        <v>23527</v>
      </c>
      <c r="B3098" s="16" t="s">
        <v>29</v>
      </c>
      <c r="C3098" s="16" t="s">
        <v>5888</v>
      </c>
      <c r="D3098" s="16" t="s">
        <v>5925</v>
      </c>
      <c r="E3098" s="17" t="s">
        <v>5926</v>
      </c>
      <c r="F3098" s="16" t="n">
        <v>34.828764</v>
      </c>
      <c r="G3098" s="16" t="n">
        <v>43.910208</v>
      </c>
      <c r="H3098" s="18" t="n">
        <v>25</v>
      </c>
      <c r="I3098" s="18" t="n">
        <v>150</v>
      </c>
      <c r="J3098" s="19"/>
      <c r="K3098" s="19"/>
      <c r="L3098" s="19"/>
      <c r="M3098" s="19"/>
      <c r="N3098" s="19"/>
      <c r="O3098" s="19"/>
      <c r="P3098" s="19"/>
      <c r="Q3098" s="19"/>
      <c r="R3098" s="19" t="n">
        <v>2</v>
      </c>
      <c r="S3098" s="19"/>
      <c r="T3098" s="19"/>
      <c r="U3098" s="19"/>
      <c r="V3098" s="19"/>
      <c r="W3098" s="19"/>
      <c r="X3098" s="19" t="n">
        <v>23</v>
      </c>
      <c r="Y3098" s="19"/>
      <c r="Z3098" s="19"/>
      <c r="AA3098" s="19"/>
      <c r="AB3098" s="19"/>
      <c r="AC3098" s="19"/>
      <c r="AD3098" s="19"/>
      <c r="AE3098" s="19"/>
      <c r="AF3098" s="19"/>
      <c r="AG3098" s="19"/>
      <c r="AH3098" s="19" t="n">
        <v>25</v>
      </c>
      <c r="AI3098" s="19"/>
      <c r="AJ3098" s="19"/>
      <c r="AK3098" s="19"/>
      <c r="AL3098" s="19"/>
      <c r="AM3098" s="19"/>
      <c r="AN3098" s="19"/>
      <c r="AO3098" s="19"/>
      <c r="AP3098" s="19"/>
      <c r="AQ3098" s="19" t="n">
        <v>25</v>
      </c>
      <c r="AR3098" s="19"/>
      <c r="AS3098" s="20" t="str">
        <f aca="false">HYPERLINK("http://www.openstreetmap.org/?mlat=34.8288&amp;mlon=43.9102&amp;zoom=12#map=12/34.8288/43.9102","Maplink1")</f>
        <v>Maplink1</v>
      </c>
      <c r="AT3098" s="20" t="str">
        <f aca="false">HYPERLINK("https://www.google.iq/maps/search/+34.8288,43.9102/@34.8288,43.9102,14z?hl=en","Maplink2")</f>
        <v>Maplink2</v>
      </c>
      <c r="AU3098" s="20" t="str">
        <f aca="false">HYPERLINK("http://www.bing.com/maps/?lvl=14&amp;sty=h&amp;cp=34.8288~43.9102&amp;sp=point.34.8288_43.9102","Maplink3")</f>
        <v>Maplink3</v>
      </c>
    </row>
    <row r="3099" customFormat="false" ht="15" hidden="false" customHeight="true" outlineLevel="0" collapsed="false">
      <c r="A3099" s="15" t="n">
        <v>20618</v>
      </c>
      <c r="B3099" s="16" t="s">
        <v>29</v>
      </c>
      <c r="C3099" s="16" t="s">
        <v>5888</v>
      </c>
      <c r="D3099" s="16" t="s">
        <v>5927</v>
      </c>
      <c r="E3099" s="17" t="s">
        <v>5928</v>
      </c>
      <c r="F3099" s="16" t="n">
        <v>34.7009958</v>
      </c>
      <c r="G3099" s="16" t="n">
        <v>43.6165504</v>
      </c>
      <c r="H3099" s="18" t="n">
        <v>319</v>
      </c>
      <c r="I3099" s="18" t="n">
        <v>1914</v>
      </c>
      <c r="J3099" s="19"/>
      <c r="K3099" s="19"/>
      <c r="L3099" s="19"/>
      <c r="M3099" s="19"/>
      <c r="N3099" s="19"/>
      <c r="O3099" s="19"/>
      <c r="P3099" s="19"/>
      <c r="Q3099" s="19"/>
      <c r="R3099" s="19"/>
      <c r="S3099" s="19"/>
      <c r="T3099" s="19"/>
      <c r="U3099" s="19"/>
      <c r="V3099" s="19" t="n">
        <v>28</v>
      </c>
      <c r="W3099" s="19"/>
      <c r="X3099" s="19" t="n">
        <v>291</v>
      </c>
      <c r="Y3099" s="19"/>
      <c r="Z3099" s="19"/>
      <c r="AA3099" s="19"/>
      <c r="AB3099" s="19"/>
      <c r="AC3099" s="19" t="n">
        <v>65</v>
      </c>
      <c r="AD3099" s="19"/>
      <c r="AE3099" s="19" t="n">
        <v>51</v>
      </c>
      <c r="AF3099" s="19"/>
      <c r="AG3099" s="19"/>
      <c r="AH3099" s="19" t="n">
        <v>115</v>
      </c>
      <c r="AI3099" s="19"/>
      <c r="AJ3099" s="19" t="n">
        <v>88</v>
      </c>
      <c r="AK3099" s="19"/>
      <c r="AL3099" s="19"/>
      <c r="AM3099" s="19"/>
      <c r="AN3099" s="19"/>
      <c r="AO3099" s="19"/>
      <c r="AP3099" s="19" t="n">
        <v>20</v>
      </c>
      <c r="AQ3099" s="19" t="n">
        <v>262</v>
      </c>
      <c r="AR3099" s="19" t="n">
        <v>37</v>
      </c>
      <c r="AS3099" s="20" t="str">
        <f aca="false">HYPERLINK("http://www.openstreetmap.org/?mlat=34.701&amp;mlon=43.6166&amp;zoom=12#map=12/34.701/43.6166","Maplink1")</f>
        <v>Maplink1</v>
      </c>
      <c r="AT3099" s="20" t="str">
        <f aca="false">HYPERLINK("https://www.google.iq/maps/search/+34.701,43.6166/@34.701,43.6166,14z?hl=en","Maplink2")</f>
        <v>Maplink2</v>
      </c>
      <c r="AU3099" s="20" t="str">
        <f aca="false">HYPERLINK("http://www.bing.com/maps/?lvl=14&amp;sty=h&amp;cp=34.701~43.6166&amp;sp=point.34.701_43.6166","Maplink3")</f>
        <v>Maplink3</v>
      </c>
    </row>
    <row r="3100" customFormat="false" ht="15" hidden="false" customHeight="true" outlineLevel="0" collapsed="false">
      <c r="A3100" s="15" t="n">
        <v>23301</v>
      </c>
      <c r="B3100" s="16" t="s">
        <v>29</v>
      </c>
      <c r="C3100" s="16" t="s">
        <v>5888</v>
      </c>
      <c r="D3100" s="16" t="s">
        <v>5929</v>
      </c>
      <c r="E3100" s="17" t="s">
        <v>5930</v>
      </c>
      <c r="F3100" s="16" t="n">
        <v>34.573702</v>
      </c>
      <c r="G3100" s="16" t="n">
        <v>43.6828547</v>
      </c>
      <c r="H3100" s="18" t="n">
        <v>524</v>
      </c>
      <c r="I3100" s="18" t="n">
        <v>3144</v>
      </c>
      <c r="J3100" s="19"/>
      <c r="K3100" s="19"/>
      <c r="L3100" s="19"/>
      <c r="M3100" s="19"/>
      <c r="N3100" s="19"/>
      <c r="O3100" s="19"/>
      <c r="P3100" s="19"/>
      <c r="Q3100" s="19"/>
      <c r="R3100" s="19"/>
      <c r="S3100" s="19"/>
      <c r="T3100" s="19"/>
      <c r="U3100" s="19"/>
      <c r="V3100" s="19"/>
      <c r="W3100" s="19"/>
      <c r="X3100" s="19" t="n">
        <v>524</v>
      </c>
      <c r="Y3100" s="19"/>
      <c r="Z3100" s="19"/>
      <c r="AA3100" s="19"/>
      <c r="AB3100" s="19"/>
      <c r="AC3100" s="19" t="n">
        <v>160</v>
      </c>
      <c r="AD3100" s="19"/>
      <c r="AE3100" s="19" t="n">
        <v>15</v>
      </c>
      <c r="AF3100" s="19"/>
      <c r="AG3100" s="19"/>
      <c r="AH3100" s="19" t="n">
        <v>206</v>
      </c>
      <c r="AI3100" s="19"/>
      <c r="AJ3100" s="19" t="n">
        <v>143</v>
      </c>
      <c r="AK3100" s="19"/>
      <c r="AL3100" s="19"/>
      <c r="AM3100" s="19"/>
      <c r="AN3100" s="19"/>
      <c r="AO3100" s="19"/>
      <c r="AP3100" s="19" t="n">
        <v>100</v>
      </c>
      <c r="AQ3100" s="19" t="n">
        <v>305</v>
      </c>
      <c r="AR3100" s="19" t="n">
        <v>119</v>
      </c>
      <c r="AS3100" s="20" t="str">
        <f aca="false">HYPERLINK("http://www.openstreetmap.org/?mlat=34.5737&amp;mlon=43.6829&amp;zoom=12#map=12/34.5737/43.6829","Maplink1")</f>
        <v>Maplink1</v>
      </c>
      <c r="AT3100" s="20" t="str">
        <f aca="false">HYPERLINK("https://www.google.iq/maps/search/+34.5737,43.6829/@34.5737,43.6829,14z?hl=en","Maplink2")</f>
        <v>Maplink2</v>
      </c>
      <c r="AU3100" s="20" t="str">
        <f aca="false">HYPERLINK("http://www.bing.com/maps/?lvl=14&amp;sty=h&amp;cp=34.5737~43.6829&amp;sp=point.34.5737_43.6829","Maplink3")</f>
        <v>Maplink3</v>
      </c>
    </row>
    <row r="3101" customFormat="false" ht="15" hidden="false" customHeight="true" outlineLevel="0" collapsed="false">
      <c r="A3101" s="15" t="n">
        <v>25961</v>
      </c>
      <c r="B3101" s="16" t="s">
        <v>29</v>
      </c>
      <c r="C3101" s="16" t="s">
        <v>5888</v>
      </c>
      <c r="D3101" s="16" t="s">
        <v>5931</v>
      </c>
      <c r="E3101" s="17" t="s">
        <v>5932</v>
      </c>
      <c r="F3101" s="16" t="n">
        <v>34.5934169</v>
      </c>
      <c r="G3101" s="16" t="n">
        <v>43.67752931</v>
      </c>
      <c r="H3101" s="18" t="n">
        <v>131</v>
      </c>
      <c r="I3101" s="18" t="n">
        <v>786</v>
      </c>
      <c r="J3101" s="19"/>
      <c r="K3101" s="19"/>
      <c r="L3101" s="19"/>
      <c r="M3101" s="19"/>
      <c r="N3101" s="19"/>
      <c r="O3101" s="19"/>
      <c r="P3101" s="19"/>
      <c r="Q3101" s="19"/>
      <c r="R3101" s="19" t="n">
        <v>11</v>
      </c>
      <c r="S3101" s="19"/>
      <c r="T3101" s="19"/>
      <c r="U3101" s="19"/>
      <c r="V3101" s="19"/>
      <c r="W3101" s="19"/>
      <c r="X3101" s="19" t="n">
        <v>120</v>
      </c>
      <c r="Y3101" s="19"/>
      <c r="Z3101" s="19"/>
      <c r="AA3101" s="19"/>
      <c r="AB3101" s="19"/>
      <c r="AC3101" s="19" t="n">
        <v>38</v>
      </c>
      <c r="AD3101" s="19"/>
      <c r="AE3101" s="19"/>
      <c r="AF3101" s="19"/>
      <c r="AG3101" s="19"/>
      <c r="AH3101" s="19" t="n">
        <v>93</v>
      </c>
      <c r="AI3101" s="19"/>
      <c r="AJ3101" s="19"/>
      <c r="AK3101" s="19"/>
      <c r="AL3101" s="19"/>
      <c r="AM3101" s="19"/>
      <c r="AN3101" s="19"/>
      <c r="AO3101" s="19"/>
      <c r="AP3101" s="19" t="n">
        <v>93</v>
      </c>
      <c r="AQ3101" s="19" t="n">
        <v>38</v>
      </c>
      <c r="AR3101" s="19"/>
      <c r="AS3101" s="20" t="str">
        <f aca="false">HYPERLINK("http://www.openstreetmap.org/?mlat=34.5934&amp;mlon=43.6775&amp;zoom=12#map=12/34.5934/43.6775","Maplink1")</f>
        <v>Maplink1</v>
      </c>
      <c r="AT3101" s="20" t="str">
        <f aca="false">HYPERLINK("https://www.google.iq/maps/search/+34.5934,43.6775/@34.5934,43.6775,14z?hl=en","Maplink2")</f>
        <v>Maplink2</v>
      </c>
      <c r="AU3101" s="20" t="str">
        <f aca="false">HYPERLINK("http://www.bing.com/maps/?lvl=14&amp;sty=h&amp;cp=34.5934~43.6775&amp;sp=point.34.5934_43.6775","Maplink3")</f>
        <v>Maplink3</v>
      </c>
    </row>
    <row r="3102" customFormat="false" ht="15" hidden="false" customHeight="true" outlineLevel="0" collapsed="false">
      <c r="A3102" s="15" t="n">
        <v>23244</v>
      </c>
      <c r="B3102" s="16" t="s">
        <v>29</v>
      </c>
      <c r="C3102" s="16" t="s">
        <v>5888</v>
      </c>
      <c r="D3102" s="16" t="s">
        <v>5933</v>
      </c>
      <c r="E3102" s="17" t="s">
        <v>300</v>
      </c>
      <c r="F3102" s="16" t="n">
        <v>34.6864536</v>
      </c>
      <c r="G3102" s="16" t="n">
        <v>43.7163503</v>
      </c>
      <c r="H3102" s="18" t="n">
        <v>655</v>
      </c>
      <c r="I3102" s="18" t="n">
        <v>3930</v>
      </c>
      <c r="J3102" s="19"/>
      <c r="K3102" s="19"/>
      <c r="L3102" s="19"/>
      <c r="M3102" s="19"/>
      <c r="N3102" s="19"/>
      <c r="O3102" s="19"/>
      <c r="P3102" s="19"/>
      <c r="Q3102" s="19"/>
      <c r="R3102" s="19" t="n">
        <v>329</v>
      </c>
      <c r="S3102" s="19"/>
      <c r="T3102" s="19"/>
      <c r="U3102" s="19"/>
      <c r="V3102" s="19"/>
      <c r="W3102" s="19"/>
      <c r="X3102" s="19" t="n">
        <v>326</v>
      </c>
      <c r="Y3102" s="19"/>
      <c r="Z3102" s="19"/>
      <c r="AA3102" s="19"/>
      <c r="AB3102" s="19"/>
      <c r="AC3102" s="19" t="n">
        <v>18</v>
      </c>
      <c r="AD3102" s="19"/>
      <c r="AE3102" s="19" t="n">
        <v>25</v>
      </c>
      <c r="AF3102" s="19"/>
      <c r="AG3102" s="19" t="n">
        <v>5</v>
      </c>
      <c r="AH3102" s="19" t="n">
        <v>438</v>
      </c>
      <c r="AI3102" s="19"/>
      <c r="AJ3102" s="19" t="n">
        <v>169</v>
      </c>
      <c r="AK3102" s="19"/>
      <c r="AL3102" s="19"/>
      <c r="AM3102" s="19"/>
      <c r="AN3102" s="19"/>
      <c r="AO3102" s="19"/>
      <c r="AP3102" s="19" t="n">
        <v>300</v>
      </c>
      <c r="AQ3102" s="19" t="n">
        <v>68</v>
      </c>
      <c r="AR3102" s="19" t="n">
        <v>287</v>
      </c>
      <c r="AS3102" s="20" t="str">
        <f aca="false">HYPERLINK("http://www.openstreetmap.org/?mlat=34.6865&amp;mlon=43.7164&amp;zoom=12#map=12/34.6865/43.7164","Maplink1")</f>
        <v>Maplink1</v>
      </c>
      <c r="AT3102" s="20" t="str">
        <f aca="false">HYPERLINK("https://www.google.iq/maps/search/+34.6865,43.7164/@34.6865,43.7164,14z?hl=en","Maplink2")</f>
        <v>Maplink2</v>
      </c>
      <c r="AU3102" s="20" t="str">
        <f aca="false">HYPERLINK("http://www.bing.com/maps/?lvl=14&amp;sty=h&amp;cp=34.6865~43.7164&amp;sp=point.34.6865_43.7164","Maplink3")</f>
        <v>Maplink3</v>
      </c>
    </row>
    <row r="3103" customFormat="false" ht="15" hidden="false" customHeight="true" outlineLevel="0" collapsed="false">
      <c r="A3103" s="15" t="n">
        <v>23206</v>
      </c>
      <c r="B3103" s="16" t="s">
        <v>29</v>
      </c>
      <c r="C3103" s="16" t="s">
        <v>5888</v>
      </c>
      <c r="D3103" s="16" t="s">
        <v>5934</v>
      </c>
      <c r="E3103" s="17" t="s">
        <v>5935</v>
      </c>
      <c r="F3103" s="16" t="n">
        <v>34.60299367</v>
      </c>
      <c r="G3103" s="16" t="n">
        <v>43.67718863</v>
      </c>
      <c r="H3103" s="18" t="n">
        <v>728</v>
      </c>
      <c r="I3103" s="18" t="n">
        <v>4368</v>
      </c>
      <c r="J3103" s="19"/>
      <c r="K3103" s="19"/>
      <c r="L3103" s="19"/>
      <c r="M3103" s="19"/>
      <c r="N3103" s="19"/>
      <c r="O3103" s="19"/>
      <c r="P3103" s="19"/>
      <c r="Q3103" s="19"/>
      <c r="R3103" s="19"/>
      <c r="S3103" s="19"/>
      <c r="T3103" s="19"/>
      <c r="U3103" s="19"/>
      <c r="V3103" s="19"/>
      <c r="W3103" s="19"/>
      <c r="X3103" s="19" t="n">
        <v>728</v>
      </c>
      <c r="Y3103" s="19"/>
      <c r="Z3103" s="19"/>
      <c r="AA3103" s="19"/>
      <c r="AB3103" s="19"/>
      <c r="AC3103" s="19" t="n">
        <v>243</v>
      </c>
      <c r="AD3103" s="19"/>
      <c r="AE3103" s="19"/>
      <c r="AF3103" s="19"/>
      <c r="AG3103" s="19"/>
      <c r="AH3103" s="19" t="n">
        <v>264</v>
      </c>
      <c r="AI3103" s="19" t="n">
        <v>87</v>
      </c>
      <c r="AJ3103" s="19" t="n">
        <v>134</v>
      </c>
      <c r="AK3103" s="19"/>
      <c r="AL3103" s="19"/>
      <c r="AM3103" s="19"/>
      <c r="AN3103" s="19"/>
      <c r="AO3103" s="19"/>
      <c r="AP3103" s="19" t="n">
        <v>96</v>
      </c>
      <c r="AQ3103" s="19" t="n">
        <v>568</v>
      </c>
      <c r="AR3103" s="19" t="n">
        <v>64</v>
      </c>
      <c r="AS3103" s="20" t="str">
        <f aca="false">HYPERLINK("http://www.openstreetmap.org/?mlat=34.603&amp;mlon=43.6772&amp;zoom=12#map=12/34.603/43.6772","Maplink1")</f>
        <v>Maplink1</v>
      </c>
      <c r="AT3103" s="20" t="str">
        <f aca="false">HYPERLINK("https://www.google.iq/maps/search/+34.603,43.6772/@34.603,43.6772,14z?hl=en","Maplink2")</f>
        <v>Maplink2</v>
      </c>
      <c r="AU3103" s="20" t="str">
        <f aca="false">HYPERLINK("http://www.bing.com/maps/?lvl=14&amp;sty=h&amp;cp=34.603~43.6772&amp;sp=point.34.603_43.6772","Maplink3")</f>
        <v>Maplink3</v>
      </c>
    </row>
    <row r="3104" customFormat="false" ht="15" hidden="false" customHeight="true" outlineLevel="0" collapsed="false">
      <c r="A3104" s="15" t="n">
        <v>24247</v>
      </c>
      <c r="B3104" s="16" t="s">
        <v>29</v>
      </c>
      <c r="C3104" s="16" t="s">
        <v>5888</v>
      </c>
      <c r="D3104" s="16" t="s">
        <v>5936</v>
      </c>
      <c r="E3104" s="17" t="s">
        <v>5937</v>
      </c>
      <c r="F3104" s="16" t="n">
        <v>34.6916599</v>
      </c>
      <c r="G3104" s="16" t="n">
        <v>43.71012295</v>
      </c>
      <c r="H3104" s="18" t="n">
        <v>492</v>
      </c>
      <c r="I3104" s="18" t="n">
        <v>2952</v>
      </c>
      <c r="J3104" s="19"/>
      <c r="K3104" s="19"/>
      <c r="L3104" s="19"/>
      <c r="M3104" s="19"/>
      <c r="N3104" s="19"/>
      <c r="O3104" s="19"/>
      <c r="P3104" s="19"/>
      <c r="Q3104" s="19"/>
      <c r="R3104" s="19" t="n">
        <v>350</v>
      </c>
      <c r="S3104" s="19"/>
      <c r="T3104" s="19"/>
      <c r="U3104" s="19"/>
      <c r="V3104" s="19" t="n">
        <v>18</v>
      </c>
      <c r="W3104" s="19"/>
      <c r="X3104" s="19" t="n">
        <v>124</v>
      </c>
      <c r="Y3104" s="19"/>
      <c r="Z3104" s="19"/>
      <c r="AA3104" s="19"/>
      <c r="AB3104" s="19"/>
      <c r="AC3104" s="19" t="n">
        <v>20</v>
      </c>
      <c r="AD3104" s="19"/>
      <c r="AE3104" s="19" t="n">
        <v>122</v>
      </c>
      <c r="AF3104" s="19"/>
      <c r="AG3104" s="19"/>
      <c r="AH3104" s="19" t="n">
        <v>142</v>
      </c>
      <c r="AI3104" s="19"/>
      <c r="AJ3104" s="19" t="n">
        <v>208</v>
      </c>
      <c r="AK3104" s="19"/>
      <c r="AL3104" s="19"/>
      <c r="AM3104" s="19"/>
      <c r="AN3104" s="19"/>
      <c r="AO3104" s="19"/>
      <c r="AP3104" s="19" t="n">
        <v>30</v>
      </c>
      <c r="AQ3104" s="19" t="n">
        <v>162</v>
      </c>
      <c r="AR3104" s="19" t="n">
        <v>300</v>
      </c>
      <c r="AS3104" s="20" t="str">
        <f aca="false">HYPERLINK("http://www.openstreetmap.org/?mlat=34.6917&amp;mlon=43.7101&amp;zoom=12#map=12/34.6917/43.7101","Maplink1")</f>
        <v>Maplink1</v>
      </c>
      <c r="AT3104" s="20" t="str">
        <f aca="false">HYPERLINK("https://www.google.iq/maps/search/+34.6917,43.7101/@34.6917,43.7101,14z?hl=en","Maplink2")</f>
        <v>Maplink2</v>
      </c>
      <c r="AU3104" s="20" t="str">
        <f aca="false">HYPERLINK("http://www.bing.com/maps/?lvl=14&amp;sty=h&amp;cp=34.6917~43.7101&amp;sp=point.34.6917_43.7101","Maplink3")</f>
        <v>Maplink3</v>
      </c>
    </row>
    <row r="3105" customFormat="false" ht="15" hidden="false" customHeight="true" outlineLevel="0" collapsed="false">
      <c r="A3105" s="15" t="n">
        <v>22331</v>
      </c>
      <c r="B3105" s="16" t="s">
        <v>29</v>
      </c>
      <c r="C3105" s="16" t="s">
        <v>5888</v>
      </c>
      <c r="D3105" s="16" t="s">
        <v>5938</v>
      </c>
      <c r="E3105" s="17" t="s">
        <v>5939</v>
      </c>
      <c r="F3105" s="16" t="n">
        <v>34.61173746</v>
      </c>
      <c r="G3105" s="16" t="n">
        <v>43.67375893</v>
      </c>
      <c r="H3105" s="18" t="n">
        <v>365</v>
      </c>
      <c r="I3105" s="18" t="n">
        <v>2190</v>
      </c>
      <c r="J3105" s="19"/>
      <c r="K3105" s="19"/>
      <c r="L3105" s="19"/>
      <c r="M3105" s="19"/>
      <c r="N3105" s="19"/>
      <c r="O3105" s="19"/>
      <c r="P3105" s="19"/>
      <c r="Q3105" s="19"/>
      <c r="R3105" s="19" t="n">
        <v>14</v>
      </c>
      <c r="S3105" s="19"/>
      <c r="T3105" s="19"/>
      <c r="U3105" s="19"/>
      <c r="V3105" s="19" t="n">
        <v>15</v>
      </c>
      <c r="W3105" s="19"/>
      <c r="X3105" s="19" t="n">
        <v>336</v>
      </c>
      <c r="Y3105" s="19"/>
      <c r="Z3105" s="19"/>
      <c r="AA3105" s="19"/>
      <c r="AB3105" s="19"/>
      <c r="AC3105" s="19" t="n">
        <v>56</v>
      </c>
      <c r="AD3105" s="19"/>
      <c r="AE3105" s="19"/>
      <c r="AF3105" s="19"/>
      <c r="AG3105" s="19" t="n">
        <v>20</v>
      </c>
      <c r="AH3105" s="19" t="n">
        <v>185</v>
      </c>
      <c r="AI3105" s="19" t="n">
        <v>7</v>
      </c>
      <c r="AJ3105" s="19" t="n">
        <v>97</v>
      </c>
      <c r="AK3105" s="19"/>
      <c r="AL3105" s="19"/>
      <c r="AM3105" s="19"/>
      <c r="AN3105" s="19"/>
      <c r="AO3105" s="19"/>
      <c r="AP3105" s="19" t="n">
        <v>157</v>
      </c>
      <c r="AQ3105" s="19" t="n">
        <v>180</v>
      </c>
      <c r="AR3105" s="19" t="n">
        <v>28</v>
      </c>
      <c r="AS3105" s="20" t="str">
        <f aca="false">HYPERLINK("http://www.openstreetmap.org/?mlat=34.6117&amp;mlon=43.6738&amp;zoom=12#map=12/34.6117/43.6738","Maplink1")</f>
        <v>Maplink1</v>
      </c>
      <c r="AT3105" s="20" t="str">
        <f aca="false">HYPERLINK("https://www.google.iq/maps/search/+34.6117,43.6738/@34.6117,43.6738,14z?hl=en","Maplink2")</f>
        <v>Maplink2</v>
      </c>
      <c r="AU3105" s="20" t="str">
        <f aca="false">HYPERLINK("http://www.bing.com/maps/?lvl=14&amp;sty=h&amp;cp=34.6117~43.6738&amp;sp=point.34.6117_43.6738","Maplink3")</f>
        <v>Maplink3</v>
      </c>
    </row>
    <row r="3106" customFormat="false" ht="15" hidden="false" customHeight="true" outlineLevel="0" collapsed="false">
      <c r="A3106" s="15" t="n">
        <v>20638</v>
      </c>
      <c r="B3106" s="16" t="s">
        <v>29</v>
      </c>
      <c r="C3106" s="16" t="s">
        <v>5888</v>
      </c>
      <c r="D3106" s="16" t="s">
        <v>916</v>
      </c>
      <c r="E3106" s="17" t="s">
        <v>917</v>
      </c>
      <c r="F3106" s="16" t="n">
        <v>34.63305736</v>
      </c>
      <c r="G3106" s="16" t="n">
        <v>43.6672868</v>
      </c>
      <c r="H3106" s="18" t="n">
        <v>250</v>
      </c>
      <c r="I3106" s="18" t="n">
        <v>1500</v>
      </c>
      <c r="J3106" s="19"/>
      <c r="K3106" s="19"/>
      <c r="L3106" s="19"/>
      <c r="M3106" s="19"/>
      <c r="N3106" s="19"/>
      <c r="O3106" s="19"/>
      <c r="P3106" s="19"/>
      <c r="Q3106" s="19"/>
      <c r="R3106" s="19"/>
      <c r="S3106" s="19"/>
      <c r="T3106" s="19"/>
      <c r="U3106" s="19"/>
      <c r="V3106" s="19"/>
      <c r="W3106" s="19"/>
      <c r="X3106" s="19" t="n">
        <v>250</v>
      </c>
      <c r="Y3106" s="19"/>
      <c r="Z3106" s="19"/>
      <c r="AA3106" s="19"/>
      <c r="AB3106" s="19"/>
      <c r="AC3106" s="19"/>
      <c r="AD3106" s="19"/>
      <c r="AE3106" s="19" t="n">
        <v>35</v>
      </c>
      <c r="AF3106" s="19"/>
      <c r="AG3106" s="19"/>
      <c r="AH3106" s="19"/>
      <c r="AI3106" s="19" t="n">
        <v>100</v>
      </c>
      <c r="AJ3106" s="19" t="n">
        <v>115</v>
      </c>
      <c r="AK3106" s="19"/>
      <c r="AL3106" s="19"/>
      <c r="AM3106" s="19"/>
      <c r="AN3106" s="19"/>
      <c r="AO3106" s="19"/>
      <c r="AP3106" s="19"/>
      <c r="AQ3106" s="19" t="n">
        <v>250</v>
      </c>
      <c r="AR3106" s="19"/>
      <c r="AS3106" s="20" t="str">
        <f aca="false">HYPERLINK("http://www.openstreetmap.org/?mlat=34.6331&amp;mlon=43.6673&amp;zoom=12#map=12/34.6331/43.6673","Maplink1")</f>
        <v>Maplink1</v>
      </c>
      <c r="AT3106" s="20" t="str">
        <f aca="false">HYPERLINK("https://www.google.iq/maps/search/+34.6331,43.6673/@34.6331,43.6673,14z?hl=en","Maplink2")</f>
        <v>Maplink2</v>
      </c>
      <c r="AU3106" s="20" t="str">
        <f aca="false">HYPERLINK("http://www.bing.com/maps/?lvl=14&amp;sty=h&amp;cp=34.6331~43.6673&amp;sp=point.34.6331_43.6673","Maplink3")</f>
        <v>Maplink3</v>
      </c>
    </row>
    <row r="3107" customFormat="false" ht="15" hidden="false" customHeight="true" outlineLevel="0" collapsed="false">
      <c r="A3107" s="15" t="n">
        <v>20608</v>
      </c>
      <c r="B3107" s="16" t="s">
        <v>29</v>
      </c>
      <c r="C3107" s="16" t="s">
        <v>5888</v>
      </c>
      <c r="D3107" s="16" t="s">
        <v>5940</v>
      </c>
      <c r="E3107" s="17" t="s">
        <v>5941</v>
      </c>
      <c r="F3107" s="16" t="n">
        <v>34.6975962</v>
      </c>
      <c r="G3107" s="16" t="n">
        <v>43.718534</v>
      </c>
      <c r="H3107" s="18" t="n">
        <v>130</v>
      </c>
      <c r="I3107" s="18" t="n">
        <v>780</v>
      </c>
      <c r="J3107" s="19"/>
      <c r="K3107" s="19"/>
      <c r="L3107" s="19"/>
      <c r="M3107" s="19"/>
      <c r="N3107" s="19"/>
      <c r="O3107" s="19"/>
      <c r="P3107" s="19"/>
      <c r="Q3107" s="19"/>
      <c r="R3107" s="19" t="n">
        <v>55</v>
      </c>
      <c r="S3107" s="19"/>
      <c r="T3107" s="19"/>
      <c r="U3107" s="19"/>
      <c r="V3107" s="19"/>
      <c r="W3107" s="19"/>
      <c r="X3107" s="19" t="n">
        <v>75</v>
      </c>
      <c r="Y3107" s="19"/>
      <c r="Z3107" s="19"/>
      <c r="AA3107" s="19"/>
      <c r="AB3107" s="19"/>
      <c r="AC3107" s="19"/>
      <c r="AD3107" s="19"/>
      <c r="AE3107" s="19" t="n">
        <v>10</v>
      </c>
      <c r="AF3107" s="19"/>
      <c r="AG3107" s="19"/>
      <c r="AH3107" s="19" t="n">
        <v>42</v>
      </c>
      <c r="AI3107" s="19"/>
      <c r="AJ3107" s="19" t="n">
        <v>78</v>
      </c>
      <c r="AK3107" s="19"/>
      <c r="AL3107" s="19"/>
      <c r="AM3107" s="19"/>
      <c r="AN3107" s="19"/>
      <c r="AO3107" s="19"/>
      <c r="AP3107" s="19" t="n">
        <v>125</v>
      </c>
      <c r="AQ3107" s="19" t="n">
        <v>5</v>
      </c>
      <c r="AR3107" s="19"/>
      <c r="AS3107" s="20" t="str">
        <f aca="false">HYPERLINK("http://www.openstreetmap.org/?mlat=34.6976&amp;mlon=43.7185&amp;zoom=12#map=12/34.6976/43.7185","Maplink1")</f>
        <v>Maplink1</v>
      </c>
      <c r="AT3107" s="20" t="str">
        <f aca="false">HYPERLINK("https://www.google.iq/maps/search/+34.6976,43.7185/@34.6976,43.7185,14z?hl=en","Maplink2")</f>
        <v>Maplink2</v>
      </c>
      <c r="AU3107" s="20" t="str">
        <f aca="false">HYPERLINK("http://www.bing.com/maps/?lvl=14&amp;sty=h&amp;cp=34.6976~43.7185&amp;sp=point.34.6976_43.7185","Maplink3")</f>
        <v>Maplink3</v>
      </c>
    </row>
    <row r="3108" customFormat="false" ht="15" hidden="false" customHeight="true" outlineLevel="0" collapsed="false">
      <c r="A3108" s="15" t="n">
        <v>25960</v>
      </c>
      <c r="B3108" s="16" t="s">
        <v>29</v>
      </c>
      <c r="C3108" s="16" t="s">
        <v>5888</v>
      </c>
      <c r="D3108" s="16" t="s">
        <v>5942</v>
      </c>
      <c r="E3108" s="17" t="s">
        <v>5943</v>
      </c>
      <c r="F3108" s="16" t="n">
        <v>34.595911</v>
      </c>
      <c r="G3108" s="16" t="n">
        <v>43.67360203</v>
      </c>
      <c r="H3108" s="18" t="n">
        <v>657</v>
      </c>
      <c r="I3108" s="18" t="n">
        <v>3942</v>
      </c>
      <c r="J3108" s="19"/>
      <c r="K3108" s="19"/>
      <c r="L3108" s="19"/>
      <c r="M3108" s="19"/>
      <c r="N3108" s="19"/>
      <c r="O3108" s="19"/>
      <c r="P3108" s="19"/>
      <c r="Q3108" s="19"/>
      <c r="R3108" s="19"/>
      <c r="S3108" s="19"/>
      <c r="T3108" s="19"/>
      <c r="U3108" s="19"/>
      <c r="V3108" s="19"/>
      <c r="W3108" s="19"/>
      <c r="X3108" s="19" t="n">
        <v>657</v>
      </c>
      <c r="Y3108" s="19"/>
      <c r="Z3108" s="19"/>
      <c r="AA3108" s="19"/>
      <c r="AB3108" s="19"/>
      <c r="AC3108" s="19" t="n">
        <v>85</v>
      </c>
      <c r="AD3108" s="19"/>
      <c r="AE3108" s="19"/>
      <c r="AF3108" s="19"/>
      <c r="AG3108" s="19"/>
      <c r="AH3108" s="19" t="n">
        <v>345</v>
      </c>
      <c r="AI3108" s="19" t="n">
        <v>36</v>
      </c>
      <c r="AJ3108" s="19" t="n">
        <v>191</v>
      </c>
      <c r="AK3108" s="19"/>
      <c r="AL3108" s="19"/>
      <c r="AM3108" s="19"/>
      <c r="AN3108" s="19"/>
      <c r="AO3108" s="19"/>
      <c r="AP3108" s="19" t="n">
        <v>249</v>
      </c>
      <c r="AQ3108" s="19" t="n">
        <v>288</v>
      </c>
      <c r="AR3108" s="19" t="n">
        <v>120</v>
      </c>
      <c r="AS3108" s="20" t="str">
        <f aca="false">HYPERLINK("http://www.openstreetmap.org/?mlat=34.5959&amp;mlon=43.6736&amp;zoom=12#map=12/34.5959/43.6736","Maplink1")</f>
        <v>Maplink1</v>
      </c>
      <c r="AT3108" s="20" t="str">
        <f aca="false">HYPERLINK("https://www.google.iq/maps/search/+34.5959,43.6736/@34.5959,43.6736,14z?hl=en","Maplink2")</f>
        <v>Maplink2</v>
      </c>
      <c r="AU3108" s="20" t="str">
        <f aca="false">HYPERLINK("http://www.bing.com/maps/?lvl=14&amp;sty=h&amp;cp=34.5959~43.6736&amp;sp=point.34.5959_43.6736","Maplink3")</f>
        <v>Maplink3</v>
      </c>
    </row>
    <row r="3109" customFormat="false" ht="15" hidden="false" customHeight="true" outlineLevel="0" collapsed="false">
      <c r="A3109" s="15" t="n">
        <v>22812</v>
      </c>
      <c r="B3109" s="16" t="s">
        <v>29</v>
      </c>
      <c r="C3109" s="16" t="s">
        <v>5888</v>
      </c>
      <c r="D3109" s="16" t="s">
        <v>5944</v>
      </c>
      <c r="E3109" s="17" t="s">
        <v>5945</v>
      </c>
      <c r="F3109" s="16" t="n">
        <v>34.60759772</v>
      </c>
      <c r="G3109" s="16" t="n">
        <v>43.67525721</v>
      </c>
      <c r="H3109" s="18" t="n">
        <v>294</v>
      </c>
      <c r="I3109" s="18" t="n">
        <v>1764</v>
      </c>
      <c r="J3109" s="19"/>
      <c r="K3109" s="19"/>
      <c r="L3109" s="19"/>
      <c r="M3109" s="19"/>
      <c r="N3109" s="19"/>
      <c r="O3109" s="19"/>
      <c r="P3109" s="19"/>
      <c r="Q3109" s="19"/>
      <c r="R3109" s="19"/>
      <c r="S3109" s="19"/>
      <c r="T3109" s="19"/>
      <c r="U3109" s="19"/>
      <c r="V3109" s="19"/>
      <c r="W3109" s="19"/>
      <c r="X3109" s="19" t="n">
        <v>294</v>
      </c>
      <c r="Y3109" s="19"/>
      <c r="Z3109" s="19"/>
      <c r="AA3109" s="19"/>
      <c r="AB3109" s="19"/>
      <c r="AC3109" s="19" t="n">
        <v>14</v>
      </c>
      <c r="AD3109" s="19"/>
      <c r="AE3109" s="19" t="n">
        <v>55</v>
      </c>
      <c r="AF3109" s="19"/>
      <c r="AG3109" s="19"/>
      <c r="AH3109" s="19" t="n">
        <v>225</v>
      </c>
      <c r="AI3109" s="19"/>
      <c r="AJ3109" s="19"/>
      <c r="AK3109" s="19"/>
      <c r="AL3109" s="19"/>
      <c r="AM3109" s="19"/>
      <c r="AN3109" s="19"/>
      <c r="AO3109" s="19"/>
      <c r="AP3109" s="19" t="n">
        <v>227</v>
      </c>
      <c r="AQ3109" s="19" t="n">
        <v>67</v>
      </c>
      <c r="AR3109" s="19"/>
      <c r="AS3109" s="20" t="str">
        <f aca="false">HYPERLINK("http://www.openstreetmap.org/?mlat=34.6076&amp;mlon=43.6753&amp;zoom=12#map=12/34.6076/43.6753","Maplink1")</f>
        <v>Maplink1</v>
      </c>
      <c r="AT3109" s="20" t="str">
        <f aca="false">HYPERLINK("https://www.google.iq/maps/search/+34.6076,43.6753/@34.6076,43.6753,14z?hl=en","Maplink2")</f>
        <v>Maplink2</v>
      </c>
      <c r="AU3109" s="20" t="str">
        <f aca="false">HYPERLINK("http://www.bing.com/maps/?lvl=14&amp;sty=h&amp;cp=34.6076~43.6753&amp;sp=point.34.6076_43.6753","Maplink3")</f>
        <v>Maplink3</v>
      </c>
    </row>
    <row r="3110" customFormat="false" ht="15" hidden="false" customHeight="true" outlineLevel="0" collapsed="false">
      <c r="A3110" s="15" t="n">
        <v>21592</v>
      </c>
      <c r="B3110" s="16" t="s">
        <v>29</v>
      </c>
      <c r="C3110" s="16" t="s">
        <v>5888</v>
      </c>
      <c r="D3110" s="16" t="s">
        <v>5946</v>
      </c>
      <c r="E3110" s="17" t="s">
        <v>5947</v>
      </c>
      <c r="F3110" s="16" t="n">
        <v>34.71238906</v>
      </c>
      <c r="G3110" s="16" t="n">
        <v>43.70651596</v>
      </c>
      <c r="H3110" s="18" t="n">
        <v>845</v>
      </c>
      <c r="I3110" s="18" t="n">
        <v>5070</v>
      </c>
      <c r="J3110" s="19" t="n">
        <v>16</v>
      </c>
      <c r="K3110" s="19"/>
      <c r="L3110" s="19"/>
      <c r="M3110" s="19"/>
      <c r="N3110" s="19"/>
      <c r="O3110" s="19" t="n">
        <v>40</v>
      </c>
      <c r="P3110" s="19"/>
      <c r="Q3110" s="19"/>
      <c r="R3110" s="19" t="n">
        <v>407</v>
      </c>
      <c r="S3110" s="19"/>
      <c r="T3110" s="19"/>
      <c r="U3110" s="19"/>
      <c r="V3110" s="19"/>
      <c r="W3110" s="19"/>
      <c r="X3110" s="19" t="n">
        <v>382</v>
      </c>
      <c r="Y3110" s="19"/>
      <c r="Z3110" s="19"/>
      <c r="AA3110" s="19"/>
      <c r="AB3110" s="19"/>
      <c r="AC3110" s="19" t="n">
        <v>90</v>
      </c>
      <c r="AD3110" s="19"/>
      <c r="AE3110" s="19" t="n">
        <v>125</v>
      </c>
      <c r="AF3110" s="19"/>
      <c r="AG3110" s="19"/>
      <c r="AH3110" s="19" t="n">
        <v>130</v>
      </c>
      <c r="AI3110" s="19"/>
      <c r="AJ3110" s="19" t="n">
        <v>500</v>
      </c>
      <c r="AK3110" s="19"/>
      <c r="AL3110" s="19"/>
      <c r="AM3110" s="19"/>
      <c r="AN3110" s="19"/>
      <c r="AO3110" s="19"/>
      <c r="AP3110" s="19" t="n">
        <v>343</v>
      </c>
      <c r="AQ3110" s="19" t="n">
        <v>138</v>
      </c>
      <c r="AR3110" s="19" t="n">
        <v>364</v>
      </c>
      <c r="AS3110" s="20" t="str">
        <f aca="false">HYPERLINK("http://www.openstreetmap.org/?mlat=34.7124&amp;mlon=43.7065&amp;zoom=12#map=12/34.7124/43.7065","Maplink1")</f>
        <v>Maplink1</v>
      </c>
      <c r="AT3110" s="20" t="str">
        <f aca="false">HYPERLINK("https://www.google.iq/maps/search/+34.7124,43.7065/@34.7124,43.7065,14z?hl=en","Maplink2")</f>
        <v>Maplink2</v>
      </c>
      <c r="AU3110" s="20" t="str">
        <f aca="false">HYPERLINK("http://www.bing.com/maps/?lvl=14&amp;sty=h&amp;cp=34.7124~43.7065&amp;sp=point.34.7124_43.7065","Maplink3")</f>
        <v>Maplink3</v>
      </c>
    </row>
    <row r="3111" customFormat="false" ht="15" hidden="false" customHeight="true" outlineLevel="0" collapsed="false">
      <c r="A3111" s="15" t="n">
        <v>22468</v>
      </c>
      <c r="B3111" s="16" t="s">
        <v>29</v>
      </c>
      <c r="C3111" s="16" t="s">
        <v>5888</v>
      </c>
      <c r="D3111" s="16" t="s">
        <v>5948</v>
      </c>
      <c r="E3111" s="17" t="s">
        <v>5949</v>
      </c>
      <c r="F3111" s="16" t="n">
        <v>34.5875201</v>
      </c>
      <c r="G3111" s="16" t="n">
        <v>43.6731814</v>
      </c>
      <c r="H3111" s="18" t="n">
        <v>1730</v>
      </c>
      <c r="I3111" s="18" t="n">
        <v>10380</v>
      </c>
      <c r="J3111" s="19"/>
      <c r="K3111" s="19"/>
      <c r="L3111" s="19"/>
      <c r="M3111" s="19"/>
      <c r="N3111" s="19"/>
      <c r="O3111" s="19"/>
      <c r="P3111" s="19"/>
      <c r="Q3111" s="19"/>
      <c r="R3111" s="19" t="n">
        <v>19</v>
      </c>
      <c r="S3111" s="19"/>
      <c r="T3111" s="19"/>
      <c r="U3111" s="19"/>
      <c r="V3111" s="19" t="n">
        <v>8</v>
      </c>
      <c r="W3111" s="19"/>
      <c r="X3111" s="19" t="n">
        <v>1703</v>
      </c>
      <c r="Y3111" s="19"/>
      <c r="Z3111" s="19"/>
      <c r="AA3111" s="19"/>
      <c r="AB3111" s="19"/>
      <c r="AC3111" s="19" t="n">
        <v>302</v>
      </c>
      <c r="AD3111" s="19"/>
      <c r="AE3111" s="19" t="n">
        <v>203</v>
      </c>
      <c r="AF3111" s="19"/>
      <c r="AG3111" s="19"/>
      <c r="AH3111" s="19" t="n">
        <v>485</v>
      </c>
      <c r="AI3111" s="19" t="n">
        <v>10</v>
      </c>
      <c r="AJ3111" s="19" t="n">
        <v>730</v>
      </c>
      <c r="AK3111" s="19"/>
      <c r="AL3111" s="19"/>
      <c r="AM3111" s="19"/>
      <c r="AN3111" s="19"/>
      <c r="AO3111" s="19"/>
      <c r="AP3111" s="19" t="n">
        <v>240</v>
      </c>
      <c r="AQ3111" s="19" t="n">
        <v>992</v>
      </c>
      <c r="AR3111" s="19" t="n">
        <v>498</v>
      </c>
      <c r="AS3111" s="20" t="str">
        <f aca="false">HYPERLINK("http://www.openstreetmap.org/?mlat=34.5875&amp;mlon=43.6732&amp;zoom=12#map=12/34.5875/43.6732","Maplink1")</f>
        <v>Maplink1</v>
      </c>
      <c r="AT3111" s="20" t="str">
        <f aca="false">HYPERLINK("https://www.google.iq/maps/search/+34.5875,43.6732/@34.5875,43.6732,14z?hl=en","Maplink2")</f>
        <v>Maplink2</v>
      </c>
      <c r="AU3111" s="20" t="str">
        <f aca="false">HYPERLINK("http://www.bing.com/maps/?lvl=14&amp;sty=h&amp;cp=34.5875~43.6732&amp;sp=point.34.5875_43.6732","Maplink3")</f>
        <v>Maplink3</v>
      </c>
    </row>
    <row r="3112" customFormat="false" ht="15" hidden="false" customHeight="true" outlineLevel="0" collapsed="false">
      <c r="A3112" s="15" t="n">
        <v>28412</v>
      </c>
      <c r="B3112" s="16" t="s">
        <v>29</v>
      </c>
      <c r="C3112" s="16" t="s">
        <v>5888</v>
      </c>
      <c r="D3112" s="16" t="s">
        <v>5950</v>
      </c>
      <c r="E3112" s="17" t="s">
        <v>5951</v>
      </c>
      <c r="F3112" s="16" t="n">
        <v>34.60228072</v>
      </c>
      <c r="G3112" s="16" t="n">
        <v>43.67103081</v>
      </c>
      <c r="H3112" s="18" t="n">
        <v>166</v>
      </c>
      <c r="I3112" s="18" t="n">
        <v>996</v>
      </c>
      <c r="J3112" s="19"/>
      <c r="K3112" s="19"/>
      <c r="L3112" s="19"/>
      <c r="M3112" s="19"/>
      <c r="N3112" s="19"/>
      <c r="O3112" s="19"/>
      <c r="P3112" s="19"/>
      <c r="Q3112" s="19"/>
      <c r="R3112" s="19"/>
      <c r="S3112" s="19"/>
      <c r="T3112" s="19"/>
      <c r="U3112" s="19"/>
      <c r="V3112" s="19" t="n">
        <v>15</v>
      </c>
      <c r="W3112" s="19"/>
      <c r="X3112" s="19" t="n">
        <v>151</v>
      </c>
      <c r="Y3112" s="19"/>
      <c r="Z3112" s="19"/>
      <c r="AA3112" s="19"/>
      <c r="AB3112" s="19"/>
      <c r="AC3112" s="19"/>
      <c r="AD3112" s="19"/>
      <c r="AE3112" s="19" t="n">
        <v>10</v>
      </c>
      <c r="AF3112" s="19"/>
      <c r="AG3112" s="19"/>
      <c r="AH3112" s="19" t="n">
        <v>132</v>
      </c>
      <c r="AI3112" s="19"/>
      <c r="AJ3112" s="19" t="n">
        <v>24</v>
      </c>
      <c r="AK3112" s="19"/>
      <c r="AL3112" s="19"/>
      <c r="AM3112" s="19"/>
      <c r="AN3112" s="19"/>
      <c r="AO3112" s="19"/>
      <c r="AP3112" s="19" t="n">
        <v>66</v>
      </c>
      <c r="AQ3112" s="19" t="n">
        <v>59</v>
      </c>
      <c r="AR3112" s="19" t="n">
        <v>41</v>
      </c>
      <c r="AS3112" s="20" t="str">
        <f aca="false">HYPERLINK("http://www.openstreetmap.org/?mlat=34.6023&amp;mlon=43.671&amp;zoom=12#map=12/34.6023/43.671","Maplink1")</f>
        <v>Maplink1</v>
      </c>
      <c r="AT3112" s="20" t="str">
        <f aca="false">HYPERLINK("https://www.google.iq/maps/search/+34.6023,43.671/@34.6023,43.671,14z?hl=en","Maplink2")</f>
        <v>Maplink2</v>
      </c>
      <c r="AU3112" s="20" t="str">
        <f aca="false">HYPERLINK("http://www.bing.com/maps/?lvl=14&amp;sty=h&amp;cp=34.6023~43.671&amp;sp=point.34.6023_43.671","Maplink3")</f>
        <v>Maplink3</v>
      </c>
    </row>
    <row r="3113" customFormat="false" ht="15" hidden="false" customHeight="true" outlineLevel="0" collapsed="false">
      <c r="A3113" s="15" t="n">
        <v>28478</v>
      </c>
      <c r="B3113" s="16" t="s">
        <v>29</v>
      </c>
      <c r="C3113" s="16" t="s">
        <v>5888</v>
      </c>
      <c r="D3113" s="16" t="s">
        <v>5952</v>
      </c>
      <c r="E3113" s="17" t="s">
        <v>75</v>
      </c>
      <c r="F3113" s="16" t="n">
        <v>34.59666671</v>
      </c>
      <c r="G3113" s="16" t="n">
        <v>43.67356243</v>
      </c>
      <c r="H3113" s="18" t="n">
        <v>152</v>
      </c>
      <c r="I3113" s="18" t="n">
        <v>912</v>
      </c>
      <c r="J3113" s="19"/>
      <c r="K3113" s="19"/>
      <c r="L3113" s="19"/>
      <c r="M3113" s="19"/>
      <c r="N3113" s="19"/>
      <c r="O3113" s="19"/>
      <c r="P3113" s="19"/>
      <c r="Q3113" s="19"/>
      <c r="R3113" s="19"/>
      <c r="S3113" s="19"/>
      <c r="T3113" s="19"/>
      <c r="U3113" s="19"/>
      <c r="V3113" s="19" t="n">
        <v>2</v>
      </c>
      <c r="W3113" s="19"/>
      <c r="X3113" s="19" t="n">
        <v>150</v>
      </c>
      <c r="Y3113" s="19"/>
      <c r="Z3113" s="19"/>
      <c r="AA3113" s="19"/>
      <c r="AB3113" s="19"/>
      <c r="AC3113" s="19" t="n">
        <v>20</v>
      </c>
      <c r="AD3113" s="19"/>
      <c r="AE3113" s="19"/>
      <c r="AF3113" s="19"/>
      <c r="AG3113" s="19"/>
      <c r="AH3113" s="19" t="n">
        <v>108</v>
      </c>
      <c r="AI3113" s="19" t="n">
        <v>4</v>
      </c>
      <c r="AJ3113" s="19" t="n">
        <v>20</v>
      </c>
      <c r="AK3113" s="19"/>
      <c r="AL3113" s="19"/>
      <c r="AM3113" s="19"/>
      <c r="AN3113" s="19"/>
      <c r="AO3113" s="19"/>
      <c r="AP3113" s="19" t="n">
        <v>6</v>
      </c>
      <c r="AQ3113" s="19" t="n">
        <v>83</v>
      </c>
      <c r="AR3113" s="19" t="n">
        <v>63</v>
      </c>
      <c r="AS3113" s="20" t="str">
        <f aca="false">HYPERLINK("http://www.openstreetmap.org/?mlat=34.5967&amp;mlon=43.6736&amp;zoom=12#map=12/34.5967/43.6736","Maplink1")</f>
        <v>Maplink1</v>
      </c>
      <c r="AT3113" s="20" t="str">
        <f aca="false">HYPERLINK("https://www.google.iq/maps/search/+34.5967,43.6736/@34.5967,43.6736,14z?hl=en","Maplink2")</f>
        <v>Maplink2</v>
      </c>
      <c r="AU3113" s="20" t="str">
        <f aca="false">HYPERLINK("http://www.bing.com/maps/?lvl=14&amp;sty=h&amp;cp=34.5967~43.6736&amp;sp=point.34.5967_43.6736","Maplink3")</f>
        <v>Maplink3</v>
      </c>
    </row>
    <row r="3114" customFormat="false" ht="15" hidden="false" customHeight="true" outlineLevel="0" collapsed="false">
      <c r="A3114" s="15" t="n">
        <v>20622</v>
      </c>
      <c r="B3114" s="16" t="s">
        <v>29</v>
      </c>
      <c r="C3114" s="16" t="s">
        <v>5888</v>
      </c>
      <c r="D3114" s="16" t="s">
        <v>5953</v>
      </c>
      <c r="E3114" s="17" t="s">
        <v>2101</v>
      </c>
      <c r="F3114" s="16" t="n">
        <v>34.70311367</v>
      </c>
      <c r="G3114" s="16" t="n">
        <v>43.6120917</v>
      </c>
      <c r="H3114" s="18" t="n">
        <v>268</v>
      </c>
      <c r="I3114" s="18" t="n">
        <v>1608</v>
      </c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 t="n">
        <v>10</v>
      </c>
      <c r="W3114" s="19"/>
      <c r="X3114" s="19" t="n">
        <v>258</v>
      </c>
      <c r="Y3114" s="19"/>
      <c r="Z3114" s="19"/>
      <c r="AA3114" s="19"/>
      <c r="AB3114" s="19"/>
      <c r="AC3114" s="19"/>
      <c r="AD3114" s="19"/>
      <c r="AE3114" s="19" t="n">
        <v>127</v>
      </c>
      <c r="AF3114" s="19"/>
      <c r="AG3114" s="19"/>
      <c r="AH3114" s="19" t="n">
        <v>67</v>
      </c>
      <c r="AI3114" s="19"/>
      <c r="AJ3114" s="19" t="n">
        <v>74</v>
      </c>
      <c r="AK3114" s="19"/>
      <c r="AL3114" s="19"/>
      <c r="AM3114" s="19"/>
      <c r="AN3114" s="19"/>
      <c r="AO3114" s="19"/>
      <c r="AP3114" s="19" t="n">
        <v>18</v>
      </c>
      <c r="AQ3114" s="19" t="n">
        <v>226</v>
      </c>
      <c r="AR3114" s="19" t="n">
        <v>24</v>
      </c>
      <c r="AS3114" s="20" t="str">
        <f aca="false">HYPERLINK("http://www.openstreetmap.org/?mlat=34.7031&amp;mlon=43.6121&amp;zoom=12#map=12/34.7031/43.6121","Maplink1")</f>
        <v>Maplink1</v>
      </c>
      <c r="AT3114" s="20" t="str">
        <f aca="false">HYPERLINK("https://www.google.iq/maps/search/+34.7031,43.6121/@34.7031,43.6121,14z?hl=en","Maplink2")</f>
        <v>Maplink2</v>
      </c>
      <c r="AU3114" s="20" t="str">
        <f aca="false">HYPERLINK("http://www.bing.com/maps/?lvl=14&amp;sty=h&amp;cp=34.7031~43.6121&amp;sp=point.34.7031_43.6121","Maplink3")</f>
        <v>Maplink3</v>
      </c>
    </row>
    <row r="3115" customFormat="false" ht="15" hidden="false" customHeight="true" outlineLevel="0" collapsed="false">
      <c r="A3115" s="15" t="n">
        <v>28413</v>
      </c>
      <c r="B3115" s="16" t="s">
        <v>29</v>
      </c>
      <c r="C3115" s="16" t="s">
        <v>5888</v>
      </c>
      <c r="D3115" s="16" t="s">
        <v>5954</v>
      </c>
      <c r="E3115" s="17" t="s">
        <v>2156</v>
      </c>
      <c r="F3115" s="16" t="n">
        <v>34.60228063</v>
      </c>
      <c r="G3115" s="16" t="n">
        <v>43.66997395</v>
      </c>
      <c r="H3115" s="18" t="n">
        <v>45</v>
      </c>
      <c r="I3115" s="18" t="n">
        <v>270</v>
      </c>
      <c r="J3115" s="19"/>
      <c r="K3115" s="19"/>
      <c r="L3115" s="19"/>
      <c r="M3115" s="19"/>
      <c r="N3115" s="19"/>
      <c r="O3115" s="19"/>
      <c r="P3115" s="19"/>
      <c r="Q3115" s="19"/>
      <c r="R3115" s="19"/>
      <c r="S3115" s="19"/>
      <c r="T3115" s="19"/>
      <c r="U3115" s="19"/>
      <c r="V3115" s="19"/>
      <c r="W3115" s="19"/>
      <c r="X3115" s="19" t="n">
        <v>45</v>
      </c>
      <c r="Y3115" s="19"/>
      <c r="Z3115" s="19"/>
      <c r="AA3115" s="19"/>
      <c r="AB3115" s="19"/>
      <c r="AC3115" s="19" t="n">
        <v>3</v>
      </c>
      <c r="AD3115" s="19"/>
      <c r="AE3115" s="19"/>
      <c r="AF3115" s="19"/>
      <c r="AG3115" s="19"/>
      <c r="AH3115" s="19" t="n">
        <v>42</v>
      </c>
      <c r="AI3115" s="19"/>
      <c r="AJ3115" s="19"/>
      <c r="AK3115" s="19"/>
      <c r="AL3115" s="19"/>
      <c r="AM3115" s="19"/>
      <c r="AN3115" s="19"/>
      <c r="AO3115" s="19"/>
      <c r="AP3115" s="19" t="n">
        <v>33</v>
      </c>
      <c r="AQ3115" s="19" t="n">
        <v>12</v>
      </c>
      <c r="AR3115" s="19"/>
      <c r="AS3115" s="20" t="str">
        <f aca="false">HYPERLINK("http://www.openstreetmap.org/?mlat=34.6023&amp;mlon=43.67&amp;zoom=12#map=12/34.6023/43.67","Maplink1")</f>
        <v>Maplink1</v>
      </c>
      <c r="AT3115" s="20" t="str">
        <f aca="false">HYPERLINK("https://www.google.iq/maps/search/+34.6023,43.67/@34.6023,43.67,14z?hl=en","Maplink2")</f>
        <v>Maplink2</v>
      </c>
      <c r="AU3115" s="20" t="str">
        <f aca="false">HYPERLINK("http://www.bing.com/maps/?lvl=14&amp;sty=h&amp;cp=34.6023~43.67&amp;sp=point.34.6023_43.67","Maplink3")</f>
        <v>Maplink3</v>
      </c>
    </row>
    <row r="3116" customFormat="false" ht="15" hidden="false" customHeight="true" outlineLevel="0" collapsed="false">
      <c r="A3116" s="15" t="n">
        <v>22058</v>
      </c>
      <c r="B3116" s="16" t="s">
        <v>29</v>
      </c>
      <c r="C3116" s="16" t="s">
        <v>5888</v>
      </c>
      <c r="D3116" s="16" t="s">
        <v>5955</v>
      </c>
      <c r="E3116" s="17" t="s">
        <v>5956</v>
      </c>
      <c r="F3116" s="16" t="n">
        <v>34.60058227</v>
      </c>
      <c r="G3116" s="16" t="n">
        <v>43.65346668</v>
      </c>
      <c r="H3116" s="18" t="n">
        <v>640</v>
      </c>
      <c r="I3116" s="18" t="n">
        <v>3840</v>
      </c>
      <c r="J3116" s="19"/>
      <c r="K3116" s="19"/>
      <c r="L3116" s="19"/>
      <c r="M3116" s="19"/>
      <c r="N3116" s="19"/>
      <c r="O3116" s="19"/>
      <c r="P3116" s="19"/>
      <c r="Q3116" s="19"/>
      <c r="R3116" s="19" t="n">
        <v>96</v>
      </c>
      <c r="S3116" s="19"/>
      <c r="T3116" s="19"/>
      <c r="U3116" s="19"/>
      <c r="V3116" s="19" t="n">
        <v>12</v>
      </c>
      <c r="W3116" s="19"/>
      <c r="X3116" s="19" t="n">
        <v>532</v>
      </c>
      <c r="Y3116" s="19"/>
      <c r="Z3116" s="19"/>
      <c r="AA3116" s="19"/>
      <c r="AB3116" s="19"/>
      <c r="AC3116" s="19" t="n">
        <v>31</v>
      </c>
      <c r="AD3116" s="19"/>
      <c r="AE3116" s="19" t="n">
        <v>95</v>
      </c>
      <c r="AF3116" s="19"/>
      <c r="AG3116" s="19"/>
      <c r="AH3116" s="19" t="n">
        <v>60</v>
      </c>
      <c r="AI3116" s="19"/>
      <c r="AJ3116" s="19" t="n">
        <v>454</v>
      </c>
      <c r="AK3116" s="19"/>
      <c r="AL3116" s="19"/>
      <c r="AM3116" s="19"/>
      <c r="AN3116" s="19"/>
      <c r="AO3116" s="19"/>
      <c r="AP3116" s="19" t="n">
        <v>22</v>
      </c>
      <c r="AQ3116" s="19" t="n">
        <v>371</v>
      </c>
      <c r="AR3116" s="19" t="n">
        <v>247</v>
      </c>
      <c r="AS3116" s="20" t="str">
        <f aca="false">HYPERLINK("http://www.openstreetmap.org/?mlat=34.6006&amp;mlon=43.6535&amp;zoom=12#map=12/34.6006/43.6535","Maplink1")</f>
        <v>Maplink1</v>
      </c>
      <c r="AT3116" s="20" t="str">
        <f aca="false">HYPERLINK("https://www.google.iq/maps/search/+34.6006,43.6535/@34.6006,43.6535,14z?hl=en","Maplink2")</f>
        <v>Maplink2</v>
      </c>
      <c r="AU3116" s="20" t="str">
        <f aca="false">HYPERLINK("http://www.bing.com/maps/?lvl=14&amp;sty=h&amp;cp=34.6006~43.6535&amp;sp=point.34.6006_43.6535","Maplink3")</f>
        <v>Maplink3</v>
      </c>
    </row>
    <row r="3117" customFormat="false" ht="15" hidden="false" customHeight="true" outlineLevel="0" collapsed="false">
      <c r="A3117" s="15" t="n">
        <v>27369</v>
      </c>
      <c r="B3117" s="16" t="s">
        <v>29</v>
      </c>
      <c r="C3117" s="16" t="s">
        <v>5888</v>
      </c>
      <c r="D3117" s="16" t="s">
        <v>5957</v>
      </c>
      <c r="E3117" s="17" t="s">
        <v>5958</v>
      </c>
      <c r="F3117" s="16" t="n">
        <v>34.58980145</v>
      </c>
      <c r="G3117" s="16" t="n">
        <v>43.66485212</v>
      </c>
      <c r="H3117" s="18" t="n">
        <v>1013</v>
      </c>
      <c r="I3117" s="18" t="n">
        <v>6078</v>
      </c>
      <c r="J3117" s="19"/>
      <c r="K3117" s="19"/>
      <c r="L3117" s="19"/>
      <c r="M3117" s="19"/>
      <c r="N3117" s="19"/>
      <c r="O3117" s="19"/>
      <c r="P3117" s="19"/>
      <c r="Q3117" s="19"/>
      <c r="R3117" s="19" t="n">
        <v>24</v>
      </c>
      <c r="S3117" s="19"/>
      <c r="T3117" s="19"/>
      <c r="U3117" s="19"/>
      <c r="V3117" s="19"/>
      <c r="W3117" s="19"/>
      <c r="X3117" s="19" t="n">
        <v>989</v>
      </c>
      <c r="Y3117" s="19"/>
      <c r="Z3117" s="19"/>
      <c r="AA3117" s="19"/>
      <c r="AB3117" s="19"/>
      <c r="AC3117" s="19" t="n">
        <v>360</v>
      </c>
      <c r="AD3117" s="19"/>
      <c r="AE3117" s="19" t="n">
        <v>457</v>
      </c>
      <c r="AF3117" s="19"/>
      <c r="AG3117" s="19"/>
      <c r="AH3117" s="19" t="n">
        <v>126</v>
      </c>
      <c r="AI3117" s="19"/>
      <c r="AJ3117" s="19" t="n">
        <v>70</v>
      </c>
      <c r="AK3117" s="19"/>
      <c r="AL3117" s="19"/>
      <c r="AM3117" s="19"/>
      <c r="AN3117" s="19"/>
      <c r="AO3117" s="19"/>
      <c r="AP3117" s="19" t="n">
        <v>215</v>
      </c>
      <c r="AQ3117" s="19" t="n">
        <v>696</v>
      </c>
      <c r="AR3117" s="19" t="n">
        <v>102</v>
      </c>
      <c r="AS3117" s="20" t="str">
        <f aca="false">HYPERLINK("http://www.openstreetmap.org/?mlat=34.5898&amp;mlon=43.6649&amp;zoom=12#map=12/34.5898/43.6649","Maplink1")</f>
        <v>Maplink1</v>
      </c>
      <c r="AT3117" s="20" t="str">
        <f aca="false">HYPERLINK("https://www.google.iq/maps/search/+34.5898,43.6649/@34.5898,43.6649,14z?hl=en","Maplink2")</f>
        <v>Maplink2</v>
      </c>
      <c r="AU3117" s="20" t="str">
        <f aca="false">HYPERLINK("http://www.bing.com/maps/?lvl=14&amp;sty=h&amp;cp=34.5898~43.6649&amp;sp=point.34.5898_43.6649","Maplink3")</f>
        <v>Maplink3</v>
      </c>
    </row>
    <row r="3118" customFormat="false" ht="15" hidden="false" customHeight="true" outlineLevel="0" collapsed="false">
      <c r="A3118" s="15" t="n">
        <v>27368</v>
      </c>
      <c r="B3118" s="16" t="s">
        <v>29</v>
      </c>
      <c r="C3118" s="16" t="s">
        <v>5888</v>
      </c>
      <c r="D3118" s="16" t="s">
        <v>5959</v>
      </c>
      <c r="E3118" s="17" t="s">
        <v>5960</v>
      </c>
      <c r="F3118" s="16" t="n">
        <v>34.60462744</v>
      </c>
      <c r="G3118" s="16" t="n">
        <v>43.66195509</v>
      </c>
      <c r="H3118" s="18" t="n">
        <v>126</v>
      </c>
      <c r="I3118" s="18" t="n">
        <v>756</v>
      </c>
      <c r="J3118" s="19"/>
      <c r="K3118" s="19"/>
      <c r="L3118" s="19"/>
      <c r="M3118" s="19"/>
      <c r="N3118" s="19"/>
      <c r="O3118" s="19"/>
      <c r="P3118" s="19"/>
      <c r="Q3118" s="19"/>
      <c r="R3118" s="19"/>
      <c r="S3118" s="19"/>
      <c r="T3118" s="19"/>
      <c r="U3118" s="19"/>
      <c r="V3118" s="19"/>
      <c r="W3118" s="19"/>
      <c r="X3118" s="19" t="n">
        <v>126</v>
      </c>
      <c r="Y3118" s="19"/>
      <c r="Z3118" s="19"/>
      <c r="AA3118" s="19"/>
      <c r="AB3118" s="19"/>
      <c r="AC3118" s="19"/>
      <c r="AD3118" s="19"/>
      <c r="AE3118" s="19"/>
      <c r="AF3118" s="19"/>
      <c r="AG3118" s="19"/>
      <c r="AH3118" s="19" t="n">
        <v>33</v>
      </c>
      <c r="AI3118" s="19"/>
      <c r="AJ3118" s="19" t="n">
        <v>93</v>
      </c>
      <c r="AK3118" s="19"/>
      <c r="AL3118" s="19"/>
      <c r="AM3118" s="19"/>
      <c r="AN3118" s="19"/>
      <c r="AO3118" s="19"/>
      <c r="AP3118" s="19" t="n">
        <v>6</v>
      </c>
      <c r="AQ3118" s="19" t="n">
        <v>45</v>
      </c>
      <c r="AR3118" s="19" t="n">
        <v>75</v>
      </c>
      <c r="AS3118" s="20" t="str">
        <f aca="false">HYPERLINK("http://www.openstreetmap.org/?mlat=34.6046&amp;mlon=43.662&amp;zoom=12#map=12/34.6046/43.662","Maplink1")</f>
        <v>Maplink1</v>
      </c>
      <c r="AT3118" s="20" t="str">
        <f aca="false">HYPERLINK("https://www.google.iq/maps/search/+34.6046,43.662/@34.6046,43.662,14z?hl=en","Maplink2")</f>
        <v>Maplink2</v>
      </c>
      <c r="AU3118" s="20" t="str">
        <f aca="false">HYPERLINK("http://www.bing.com/maps/?lvl=14&amp;sty=h&amp;cp=34.6046~43.662&amp;sp=point.34.6046_43.662","Maplink3")</f>
        <v>Maplink3</v>
      </c>
    </row>
    <row r="3119" customFormat="false" ht="15" hidden="false" customHeight="true" outlineLevel="0" collapsed="false">
      <c r="A3119" s="15" t="n">
        <v>22965</v>
      </c>
      <c r="B3119" s="16" t="s">
        <v>29</v>
      </c>
      <c r="C3119" s="16" t="s">
        <v>5888</v>
      </c>
      <c r="D3119" s="16" t="s">
        <v>5961</v>
      </c>
      <c r="E3119" s="17" t="s">
        <v>5962</v>
      </c>
      <c r="F3119" s="16" t="n">
        <v>34.60444415</v>
      </c>
      <c r="G3119" s="16" t="n">
        <v>43.68508597</v>
      </c>
      <c r="H3119" s="18" t="n">
        <v>1192</v>
      </c>
      <c r="I3119" s="18" t="n">
        <v>7152</v>
      </c>
      <c r="J3119" s="19"/>
      <c r="K3119" s="19"/>
      <c r="L3119" s="19"/>
      <c r="M3119" s="19"/>
      <c r="N3119" s="19"/>
      <c r="O3119" s="19"/>
      <c r="P3119" s="19"/>
      <c r="Q3119" s="19"/>
      <c r="R3119" s="19" t="n">
        <v>12</v>
      </c>
      <c r="S3119" s="19"/>
      <c r="T3119" s="19"/>
      <c r="U3119" s="19"/>
      <c r="V3119" s="19" t="n">
        <v>42</v>
      </c>
      <c r="W3119" s="19"/>
      <c r="X3119" s="19" t="n">
        <v>1138</v>
      </c>
      <c r="Y3119" s="19"/>
      <c r="Z3119" s="19"/>
      <c r="AA3119" s="19"/>
      <c r="AB3119" s="19"/>
      <c r="AC3119" s="19" t="n">
        <v>22</v>
      </c>
      <c r="AD3119" s="19"/>
      <c r="AE3119" s="19" t="n">
        <v>561</v>
      </c>
      <c r="AF3119" s="19"/>
      <c r="AG3119" s="19"/>
      <c r="AH3119" s="19" t="n">
        <v>100</v>
      </c>
      <c r="AI3119" s="19"/>
      <c r="AJ3119" s="19" t="n">
        <v>509</v>
      </c>
      <c r="AK3119" s="19"/>
      <c r="AL3119" s="19"/>
      <c r="AM3119" s="19"/>
      <c r="AN3119" s="19"/>
      <c r="AO3119" s="19"/>
      <c r="AP3119" s="19" t="n">
        <v>30</v>
      </c>
      <c r="AQ3119" s="19" t="n">
        <v>1025</v>
      </c>
      <c r="AR3119" s="19" t="n">
        <v>137</v>
      </c>
      <c r="AS3119" s="20" t="str">
        <f aca="false">HYPERLINK("http://www.openstreetmap.org/?mlat=34.6044&amp;mlon=43.6851&amp;zoom=12#map=12/34.6044/43.6851","Maplink1")</f>
        <v>Maplink1</v>
      </c>
      <c r="AT3119" s="20" t="str">
        <f aca="false">HYPERLINK("https://www.google.iq/maps/search/+34.6044,43.6851/@34.6044,43.6851,14z?hl=en","Maplink2")</f>
        <v>Maplink2</v>
      </c>
      <c r="AU3119" s="20" t="str">
        <f aca="false">HYPERLINK("http://www.bing.com/maps/?lvl=14&amp;sty=h&amp;cp=34.6044~43.6851&amp;sp=point.34.6044_43.6851","Maplink3")</f>
        <v>Maplink3</v>
      </c>
    </row>
    <row r="3120" customFormat="false" ht="15" hidden="false" customHeight="true" outlineLevel="0" collapsed="false">
      <c r="A3120" s="15" t="n">
        <v>20663</v>
      </c>
      <c r="B3120" s="16" t="s">
        <v>29</v>
      </c>
      <c r="C3120" s="16" t="s">
        <v>5888</v>
      </c>
      <c r="D3120" s="16" t="s">
        <v>5963</v>
      </c>
      <c r="E3120" s="17" t="s">
        <v>5964</v>
      </c>
      <c r="F3120" s="16" t="n">
        <v>34.58197342</v>
      </c>
      <c r="G3120" s="16" t="n">
        <v>43.67832992</v>
      </c>
      <c r="H3120" s="18" t="n">
        <v>241</v>
      </c>
      <c r="I3120" s="18" t="n">
        <v>1446</v>
      </c>
      <c r="J3120" s="19"/>
      <c r="K3120" s="19"/>
      <c r="L3120" s="19"/>
      <c r="M3120" s="19"/>
      <c r="N3120" s="19"/>
      <c r="O3120" s="19"/>
      <c r="P3120" s="19"/>
      <c r="Q3120" s="19"/>
      <c r="R3120" s="19"/>
      <c r="S3120" s="19"/>
      <c r="T3120" s="19"/>
      <c r="U3120" s="19"/>
      <c r="V3120" s="19" t="n">
        <v>9</v>
      </c>
      <c r="W3120" s="19"/>
      <c r="X3120" s="19" t="n">
        <v>232</v>
      </c>
      <c r="Y3120" s="19"/>
      <c r="Z3120" s="19"/>
      <c r="AA3120" s="19"/>
      <c r="AB3120" s="19"/>
      <c r="AC3120" s="19" t="n">
        <v>25</v>
      </c>
      <c r="AD3120" s="19"/>
      <c r="AE3120" s="19" t="n">
        <v>39</v>
      </c>
      <c r="AF3120" s="19"/>
      <c r="AG3120" s="19"/>
      <c r="AH3120" s="19" t="n">
        <v>113</v>
      </c>
      <c r="AI3120" s="19" t="n">
        <v>28</v>
      </c>
      <c r="AJ3120" s="19" t="n">
        <v>36</v>
      </c>
      <c r="AK3120" s="19"/>
      <c r="AL3120" s="19"/>
      <c r="AM3120" s="19"/>
      <c r="AN3120" s="19"/>
      <c r="AO3120" s="19"/>
      <c r="AP3120" s="19" t="n">
        <v>105</v>
      </c>
      <c r="AQ3120" s="19" t="n">
        <v>110</v>
      </c>
      <c r="AR3120" s="19" t="n">
        <v>26</v>
      </c>
      <c r="AS3120" s="20" t="str">
        <f aca="false">HYPERLINK("http://www.openstreetmap.org/?mlat=34.582&amp;mlon=43.6783&amp;zoom=12#map=12/34.582/43.6783","Maplink1")</f>
        <v>Maplink1</v>
      </c>
      <c r="AT3120" s="20" t="str">
        <f aca="false">HYPERLINK("https://www.google.iq/maps/search/+34.582,43.6783/@34.582,43.6783,14z?hl=en","Maplink2")</f>
        <v>Maplink2</v>
      </c>
      <c r="AU3120" s="20" t="str">
        <f aca="false">HYPERLINK("http://www.bing.com/maps/?lvl=14&amp;sty=h&amp;cp=34.582~43.6783&amp;sp=point.34.582_43.6783","Maplink3")</f>
        <v>Maplink3</v>
      </c>
    </row>
    <row r="3121" customFormat="false" ht="15" hidden="false" customHeight="true" outlineLevel="0" collapsed="false">
      <c r="A3121" s="15" t="n">
        <v>27367</v>
      </c>
      <c r="B3121" s="16" t="s">
        <v>29</v>
      </c>
      <c r="C3121" s="16" t="s">
        <v>5888</v>
      </c>
      <c r="D3121" s="16" t="s">
        <v>5965</v>
      </c>
      <c r="E3121" s="17" t="s">
        <v>3402</v>
      </c>
      <c r="F3121" s="16" t="n">
        <v>34.5849295</v>
      </c>
      <c r="G3121" s="16" t="n">
        <v>43.6825414</v>
      </c>
      <c r="H3121" s="18" t="n">
        <v>158</v>
      </c>
      <c r="I3121" s="18" t="n">
        <v>948</v>
      </c>
      <c r="J3121" s="19"/>
      <c r="K3121" s="19"/>
      <c r="L3121" s="19"/>
      <c r="M3121" s="19"/>
      <c r="N3121" s="19"/>
      <c r="O3121" s="19"/>
      <c r="P3121" s="19"/>
      <c r="Q3121" s="19"/>
      <c r="R3121" s="19"/>
      <c r="S3121" s="19"/>
      <c r="T3121" s="19"/>
      <c r="U3121" s="19"/>
      <c r="V3121" s="19"/>
      <c r="W3121" s="19"/>
      <c r="X3121" s="19" t="n">
        <v>158</v>
      </c>
      <c r="Y3121" s="19"/>
      <c r="Z3121" s="19"/>
      <c r="AA3121" s="19"/>
      <c r="AB3121" s="19"/>
      <c r="AC3121" s="19" t="n">
        <v>10</v>
      </c>
      <c r="AD3121" s="19"/>
      <c r="AE3121" s="19"/>
      <c r="AF3121" s="19"/>
      <c r="AG3121" s="19"/>
      <c r="AH3121" s="19" t="n">
        <v>99</v>
      </c>
      <c r="AI3121" s="19"/>
      <c r="AJ3121" s="19" t="n">
        <v>49</v>
      </c>
      <c r="AK3121" s="19"/>
      <c r="AL3121" s="19"/>
      <c r="AM3121" s="19"/>
      <c r="AN3121" s="19"/>
      <c r="AO3121" s="19"/>
      <c r="AP3121" s="19" t="n">
        <v>41</v>
      </c>
      <c r="AQ3121" s="19" t="n">
        <v>57</v>
      </c>
      <c r="AR3121" s="19" t="n">
        <v>60</v>
      </c>
      <c r="AS3121" s="20" t="str">
        <f aca="false">HYPERLINK("http://www.openstreetmap.org/?mlat=34.5849&amp;mlon=43.6825&amp;zoom=12#map=12/34.5849/43.6825","Maplink1")</f>
        <v>Maplink1</v>
      </c>
      <c r="AT3121" s="20" t="str">
        <f aca="false">HYPERLINK("https://www.google.iq/maps/search/+34.5849,43.6825/@34.5849,43.6825,14z?hl=en","Maplink2")</f>
        <v>Maplink2</v>
      </c>
      <c r="AU3121" s="20" t="str">
        <f aca="false">HYPERLINK("http://www.bing.com/maps/?lvl=14&amp;sty=h&amp;cp=34.5849~43.6825&amp;sp=point.34.5849_43.6825","Maplink3")</f>
        <v>Maplink3</v>
      </c>
    </row>
    <row r="3122" customFormat="false" ht="15" hidden="false" customHeight="true" outlineLevel="0" collapsed="false">
      <c r="A3122" s="15" t="n">
        <v>20624</v>
      </c>
      <c r="B3122" s="16" t="s">
        <v>29</v>
      </c>
      <c r="C3122" s="16" t="s">
        <v>5888</v>
      </c>
      <c r="D3122" s="16" t="s">
        <v>5966</v>
      </c>
      <c r="E3122" s="17" t="s">
        <v>5967</v>
      </c>
      <c r="F3122" s="16" t="n">
        <v>34.58267792</v>
      </c>
      <c r="G3122" s="16" t="n">
        <v>43.68829058</v>
      </c>
      <c r="H3122" s="18" t="n">
        <v>270</v>
      </c>
      <c r="I3122" s="18" t="n">
        <v>1620</v>
      </c>
      <c r="J3122" s="19"/>
      <c r="K3122" s="19"/>
      <c r="L3122" s="19"/>
      <c r="M3122" s="19"/>
      <c r="N3122" s="19"/>
      <c r="O3122" s="19"/>
      <c r="P3122" s="19"/>
      <c r="Q3122" s="19"/>
      <c r="R3122" s="19"/>
      <c r="S3122" s="19"/>
      <c r="T3122" s="19"/>
      <c r="U3122" s="19"/>
      <c r="V3122" s="19" t="n">
        <v>33</v>
      </c>
      <c r="W3122" s="19"/>
      <c r="X3122" s="19" t="n">
        <v>237</v>
      </c>
      <c r="Y3122" s="19"/>
      <c r="Z3122" s="19"/>
      <c r="AA3122" s="19"/>
      <c r="AB3122" s="19"/>
      <c r="AC3122" s="19" t="n">
        <v>80</v>
      </c>
      <c r="AD3122" s="19"/>
      <c r="AE3122" s="19" t="n">
        <v>55</v>
      </c>
      <c r="AF3122" s="19"/>
      <c r="AG3122" s="19"/>
      <c r="AH3122" s="19" t="n">
        <v>24</v>
      </c>
      <c r="AI3122" s="19"/>
      <c r="AJ3122" s="19" t="n">
        <v>111</v>
      </c>
      <c r="AK3122" s="19"/>
      <c r="AL3122" s="19"/>
      <c r="AM3122" s="19"/>
      <c r="AN3122" s="19"/>
      <c r="AO3122" s="19"/>
      <c r="AP3122" s="19" t="n">
        <v>21</v>
      </c>
      <c r="AQ3122" s="19" t="n">
        <v>157</v>
      </c>
      <c r="AR3122" s="19" t="n">
        <v>92</v>
      </c>
      <c r="AS3122" s="20" t="str">
        <f aca="false">HYPERLINK("http://www.openstreetmap.org/?mlat=34.5827&amp;mlon=43.6883&amp;zoom=12#map=12/34.5827/43.6883","Maplink1")</f>
        <v>Maplink1</v>
      </c>
      <c r="AT3122" s="20" t="str">
        <f aca="false">HYPERLINK("https://www.google.iq/maps/search/+34.5827,43.6883/@34.5827,43.6883,14z?hl=en","Maplink2")</f>
        <v>Maplink2</v>
      </c>
      <c r="AU3122" s="20" t="str">
        <f aca="false">HYPERLINK("http://www.bing.com/maps/?lvl=14&amp;sty=h&amp;cp=34.5827~43.6883&amp;sp=point.34.5827_43.6883","Maplink3")</f>
        <v>Maplink3</v>
      </c>
    </row>
    <row r="3123" customFormat="false" ht="15" hidden="false" customHeight="true" outlineLevel="0" collapsed="false">
      <c r="A3123" s="15" t="n">
        <v>25962</v>
      </c>
      <c r="B3123" s="16" t="s">
        <v>29</v>
      </c>
      <c r="C3123" s="16" t="s">
        <v>5888</v>
      </c>
      <c r="D3123" s="16" t="s">
        <v>5968</v>
      </c>
      <c r="E3123" s="17" t="s">
        <v>5969</v>
      </c>
      <c r="F3123" s="16" t="n">
        <v>34.61217676</v>
      </c>
      <c r="G3123" s="16" t="n">
        <v>43.68086113</v>
      </c>
      <c r="H3123" s="18" t="n">
        <v>303</v>
      </c>
      <c r="I3123" s="18" t="n">
        <v>1818</v>
      </c>
      <c r="J3123" s="19"/>
      <c r="K3123" s="19"/>
      <c r="L3123" s="19"/>
      <c r="M3123" s="19"/>
      <c r="N3123" s="19"/>
      <c r="O3123" s="19"/>
      <c r="P3123" s="19"/>
      <c r="Q3123" s="19"/>
      <c r="R3123" s="19" t="n">
        <v>27</v>
      </c>
      <c r="S3123" s="19"/>
      <c r="T3123" s="19"/>
      <c r="U3123" s="19"/>
      <c r="V3123" s="19" t="n">
        <v>36</v>
      </c>
      <c r="W3123" s="19"/>
      <c r="X3123" s="19" t="n">
        <v>240</v>
      </c>
      <c r="Y3123" s="19"/>
      <c r="Z3123" s="19"/>
      <c r="AA3123" s="19"/>
      <c r="AB3123" s="19"/>
      <c r="AC3123" s="19" t="n">
        <v>20</v>
      </c>
      <c r="AD3123" s="19"/>
      <c r="AE3123" s="19" t="n">
        <v>15</v>
      </c>
      <c r="AF3123" s="19"/>
      <c r="AG3123" s="19"/>
      <c r="AH3123" s="19" t="n">
        <v>132</v>
      </c>
      <c r="AI3123" s="19" t="n">
        <v>10</v>
      </c>
      <c r="AJ3123" s="19" t="n">
        <v>126</v>
      </c>
      <c r="AK3123" s="19"/>
      <c r="AL3123" s="19"/>
      <c r="AM3123" s="19"/>
      <c r="AN3123" s="19"/>
      <c r="AO3123" s="19"/>
      <c r="AP3123" s="19" t="n">
        <v>20</v>
      </c>
      <c r="AQ3123" s="19" t="n">
        <v>174</v>
      </c>
      <c r="AR3123" s="19" t="n">
        <v>109</v>
      </c>
      <c r="AS3123" s="20" t="str">
        <f aca="false">HYPERLINK("http://www.openstreetmap.org/?mlat=34.6122&amp;mlon=43.6809&amp;zoom=12#map=12/34.6122/43.6809","Maplink1")</f>
        <v>Maplink1</v>
      </c>
      <c r="AT3123" s="20" t="str">
        <f aca="false">HYPERLINK("https://www.google.iq/maps/search/+34.6122,43.6809/@34.6122,43.6809,14z?hl=en","Maplink2")</f>
        <v>Maplink2</v>
      </c>
      <c r="AU3123" s="20" t="str">
        <f aca="false">HYPERLINK("http://www.bing.com/maps/?lvl=14&amp;sty=h&amp;cp=34.6122~43.6809&amp;sp=point.34.6122_43.6809","Maplink3")</f>
        <v>Maplink3</v>
      </c>
    </row>
    <row r="3124" customFormat="false" ht="15" hidden="false" customHeight="true" outlineLevel="0" collapsed="false">
      <c r="A3124" s="15" t="n">
        <v>22966</v>
      </c>
      <c r="B3124" s="16" t="s">
        <v>29</v>
      </c>
      <c r="C3124" s="16" t="s">
        <v>5888</v>
      </c>
      <c r="D3124" s="16" t="s">
        <v>5970</v>
      </c>
      <c r="E3124" s="17" t="s">
        <v>5971</v>
      </c>
      <c r="F3124" s="16" t="n">
        <v>34.58833211</v>
      </c>
      <c r="G3124" s="16" t="n">
        <v>43.68183502</v>
      </c>
      <c r="H3124" s="18" t="n">
        <v>308</v>
      </c>
      <c r="I3124" s="18" t="n">
        <v>1848</v>
      </c>
      <c r="J3124" s="19" t="n">
        <v>8</v>
      </c>
      <c r="K3124" s="19"/>
      <c r="L3124" s="19"/>
      <c r="M3124" s="19"/>
      <c r="N3124" s="19"/>
      <c r="O3124" s="19"/>
      <c r="P3124" s="19"/>
      <c r="Q3124" s="19"/>
      <c r="R3124" s="19"/>
      <c r="S3124" s="19"/>
      <c r="T3124" s="19"/>
      <c r="U3124" s="19"/>
      <c r="V3124" s="19" t="n">
        <v>11</v>
      </c>
      <c r="W3124" s="19"/>
      <c r="X3124" s="19" t="n">
        <v>289</v>
      </c>
      <c r="Y3124" s="19"/>
      <c r="Z3124" s="19"/>
      <c r="AA3124" s="19"/>
      <c r="AB3124" s="19"/>
      <c r="AC3124" s="19" t="n">
        <v>187</v>
      </c>
      <c r="AD3124" s="19"/>
      <c r="AE3124" s="19"/>
      <c r="AF3124" s="19"/>
      <c r="AG3124" s="19"/>
      <c r="AH3124" s="19" t="n">
        <v>93</v>
      </c>
      <c r="AI3124" s="19"/>
      <c r="AJ3124" s="19" t="n">
        <v>28</v>
      </c>
      <c r="AK3124" s="19"/>
      <c r="AL3124" s="19"/>
      <c r="AM3124" s="19"/>
      <c r="AN3124" s="19"/>
      <c r="AO3124" s="19"/>
      <c r="AP3124" s="19" t="n">
        <v>46</v>
      </c>
      <c r="AQ3124" s="19" t="n">
        <v>261</v>
      </c>
      <c r="AR3124" s="19" t="n">
        <v>1</v>
      </c>
      <c r="AS3124" s="20" t="str">
        <f aca="false">HYPERLINK("http://www.openstreetmap.org/?mlat=34.5883&amp;mlon=43.6818&amp;zoom=12#map=12/34.5883/43.6818","Maplink1")</f>
        <v>Maplink1</v>
      </c>
      <c r="AT3124" s="20" t="str">
        <f aca="false">HYPERLINK("https://www.google.iq/maps/search/+34.5883,43.6818/@34.5883,43.6818,14z?hl=en","Maplink2")</f>
        <v>Maplink2</v>
      </c>
      <c r="AU3124" s="20" t="str">
        <f aca="false">HYPERLINK("http://www.bing.com/maps/?lvl=14&amp;sty=h&amp;cp=34.5883~43.6818&amp;sp=point.34.5883_43.6818","Maplink3")</f>
        <v>Maplink3</v>
      </c>
    </row>
    <row r="3125" customFormat="false" ht="15" hidden="false" customHeight="true" outlineLevel="0" collapsed="false">
      <c r="A3125" s="15" t="n">
        <v>28449</v>
      </c>
      <c r="B3125" s="16" t="s">
        <v>29</v>
      </c>
      <c r="C3125" s="16" t="s">
        <v>5888</v>
      </c>
      <c r="D3125" s="16" t="s">
        <v>5972</v>
      </c>
      <c r="E3125" s="17" t="s">
        <v>5973</v>
      </c>
      <c r="F3125" s="16" t="n">
        <v>34.69929617</v>
      </c>
      <c r="G3125" s="16" t="n">
        <v>43.70954756</v>
      </c>
      <c r="H3125" s="18" t="n">
        <v>558</v>
      </c>
      <c r="I3125" s="18" t="n">
        <v>3348</v>
      </c>
      <c r="J3125" s="19"/>
      <c r="K3125" s="19"/>
      <c r="L3125" s="19"/>
      <c r="M3125" s="19"/>
      <c r="N3125" s="19"/>
      <c r="O3125" s="19"/>
      <c r="P3125" s="19"/>
      <c r="Q3125" s="19"/>
      <c r="R3125" s="19" t="n">
        <v>415</v>
      </c>
      <c r="S3125" s="19"/>
      <c r="T3125" s="19"/>
      <c r="U3125" s="19"/>
      <c r="V3125" s="19"/>
      <c r="W3125" s="19"/>
      <c r="X3125" s="19" t="n">
        <v>143</v>
      </c>
      <c r="Y3125" s="19"/>
      <c r="Z3125" s="19"/>
      <c r="AA3125" s="19"/>
      <c r="AB3125" s="19"/>
      <c r="AC3125" s="19"/>
      <c r="AD3125" s="19"/>
      <c r="AE3125" s="19"/>
      <c r="AF3125" s="19"/>
      <c r="AG3125" s="19"/>
      <c r="AH3125" s="19" t="n">
        <v>260</v>
      </c>
      <c r="AI3125" s="19" t="n">
        <v>43</v>
      </c>
      <c r="AJ3125" s="19" t="n">
        <v>255</v>
      </c>
      <c r="AK3125" s="19"/>
      <c r="AL3125" s="19"/>
      <c r="AM3125" s="19"/>
      <c r="AN3125" s="19"/>
      <c r="AO3125" s="19"/>
      <c r="AP3125" s="19" t="n">
        <v>210</v>
      </c>
      <c r="AQ3125" s="19" t="n">
        <v>43</v>
      </c>
      <c r="AR3125" s="19" t="n">
        <v>305</v>
      </c>
      <c r="AS3125" s="20" t="str">
        <f aca="false">HYPERLINK("http://www.openstreetmap.org/?mlat=34.6993&amp;mlon=43.7095&amp;zoom=12#map=12/34.6993/43.7095","Maplink1")</f>
        <v>Maplink1</v>
      </c>
      <c r="AT3125" s="20" t="str">
        <f aca="false">HYPERLINK("https://www.google.iq/maps/search/+34.6993,43.7095/@34.6993,43.7095,14z?hl=en","Maplink2")</f>
        <v>Maplink2</v>
      </c>
      <c r="AU3125" s="20" t="str">
        <f aca="false">HYPERLINK("http://www.bing.com/maps/?lvl=14&amp;sty=h&amp;cp=34.6993~43.7095&amp;sp=point.34.6993_43.7095","Maplink3")</f>
        <v>Maplink3</v>
      </c>
    </row>
    <row r="3126" customFormat="false" ht="15" hidden="false" customHeight="true" outlineLevel="0" collapsed="false">
      <c r="A3126" s="15" t="n">
        <v>22470</v>
      </c>
      <c r="B3126" s="16" t="s">
        <v>29</v>
      </c>
      <c r="C3126" s="16" t="s">
        <v>5888</v>
      </c>
      <c r="D3126" s="16" t="s">
        <v>5974</v>
      </c>
      <c r="E3126" s="17" t="s">
        <v>5975</v>
      </c>
      <c r="F3126" s="16" t="n">
        <v>34.68825</v>
      </c>
      <c r="G3126" s="16" t="n">
        <v>43.7121611</v>
      </c>
      <c r="H3126" s="18" t="n">
        <v>205</v>
      </c>
      <c r="I3126" s="18" t="n">
        <v>1230</v>
      </c>
      <c r="J3126" s="19"/>
      <c r="K3126" s="19"/>
      <c r="L3126" s="19"/>
      <c r="M3126" s="19"/>
      <c r="N3126" s="19"/>
      <c r="O3126" s="19"/>
      <c r="P3126" s="19"/>
      <c r="Q3126" s="19"/>
      <c r="R3126" s="19" t="n">
        <v>70</v>
      </c>
      <c r="S3126" s="19"/>
      <c r="T3126" s="19"/>
      <c r="U3126" s="19"/>
      <c r="V3126" s="19"/>
      <c r="W3126" s="19"/>
      <c r="X3126" s="19" t="n">
        <v>135</v>
      </c>
      <c r="Y3126" s="19"/>
      <c r="Z3126" s="19"/>
      <c r="AA3126" s="19"/>
      <c r="AB3126" s="19"/>
      <c r="AC3126" s="19" t="n">
        <v>37</v>
      </c>
      <c r="AD3126" s="19"/>
      <c r="AE3126" s="19" t="n">
        <v>30</v>
      </c>
      <c r="AF3126" s="19"/>
      <c r="AG3126" s="19"/>
      <c r="AH3126" s="19" t="n">
        <v>35</v>
      </c>
      <c r="AI3126" s="19" t="n">
        <v>8</v>
      </c>
      <c r="AJ3126" s="19" t="n">
        <v>95</v>
      </c>
      <c r="AK3126" s="19"/>
      <c r="AL3126" s="19"/>
      <c r="AM3126" s="19"/>
      <c r="AN3126" s="19"/>
      <c r="AO3126" s="19"/>
      <c r="AP3126" s="19" t="n">
        <v>205</v>
      </c>
      <c r="AQ3126" s="19"/>
      <c r="AR3126" s="19"/>
      <c r="AS3126" s="20" t="str">
        <f aca="false">HYPERLINK("http://www.openstreetmap.org/?mlat=34.6882&amp;mlon=43.7122&amp;zoom=12#map=12/34.6882/43.7122","Maplink1")</f>
        <v>Maplink1</v>
      </c>
      <c r="AT3126" s="20" t="str">
        <f aca="false">HYPERLINK("https://www.google.iq/maps/search/+34.6882,43.7122/@34.6882,43.7122,14z?hl=en","Maplink2")</f>
        <v>Maplink2</v>
      </c>
      <c r="AU3126" s="20" t="str">
        <f aca="false">HYPERLINK("http://www.bing.com/maps/?lvl=14&amp;sty=h&amp;cp=34.6882~43.7122&amp;sp=point.34.6882_43.7122","Maplink3")</f>
        <v>Maplink3</v>
      </c>
    </row>
    <row r="3127" customFormat="false" ht="15" hidden="false" customHeight="true" outlineLevel="0" collapsed="false">
      <c r="A3127" s="15" t="n">
        <v>22059</v>
      </c>
      <c r="B3127" s="16" t="s">
        <v>29</v>
      </c>
      <c r="C3127" s="16" t="s">
        <v>5888</v>
      </c>
      <c r="D3127" s="16" t="s">
        <v>5976</v>
      </c>
      <c r="E3127" s="17" t="s">
        <v>5977</v>
      </c>
      <c r="F3127" s="16" t="n">
        <v>34.791057</v>
      </c>
      <c r="G3127" s="16" t="n">
        <v>43.61982675</v>
      </c>
      <c r="H3127" s="18" t="n">
        <v>1656</v>
      </c>
      <c r="I3127" s="18" t="n">
        <v>9936</v>
      </c>
      <c r="J3127" s="19"/>
      <c r="K3127" s="19"/>
      <c r="L3127" s="19"/>
      <c r="M3127" s="19"/>
      <c r="N3127" s="19"/>
      <c r="O3127" s="19"/>
      <c r="P3127" s="19"/>
      <c r="Q3127" s="19"/>
      <c r="R3127" s="19" t="n">
        <v>807</v>
      </c>
      <c r="S3127" s="19"/>
      <c r="T3127" s="19"/>
      <c r="U3127" s="19"/>
      <c r="V3127" s="19" t="n">
        <v>60</v>
      </c>
      <c r="W3127" s="19"/>
      <c r="X3127" s="19" t="n">
        <v>789</v>
      </c>
      <c r="Y3127" s="19"/>
      <c r="Z3127" s="19"/>
      <c r="AA3127" s="19"/>
      <c r="AB3127" s="19"/>
      <c r="AC3127" s="19" t="n">
        <v>100</v>
      </c>
      <c r="AD3127" s="19"/>
      <c r="AE3127" s="19" t="n">
        <v>1326</v>
      </c>
      <c r="AF3127" s="19"/>
      <c r="AG3127" s="19"/>
      <c r="AH3127" s="19" t="n">
        <v>50</v>
      </c>
      <c r="AI3127" s="19"/>
      <c r="AJ3127" s="19" t="n">
        <v>180</v>
      </c>
      <c r="AK3127" s="19"/>
      <c r="AL3127" s="19"/>
      <c r="AM3127" s="19"/>
      <c r="AN3127" s="19" t="n">
        <v>22</v>
      </c>
      <c r="AO3127" s="19"/>
      <c r="AP3127" s="19" t="n">
        <v>390</v>
      </c>
      <c r="AQ3127" s="19" t="n">
        <v>349</v>
      </c>
      <c r="AR3127" s="19" t="n">
        <v>895</v>
      </c>
      <c r="AS3127" s="20" t="str">
        <f aca="false">HYPERLINK("http://www.openstreetmap.org/?mlat=34.7911&amp;mlon=43.6198&amp;zoom=12#map=12/34.7911/43.6198","Maplink1")</f>
        <v>Maplink1</v>
      </c>
      <c r="AT3127" s="20" t="str">
        <f aca="false">HYPERLINK("https://www.google.iq/maps/search/+34.7911,43.6198/@34.7911,43.6198,14z?hl=en","Maplink2")</f>
        <v>Maplink2</v>
      </c>
      <c r="AU3127" s="20" t="str">
        <f aca="false">HYPERLINK("http://www.bing.com/maps/?lvl=14&amp;sty=h&amp;cp=34.7911~43.6198&amp;sp=point.34.7911_43.6198","Maplink3")</f>
        <v>Maplink3</v>
      </c>
    </row>
    <row r="3128" customFormat="false" ht="15" hidden="false" customHeight="true" outlineLevel="0" collapsed="false">
      <c r="A3128" s="15" t="n">
        <v>25922</v>
      </c>
      <c r="B3128" s="16" t="s">
        <v>29</v>
      </c>
      <c r="C3128" s="16" t="s">
        <v>5888</v>
      </c>
      <c r="D3128" s="16" t="s">
        <v>5978</v>
      </c>
      <c r="E3128" s="17" t="s">
        <v>5979</v>
      </c>
      <c r="F3128" s="16" t="n">
        <v>34.63441957</v>
      </c>
      <c r="G3128" s="16" t="n">
        <v>43.66698068</v>
      </c>
      <c r="H3128" s="18" t="n">
        <v>914</v>
      </c>
      <c r="I3128" s="18" t="n">
        <v>5484</v>
      </c>
      <c r="J3128" s="19"/>
      <c r="K3128" s="19"/>
      <c r="L3128" s="19"/>
      <c r="M3128" s="19"/>
      <c r="N3128" s="19"/>
      <c r="O3128" s="19"/>
      <c r="P3128" s="19"/>
      <c r="Q3128" s="19"/>
      <c r="R3128" s="19" t="n">
        <v>32</v>
      </c>
      <c r="S3128" s="19"/>
      <c r="T3128" s="19"/>
      <c r="U3128" s="19"/>
      <c r="V3128" s="19" t="n">
        <v>115</v>
      </c>
      <c r="W3128" s="19"/>
      <c r="X3128" s="19" t="n">
        <v>767</v>
      </c>
      <c r="Y3128" s="19"/>
      <c r="Z3128" s="19"/>
      <c r="AA3128" s="19"/>
      <c r="AB3128" s="19"/>
      <c r="AC3128" s="19" t="n">
        <v>105</v>
      </c>
      <c r="AD3128" s="19"/>
      <c r="AE3128" s="19"/>
      <c r="AF3128" s="19"/>
      <c r="AG3128" s="19"/>
      <c r="AH3128" s="19" t="n">
        <v>386</v>
      </c>
      <c r="AI3128" s="19" t="n">
        <v>10</v>
      </c>
      <c r="AJ3128" s="19" t="n">
        <v>413</v>
      </c>
      <c r="AK3128" s="19"/>
      <c r="AL3128" s="19"/>
      <c r="AM3128" s="19"/>
      <c r="AN3128" s="19"/>
      <c r="AO3128" s="19"/>
      <c r="AP3128" s="19" t="n">
        <v>318</v>
      </c>
      <c r="AQ3128" s="19" t="n">
        <v>457</v>
      </c>
      <c r="AR3128" s="19" t="n">
        <v>139</v>
      </c>
      <c r="AS3128" s="20" t="str">
        <f aca="false">HYPERLINK("http://www.openstreetmap.org/?mlat=34.6344&amp;mlon=43.667&amp;zoom=12#map=12/34.6344/43.667","Maplink1")</f>
        <v>Maplink1</v>
      </c>
      <c r="AT3128" s="20" t="str">
        <f aca="false">HYPERLINK("https://www.google.iq/maps/search/+34.6344,43.667/@34.6344,43.667,14z?hl=en","Maplink2")</f>
        <v>Maplink2</v>
      </c>
      <c r="AU3128" s="20" t="str">
        <f aca="false">HYPERLINK("http://www.bing.com/maps/?lvl=14&amp;sty=h&amp;cp=34.6344~43.667&amp;sp=point.34.6344_43.667","Maplink3")</f>
        <v>Maplink3</v>
      </c>
    </row>
    <row r="3129" customFormat="false" ht="15" hidden="false" customHeight="true" outlineLevel="0" collapsed="false">
      <c r="A3129" s="15" t="n">
        <v>25923</v>
      </c>
      <c r="B3129" s="16" t="s">
        <v>29</v>
      </c>
      <c r="C3129" s="16" t="s">
        <v>5888</v>
      </c>
      <c r="D3129" s="16" t="s">
        <v>5980</v>
      </c>
      <c r="E3129" s="17" t="s">
        <v>5981</v>
      </c>
      <c r="F3129" s="16" t="n">
        <v>34.64923024</v>
      </c>
      <c r="G3129" s="16" t="n">
        <v>43.66119464</v>
      </c>
      <c r="H3129" s="18" t="n">
        <v>3112</v>
      </c>
      <c r="I3129" s="18" t="n">
        <v>18672</v>
      </c>
      <c r="J3129" s="19"/>
      <c r="K3129" s="19"/>
      <c r="L3129" s="19"/>
      <c r="M3129" s="19"/>
      <c r="N3129" s="19"/>
      <c r="O3129" s="19"/>
      <c r="P3129" s="19"/>
      <c r="Q3129" s="19"/>
      <c r="R3129" s="19" t="n">
        <v>344</v>
      </c>
      <c r="S3129" s="19"/>
      <c r="T3129" s="19"/>
      <c r="U3129" s="19"/>
      <c r="V3129" s="19" t="n">
        <v>404</v>
      </c>
      <c r="W3129" s="19"/>
      <c r="X3129" s="19" t="n">
        <v>2364</v>
      </c>
      <c r="Y3129" s="19"/>
      <c r="Z3129" s="19"/>
      <c r="AA3129" s="19"/>
      <c r="AB3129" s="19"/>
      <c r="AC3129" s="19" t="n">
        <v>220</v>
      </c>
      <c r="AD3129" s="19"/>
      <c r="AE3129" s="19"/>
      <c r="AF3129" s="19"/>
      <c r="AG3129" s="19"/>
      <c r="AH3129" s="19" t="n">
        <v>913</v>
      </c>
      <c r="AI3129" s="19"/>
      <c r="AJ3129" s="19" t="n">
        <v>1979</v>
      </c>
      <c r="AK3129" s="19"/>
      <c r="AL3129" s="19"/>
      <c r="AM3129" s="19"/>
      <c r="AN3129" s="19"/>
      <c r="AO3129" s="19"/>
      <c r="AP3129" s="19" t="n">
        <v>669</v>
      </c>
      <c r="AQ3129" s="19" t="n">
        <v>2148</v>
      </c>
      <c r="AR3129" s="19" t="n">
        <v>295</v>
      </c>
      <c r="AS3129" s="20" t="str">
        <f aca="false">HYPERLINK("http://www.openstreetmap.org/?mlat=34.6492&amp;mlon=43.6612&amp;zoom=12#map=12/34.6492/43.6612","Maplink1")</f>
        <v>Maplink1</v>
      </c>
      <c r="AT3129" s="20" t="str">
        <f aca="false">HYPERLINK("https://www.google.iq/maps/search/+34.6492,43.6612/@34.6492,43.6612,14z?hl=en","Maplink2")</f>
        <v>Maplink2</v>
      </c>
      <c r="AU3129" s="20" t="str">
        <f aca="false">HYPERLINK("http://www.bing.com/maps/?lvl=14&amp;sty=h&amp;cp=34.6492~43.6612&amp;sp=point.34.6492_43.6612","Maplink3")</f>
        <v>Maplink3</v>
      </c>
    </row>
    <row r="3130" customFormat="false" ht="15" hidden="false" customHeight="true" outlineLevel="0" collapsed="false">
      <c r="A3130" s="15" t="n">
        <v>22180</v>
      </c>
      <c r="B3130" s="16" t="s">
        <v>29</v>
      </c>
      <c r="C3130" s="16" t="s">
        <v>5888</v>
      </c>
      <c r="D3130" s="16" t="s">
        <v>5982</v>
      </c>
      <c r="E3130" s="17" t="s">
        <v>5983</v>
      </c>
      <c r="F3130" s="16" t="n">
        <v>34.61817178</v>
      </c>
      <c r="G3130" s="16" t="n">
        <v>43.71594338</v>
      </c>
      <c r="H3130" s="18" t="n">
        <v>281</v>
      </c>
      <c r="I3130" s="18" t="n">
        <v>1686</v>
      </c>
      <c r="J3130" s="19"/>
      <c r="K3130" s="19"/>
      <c r="L3130" s="19"/>
      <c r="M3130" s="19"/>
      <c r="N3130" s="19"/>
      <c r="O3130" s="19"/>
      <c r="P3130" s="19"/>
      <c r="Q3130" s="19"/>
      <c r="R3130" s="19"/>
      <c r="S3130" s="19"/>
      <c r="T3130" s="19"/>
      <c r="U3130" s="19"/>
      <c r="V3130" s="19" t="n">
        <v>27</v>
      </c>
      <c r="W3130" s="19"/>
      <c r="X3130" s="19" t="n">
        <v>254</v>
      </c>
      <c r="Y3130" s="19"/>
      <c r="Z3130" s="19"/>
      <c r="AA3130" s="19"/>
      <c r="AB3130" s="19"/>
      <c r="AC3130" s="19" t="n">
        <v>25</v>
      </c>
      <c r="AD3130" s="19"/>
      <c r="AE3130" s="19" t="n">
        <v>50</v>
      </c>
      <c r="AF3130" s="19"/>
      <c r="AG3130" s="19"/>
      <c r="AH3130" s="19" t="n">
        <v>30</v>
      </c>
      <c r="AI3130" s="19"/>
      <c r="AJ3130" s="19" t="n">
        <v>176</v>
      </c>
      <c r="AK3130" s="19"/>
      <c r="AL3130" s="19"/>
      <c r="AM3130" s="19"/>
      <c r="AN3130" s="19"/>
      <c r="AO3130" s="19"/>
      <c r="AP3130" s="19"/>
      <c r="AQ3130" s="19" t="n">
        <v>281</v>
      </c>
      <c r="AR3130" s="19"/>
      <c r="AS3130" s="20" t="str">
        <f aca="false">HYPERLINK("http://www.openstreetmap.org/?mlat=34.6182&amp;mlon=43.7159&amp;zoom=12#map=12/34.6182/43.7159","Maplink1")</f>
        <v>Maplink1</v>
      </c>
      <c r="AT3130" s="20" t="str">
        <f aca="false">HYPERLINK("https://www.google.iq/maps/search/+34.6182,43.7159/@34.6182,43.7159,14z?hl=en","Maplink2")</f>
        <v>Maplink2</v>
      </c>
      <c r="AU3130" s="20" t="str">
        <f aca="false">HYPERLINK("http://www.bing.com/maps/?lvl=14&amp;sty=h&amp;cp=34.6182~43.7159&amp;sp=point.34.6182_43.7159","Maplink3")</f>
        <v>Maplink3</v>
      </c>
    </row>
    <row r="3131" customFormat="false" ht="15" hidden="false" customHeight="true" outlineLevel="0" collapsed="false">
      <c r="A3131" s="15" t="n">
        <v>20612</v>
      </c>
      <c r="B3131" s="16" t="s">
        <v>29</v>
      </c>
      <c r="C3131" s="16" t="s">
        <v>5888</v>
      </c>
      <c r="D3131" s="16" t="s">
        <v>5984</v>
      </c>
      <c r="E3131" s="17" t="s">
        <v>5985</v>
      </c>
      <c r="F3131" s="16" t="n">
        <v>34.75423247</v>
      </c>
      <c r="G3131" s="16" t="n">
        <v>43.67001384</v>
      </c>
      <c r="H3131" s="18" t="n">
        <v>413</v>
      </c>
      <c r="I3131" s="18" t="n">
        <v>2478</v>
      </c>
      <c r="J3131" s="19"/>
      <c r="K3131" s="19"/>
      <c r="L3131" s="19"/>
      <c r="M3131" s="19"/>
      <c r="N3131" s="19"/>
      <c r="O3131" s="19"/>
      <c r="P3131" s="19"/>
      <c r="Q3131" s="19"/>
      <c r="R3131" s="19" t="n">
        <v>330</v>
      </c>
      <c r="S3131" s="19"/>
      <c r="T3131" s="19"/>
      <c r="U3131" s="19"/>
      <c r="V3131" s="19"/>
      <c r="W3131" s="19"/>
      <c r="X3131" s="19" t="n">
        <v>83</v>
      </c>
      <c r="Y3131" s="19"/>
      <c r="Z3131" s="19"/>
      <c r="AA3131" s="19"/>
      <c r="AB3131" s="19"/>
      <c r="AC3131" s="19"/>
      <c r="AD3131" s="19"/>
      <c r="AE3131" s="19" t="n">
        <v>30</v>
      </c>
      <c r="AF3131" s="19"/>
      <c r="AG3131" s="19"/>
      <c r="AH3131" s="19" t="n">
        <v>8</v>
      </c>
      <c r="AI3131" s="19"/>
      <c r="AJ3131" s="19" t="n">
        <v>275</v>
      </c>
      <c r="AK3131" s="19" t="n">
        <v>100</v>
      </c>
      <c r="AL3131" s="19"/>
      <c r="AM3131" s="19"/>
      <c r="AN3131" s="19"/>
      <c r="AO3131" s="19"/>
      <c r="AP3131" s="19"/>
      <c r="AQ3131" s="19" t="n">
        <v>59</v>
      </c>
      <c r="AR3131" s="19" t="n">
        <v>354</v>
      </c>
      <c r="AS3131" s="20" t="str">
        <f aca="false">HYPERLINK("http://www.openstreetmap.org/?mlat=34.7542&amp;mlon=43.67&amp;zoom=12#map=12/34.7542/43.67","Maplink1")</f>
        <v>Maplink1</v>
      </c>
      <c r="AT3131" s="20" t="str">
        <f aca="false">HYPERLINK("https://www.google.iq/maps/search/+34.7542,43.67/@34.7542,43.67,14z?hl=en","Maplink2")</f>
        <v>Maplink2</v>
      </c>
      <c r="AU3131" s="20" t="str">
        <f aca="false">HYPERLINK("http://www.bing.com/maps/?lvl=14&amp;sty=h&amp;cp=34.7542~43.67&amp;sp=point.34.7542_43.67","Maplink3")</f>
        <v>Maplink3</v>
      </c>
    </row>
    <row r="3132" customFormat="false" ht="15" hidden="false" customHeight="true" outlineLevel="0" collapsed="false">
      <c r="A3132" s="15" t="n">
        <v>25950</v>
      </c>
      <c r="B3132" s="16" t="s">
        <v>29</v>
      </c>
      <c r="C3132" s="16" t="s">
        <v>5888</v>
      </c>
      <c r="D3132" s="16" t="s">
        <v>5986</v>
      </c>
      <c r="E3132" s="17" t="s">
        <v>5987</v>
      </c>
      <c r="F3132" s="16" t="n">
        <v>34.82091767</v>
      </c>
      <c r="G3132" s="16" t="n">
        <v>43.57805906</v>
      </c>
      <c r="H3132" s="18" t="n">
        <v>1316</v>
      </c>
      <c r="I3132" s="18" t="n">
        <v>7896</v>
      </c>
      <c r="J3132" s="19"/>
      <c r="K3132" s="19"/>
      <c r="L3132" s="19"/>
      <c r="M3132" s="19"/>
      <c r="N3132" s="19"/>
      <c r="O3132" s="19"/>
      <c r="P3132" s="19"/>
      <c r="Q3132" s="19"/>
      <c r="R3132" s="19" t="n">
        <v>1150</v>
      </c>
      <c r="S3132" s="19"/>
      <c r="T3132" s="19"/>
      <c r="U3132" s="19"/>
      <c r="V3132" s="19" t="n">
        <v>98</v>
      </c>
      <c r="W3132" s="19"/>
      <c r="X3132" s="19" t="n">
        <v>68</v>
      </c>
      <c r="Y3132" s="19"/>
      <c r="Z3132" s="19"/>
      <c r="AA3132" s="19"/>
      <c r="AB3132" s="19" t="n">
        <v>1316</v>
      </c>
      <c r="AC3132" s="19"/>
      <c r="AD3132" s="19"/>
      <c r="AE3132" s="19"/>
      <c r="AF3132" s="19"/>
      <c r="AG3132" s="19"/>
      <c r="AH3132" s="19"/>
      <c r="AI3132" s="19"/>
      <c r="AJ3132" s="19"/>
      <c r="AK3132" s="19"/>
      <c r="AL3132" s="19"/>
      <c r="AM3132" s="19"/>
      <c r="AN3132" s="19"/>
      <c r="AO3132" s="19"/>
      <c r="AP3132" s="19"/>
      <c r="AQ3132" s="19" t="n">
        <v>100</v>
      </c>
      <c r="AR3132" s="19" t="n">
        <v>1216</v>
      </c>
      <c r="AS3132" s="20" t="str">
        <f aca="false">HYPERLINK("http://www.openstreetmap.org/?mlat=34.8209&amp;mlon=43.5781&amp;zoom=12#map=12/34.8209/43.5781","Maplink1")</f>
        <v>Maplink1</v>
      </c>
      <c r="AT3132" s="20" t="str">
        <f aca="false">HYPERLINK("https://www.google.iq/maps/search/+34.8209,43.5781/@34.8209,43.5781,14z?hl=en","Maplink2")</f>
        <v>Maplink2</v>
      </c>
      <c r="AU3132" s="20" t="str">
        <f aca="false">HYPERLINK("http://www.bing.com/maps/?lvl=14&amp;sty=h&amp;cp=34.8209~43.5781&amp;sp=point.34.8209_43.5781","Maplink3")</f>
        <v>Maplink3</v>
      </c>
    </row>
    <row r="3133" customFormat="false" ht="15" hidden="false" customHeight="true" outlineLevel="0" collapsed="false">
      <c r="A3133" s="15" t="n">
        <v>20666</v>
      </c>
      <c r="B3133" s="16" t="s">
        <v>29</v>
      </c>
      <c r="C3133" s="16" t="s">
        <v>5888</v>
      </c>
      <c r="D3133" s="16" t="s">
        <v>5988</v>
      </c>
      <c r="E3133" s="17" t="s">
        <v>5989</v>
      </c>
      <c r="F3133" s="16" t="n">
        <v>34.47276123</v>
      </c>
      <c r="G3133" s="16" t="n">
        <v>43.73420029</v>
      </c>
      <c r="H3133" s="18" t="n">
        <v>92</v>
      </c>
      <c r="I3133" s="18" t="n">
        <v>552</v>
      </c>
      <c r="J3133" s="19"/>
      <c r="K3133" s="19"/>
      <c r="L3133" s="19"/>
      <c r="M3133" s="19"/>
      <c r="N3133" s="19"/>
      <c r="O3133" s="19"/>
      <c r="P3133" s="19"/>
      <c r="Q3133" s="19"/>
      <c r="R3133" s="19"/>
      <c r="S3133" s="19"/>
      <c r="T3133" s="19"/>
      <c r="U3133" s="19"/>
      <c r="V3133" s="19"/>
      <c r="W3133" s="19"/>
      <c r="X3133" s="19" t="n">
        <v>92</v>
      </c>
      <c r="Y3133" s="19"/>
      <c r="Z3133" s="19"/>
      <c r="AA3133" s="19"/>
      <c r="AB3133" s="19"/>
      <c r="AC3133" s="19" t="n">
        <v>83</v>
      </c>
      <c r="AD3133" s="19"/>
      <c r="AE3133" s="19"/>
      <c r="AF3133" s="19"/>
      <c r="AG3133" s="19"/>
      <c r="AH3133" s="19" t="n">
        <v>9</v>
      </c>
      <c r="AI3133" s="19"/>
      <c r="AJ3133" s="19"/>
      <c r="AK3133" s="19"/>
      <c r="AL3133" s="19"/>
      <c r="AM3133" s="19"/>
      <c r="AN3133" s="19"/>
      <c r="AO3133" s="19"/>
      <c r="AP3133" s="19" t="n">
        <v>19</v>
      </c>
      <c r="AQ3133" s="19" t="n">
        <v>73</v>
      </c>
      <c r="AR3133" s="19"/>
      <c r="AS3133" s="20" t="str">
        <f aca="false">HYPERLINK("http://www.openstreetmap.org/?mlat=34.4728&amp;mlon=43.7342&amp;zoom=12#map=12/34.4728/43.7342","Maplink1")</f>
        <v>Maplink1</v>
      </c>
      <c r="AT3133" s="20" t="str">
        <f aca="false">HYPERLINK("https://www.google.iq/maps/search/+34.4728,43.7342/@34.4728,43.7342,14z?hl=en","Maplink2")</f>
        <v>Maplink2</v>
      </c>
      <c r="AU3133" s="20" t="str">
        <f aca="false">HYPERLINK("http://www.bing.com/maps/?lvl=14&amp;sty=h&amp;cp=34.4728~43.7342&amp;sp=point.34.4728_43.7342","Maplink3")</f>
        <v>Maplink3</v>
      </c>
    </row>
    <row r="3134" customFormat="false" ht="15" hidden="false" customHeight="true" outlineLevel="0" collapsed="false">
      <c r="A3134" s="15" t="n">
        <v>21846</v>
      </c>
      <c r="B3134" s="16" t="s">
        <v>29</v>
      </c>
      <c r="C3134" s="16" t="s">
        <v>5990</v>
      </c>
      <c r="D3134" s="16" t="s">
        <v>5991</v>
      </c>
      <c r="E3134" s="17" t="s">
        <v>5867</v>
      </c>
      <c r="F3134" s="16" t="n">
        <v>34.88669205</v>
      </c>
      <c r="G3134" s="16" t="n">
        <v>44.61779461</v>
      </c>
      <c r="H3134" s="18" t="n">
        <v>175</v>
      </c>
      <c r="I3134" s="18" t="n">
        <v>1050</v>
      </c>
      <c r="J3134" s="19" t="n">
        <v>10</v>
      </c>
      <c r="K3134" s="19"/>
      <c r="L3134" s="19"/>
      <c r="M3134" s="19"/>
      <c r="N3134" s="19"/>
      <c r="O3134" s="19" t="n">
        <v>6</v>
      </c>
      <c r="P3134" s="19"/>
      <c r="Q3134" s="19"/>
      <c r="R3134" s="19"/>
      <c r="S3134" s="19"/>
      <c r="T3134" s="19"/>
      <c r="U3134" s="19"/>
      <c r="V3134" s="19" t="n">
        <v>4</v>
      </c>
      <c r="W3134" s="19"/>
      <c r="X3134" s="19" t="n">
        <v>155</v>
      </c>
      <c r="Y3134" s="19"/>
      <c r="Z3134" s="19"/>
      <c r="AA3134" s="19"/>
      <c r="AB3134" s="19"/>
      <c r="AC3134" s="19" t="n">
        <v>26</v>
      </c>
      <c r="AD3134" s="19"/>
      <c r="AE3134" s="19"/>
      <c r="AF3134" s="19"/>
      <c r="AG3134" s="19"/>
      <c r="AH3134" s="19" t="n">
        <v>149</v>
      </c>
      <c r="AI3134" s="19"/>
      <c r="AJ3134" s="19"/>
      <c r="AK3134" s="19"/>
      <c r="AL3134" s="19" t="n">
        <v>9</v>
      </c>
      <c r="AM3134" s="19" t="n">
        <v>144</v>
      </c>
      <c r="AN3134" s="19" t="n">
        <v>12</v>
      </c>
      <c r="AO3134" s="19"/>
      <c r="AP3134" s="19" t="n">
        <v>10</v>
      </c>
      <c r="AQ3134" s="19"/>
      <c r="AR3134" s="19"/>
      <c r="AS3134" s="20" t="str">
        <f aca="false">HYPERLINK("http://www.openstreetmap.org/?mlat=34.8867&amp;mlon=44.6178&amp;zoom=12#map=12/34.8867/44.6178","Maplink1")</f>
        <v>Maplink1</v>
      </c>
      <c r="AT3134" s="20" t="str">
        <f aca="false">HYPERLINK("https://www.google.iq/maps/search/+34.8867,44.6178/@34.8867,44.6178,14z?hl=en","Maplink2")</f>
        <v>Maplink2</v>
      </c>
      <c r="AU3134" s="20" t="str">
        <f aca="false">HYPERLINK("http://www.bing.com/maps/?lvl=14&amp;sty=h&amp;cp=34.8867~44.6178&amp;sp=point.34.8867_44.6178","Maplink3")</f>
        <v>Maplink3</v>
      </c>
    </row>
    <row r="3135" customFormat="false" ht="15" hidden="false" customHeight="true" outlineLevel="0" collapsed="false">
      <c r="A3135" s="15" t="n">
        <v>25864</v>
      </c>
      <c r="B3135" s="16" t="s">
        <v>29</v>
      </c>
      <c r="C3135" s="16" t="s">
        <v>5990</v>
      </c>
      <c r="D3135" s="16" t="s">
        <v>5992</v>
      </c>
      <c r="E3135" s="17" t="s">
        <v>5993</v>
      </c>
      <c r="F3135" s="16" t="n">
        <v>34.88223604</v>
      </c>
      <c r="G3135" s="16" t="n">
        <v>44.63973426</v>
      </c>
      <c r="H3135" s="18" t="n">
        <v>20</v>
      </c>
      <c r="I3135" s="18" t="n">
        <v>120</v>
      </c>
      <c r="J3135" s="19"/>
      <c r="K3135" s="19"/>
      <c r="L3135" s="19"/>
      <c r="M3135" s="19"/>
      <c r="N3135" s="19"/>
      <c r="O3135" s="19"/>
      <c r="P3135" s="19"/>
      <c r="Q3135" s="19"/>
      <c r="R3135" s="19"/>
      <c r="S3135" s="19"/>
      <c r="T3135" s="19"/>
      <c r="U3135" s="19"/>
      <c r="V3135" s="19"/>
      <c r="W3135" s="19"/>
      <c r="X3135" s="19" t="n">
        <v>20</v>
      </c>
      <c r="Y3135" s="19"/>
      <c r="Z3135" s="19"/>
      <c r="AA3135" s="19"/>
      <c r="AB3135" s="19"/>
      <c r="AC3135" s="19"/>
      <c r="AD3135" s="19"/>
      <c r="AE3135" s="19"/>
      <c r="AF3135" s="19"/>
      <c r="AG3135" s="19"/>
      <c r="AH3135" s="19" t="n">
        <v>20</v>
      </c>
      <c r="AI3135" s="19"/>
      <c r="AJ3135" s="19"/>
      <c r="AK3135" s="19"/>
      <c r="AL3135" s="19"/>
      <c r="AM3135" s="19" t="n">
        <v>20</v>
      </c>
      <c r="AN3135" s="19"/>
      <c r="AO3135" s="19"/>
      <c r="AP3135" s="19"/>
      <c r="AQ3135" s="19"/>
      <c r="AR3135" s="19"/>
      <c r="AS3135" s="20" t="str">
        <f aca="false">HYPERLINK("http://www.openstreetmap.org/?mlat=34.8822&amp;mlon=44.6397&amp;zoom=12#map=12/34.8822/44.6397","Maplink1")</f>
        <v>Maplink1</v>
      </c>
      <c r="AT3135" s="20" t="str">
        <f aca="false">HYPERLINK("https://www.google.iq/maps/search/+34.8822,44.6397/@34.8822,44.6397,14z?hl=en","Maplink2")</f>
        <v>Maplink2</v>
      </c>
      <c r="AU3135" s="20" t="str">
        <f aca="false">HYPERLINK("http://www.bing.com/maps/?lvl=14&amp;sty=h&amp;cp=34.8822~44.6397&amp;sp=point.34.8822_44.6397","Maplink3")</f>
        <v>Maplink3</v>
      </c>
    </row>
    <row r="3136" customFormat="false" ht="15" hidden="false" customHeight="true" outlineLevel="0" collapsed="false">
      <c r="A3136" s="15" t="n">
        <v>25865</v>
      </c>
      <c r="B3136" s="16" t="s">
        <v>29</v>
      </c>
      <c r="C3136" s="16" t="s">
        <v>5990</v>
      </c>
      <c r="D3136" s="16" t="s">
        <v>5994</v>
      </c>
      <c r="E3136" s="17" t="s">
        <v>5995</v>
      </c>
      <c r="F3136" s="16" t="n">
        <v>34.89921823</v>
      </c>
      <c r="G3136" s="16" t="n">
        <v>44.62503912</v>
      </c>
      <c r="H3136" s="18" t="n">
        <v>130</v>
      </c>
      <c r="I3136" s="18" t="n">
        <v>780</v>
      </c>
      <c r="J3136" s="19"/>
      <c r="K3136" s="19"/>
      <c r="L3136" s="19"/>
      <c r="M3136" s="19"/>
      <c r="N3136" s="19"/>
      <c r="O3136" s="19" t="n">
        <v>20</v>
      </c>
      <c r="P3136" s="19"/>
      <c r="Q3136" s="19"/>
      <c r="R3136" s="19"/>
      <c r="S3136" s="19"/>
      <c r="T3136" s="19"/>
      <c r="U3136" s="19"/>
      <c r="V3136" s="19"/>
      <c r="W3136" s="19"/>
      <c r="X3136" s="19" t="n">
        <v>110</v>
      </c>
      <c r="Y3136" s="19"/>
      <c r="Z3136" s="19"/>
      <c r="AA3136" s="19"/>
      <c r="AB3136" s="19"/>
      <c r="AC3136" s="19"/>
      <c r="AD3136" s="19"/>
      <c r="AE3136" s="19" t="n">
        <v>80</v>
      </c>
      <c r="AF3136" s="19"/>
      <c r="AG3136" s="19"/>
      <c r="AH3136" s="19" t="n">
        <v>50</v>
      </c>
      <c r="AI3136" s="19"/>
      <c r="AJ3136" s="19"/>
      <c r="AK3136" s="19"/>
      <c r="AL3136" s="19" t="n">
        <v>15</v>
      </c>
      <c r="AM3136" s="19" t="n">
        <v>25</v>
      </c>
      <c r="AN3136" s="19" t="n">
        <v>90</v>
      </c>
      <c r="AO3136" s="19"/>
      <c r="AP3136" s="19"/>
      <c r="AQ3136" s="19"/>
      <c r="AR3136" s="19"/>
      <c r="AS3136" s="20" t="str">
        <f aca="false">HYPERLINK("http://www.openstreetmap.org/?mlat=34.8992&amp;mlon=44.625&amp;zoom=12#map=12/34.8992/44.625","Maplink1")</f>
        <v>Maplink1</v>
      </c>
      <c r="AT3136" s="20" t="str">
        <f aca="false">HYPERLINK("https://www.google.iq/maps/search/+34.8992,44.625/@34.8992,44.625,14z?hl=en","Maplink2")</f>
        <v>Maplink2</v>
      </c>
      <c r="AU3136" s="20" t="str">
        <f aca="false">HYPERLINK("http://www.bing.com/maps/?lvl=14&amp;sty=h&amp;cp=34.8992~44.625&amp;sp=point.34.8992_44.625","Maplink3")</f>
        <v>Maplink3</v>
      </c>
    </row>
    <row r="3137" customFormat="false" ht="15" hidden="false" customHeight="true" outlineLevel="0" collapsed="false">
      <c r="A3137" s="15" t="n">
        <v>25866</v>
      </c>
      <c r="B3137" s="16" t="s">
        <v>29</v>
      </c>
      <c r="C3137" s="16" t="s">
        <v>5990</v>
      </c>
      <c r="D3137" s="16" t="s">
        <v>5996</v>
      </c>
      <c r="E3137" s="17" t="s">
        <v>5997</v>
      </c>
      <c r="F3137" s="16" t="n">
        <v>34.89494678</v>
      </c>
      <c r="G3137" s="16" t="n">
        <v>44.62712382</v>
      </c>
      <c r="H3137" s="18" t="n">
        <v>1045</v>
      </c>
      <c r="I3137" s="18" t="n">
        <v>6270</v>
      </c>
      <c r="J3137" s="19" t="n">
        <v>90</v>
      </c>
      <c r="K3137" s="19"/>
      <c r="L3137" s="19"/>
      <c r="M3137" s="19"/>
      <c r="N3137" s="19"/>
      <c r="O3137" s="19" t="n">
        <v>105</v>
      </c>
      <c r="P3137" s="19"/>
      <c r="Q3137" s="19"/>
      <c r="R3137" s="19"/>
      <c r="S3137" s="19"/>
      <c r="T3137" s="19"/>
      <c r="U3137" s="19"/>
      <c r="V3137" s="19" t="n">
        <v>10</v>
      </c>
      <c r="W3137" s="19"/>
      <c r="X3137" s="19" t="n">
        <v>840</v>
      </c>
      <c r="Y3137" s="19"/>
      <c r="Z3137" s="19"/>
      <c r="AA3137" s="19"/>
      <c r="AB3137" s="19"/>
      <c r="AC3137" s="19" t="n">
        <v>70</v>
      </c>
      <c r="AD3137" s="19"/>
      <c r="AE3137" s="19" t="n">
        <v>100</v>
      </c>
      <c r="AF3137" s="19"/>
      <c r="AG3137" s="19"/>
      <c r="AH3137" s="19" t="n">
        <v>870</v>
      </c>
      <c r="AI3137" s="19"/>
      <c r="AJ3137" s="19" t="n">
        <v>5</v>
      </c>
      <c r="AK3137" s="19"/>
      <c r="AL3137" s="19"/>
      <c r="AM3137" s="19" t="n">
        <v>170</v>
      </c>
      <c r="AN3137" s="19" t="n">
        <v>745</v>
      </c>
      <c r="AO3137" s="19"/>
      <c r="AP3137" s="19" t="n">
        <v>115</v>
      </c>
      <c r="AQ3137" s="19"/>
      <c r="AR3137" s="19" t="n">
        <v>15</v>
      </c>
      <c r="AS3137" s="20" t="str">
        <f aca="false">HYPERLINK("http://www.openstreetmap.org/?mlat=34.8949&amp;mlon=44.6271&amp;zoom=12#map=12/34.8949/44.6271","Maplink1")</f>
        <v>Maplink1</v>
      </c>
      <c r="AT3137" s="20" t="str">
        <f aca="false">HYPERLINK("https://www.google.iq/maps/search/+34.8949,44.6271/@34.8949,44.6271,14z?hl=en","Maplink2")</f>
        <v>Maplink2</v>
      </c>
      <c r="AU3137" s="20" t="str">
        <f aca="false">HYPERLINK("http://www.bing.com/maps/?lvl=14&amp;sty=h&amp;cp=34.8949~44.6271&amp;sp=point.34.8949_44.6271","Maplink3")</f>
        <v>Maplink3</v>
      </c>
    </row>
    <row r="3138" customFormat="false" ht="15" hidden="false" customHeight="true" outlineLevel="0" collapsed="false">
      <c r="A3138" s="15" t="n">
        <v>25867</v>
      </c>
      <c r="B3138" s="16" t="s">
        <v>29</v>
      </c>
      <c r="C3138" s="16" t="s">
        <v>5990</v>
      </c>
      <c r="D3138" s="16" t="s">
        <v>5998</v>
      </c>
      <c r="E3138" s="17" t="s">
        <v>5999</v>
      </c>
      <c r="F3138" s="16" t="n">
        <v>34.88232614</v>
      </c>
      <c r="G3138" s="16" t="n">
        <v>44.62729951</v>
      </c>
      <c r="H3138" s="18" t="n">
        <v>8</v>
      </c>
      <c r="I3138" s="18" t="n">
        <v>48</v>
      </c>
      <c r="J3138" s="19"/>
      <c r="K3138" s="19"/>
      <c r="L3138" s="19"/>
      <c r="M3138" s="19"/>
      <c r="N3138" s="19"/>
      <c r="O3138" s="19"/>
      <c r="P3138" s="19"/>
      <c r="Q3138" s="19"/>
      <c r="R3138" s="19"/>
      <c r="S3138" s="19"/>
      <c r="T3138" s="19"/>
      <c r="U3138" s="19"/>
      <c r="V3138" s="19"/>
      <c r="W3138" s="19"/>
      <c r="X3138" s="19" t="n">
        <v>8</v>
      </c>
      <c r="Y3138" s="19"/>
      <c r="Z3138" s="19"/>
      <c r="AA3138" s="19"/>
      <c r="AB3138" s="19"/>
      <c r="AC3138" s="19"/>
      <c r="AD3138" s="19"/>
      <c r="AE3138" s="19"/>
      <c r="AF3138" s="19"/>
      <c r="AG3138" s="19"/>
      <c r="AH3138" s="19" t="n">
        <v>8</v>
      </c>
      <c r="AI3138" s="19"/>
      <c r="AJ3138" s="19"/>
      <c r="AK3138" s="19"/>
      <c r="AL3138" s="19"/>
      <c r="AM3138" s="19"/>
      <c r="AN3138" s="19" t="n">
        <v>5</v>
      </c>
      <c r="AO3138" s="19"/>
      <c r="AP3138" s="19" t="n">
        <v>3</v>
      </c>
      <c r="AQ3138" s="19"/>
      <c r="AR3138" s="19"/>
      <c r="AS3138" s="20" t="str">
        <f aca="false">HYPERLINK("http://www.openstreetmap.org/?mlat=34.8823&amp;mlon=44.6273&amp;zoom=12#map=12/34.8823/44.6273","Maplink1")</f>
        <v>Maplink1</v>
      </c>
      <c r="AT3138" s="20" t="str">
        <f aca="false">HYPERLINK("https://www.google.iq/maps/search/+34.8823,44.6273/@34.8823,44.6273,14z?hl=en","Maplink2")</f>
        <v>Maplink2</v>
      </c>
      <c r="AU3138" s="20" t="str">
        <f aca="false">HYPERLINK("http://www.bing.com/maps/?lvl=14&amp;sty=h&amp;cp=34.8823~44.6273&amp;sp=point.34.8823_44.6273","Maplink3")</f>
        <v>Maplink3</v>
      </c>
    </row>
    <row r="3139" customFormat="false" ht="15" hidden="false" customHeight="true" outlineLevel="0" collapsed="false">
      <c r="A3139" s="15" t="n">
        <v>25868</v>
      </c>
      <c r="B3139" s="16" t="s">
        <v>29</v>
      </c>
      <c r="C3139" s="16" t="s">
        <v>5990</v>
      </c>
      <c r="D3139" s="16" t="s">
        <v>6000</v>
      </c>
      <c r="E3139" s="17" t="s">
        <v>6001</v>
      </c>
      <c r="F3139" s="16" t="n">
        <v>34.88951385</v>
      </c>
      <c r="G3139" s="16" t="n">
        <v>44.64022414</v>
      </c>
      <c r="H3139" s="18" t="n">
        <v>320</v>
      </c>
      <c r="I3139" s="18" t="n">
        <v>1920</v>
      </c>
      <c r="J3139" s="19"/>
      <c r="K3139" s="19"/>
      <c r="L3139" s="19"/>
      <c r="M3139" s="19"/>
      <c r="N3139" s="19"/>
      <c r="O3139" s="19"/>
      <c r="P3139" s="19"/>
      <c r="Q3139" s="19"/>
      <c r="R3139" s="19"/>
      <c r="S3139" s="19"/>
      <c r="T3139" s="19"/>
      <c r="U3139" s="19"/>
      <c r="V3139" s="19" t="n">
        <v>15</v>
      </c>
      <c r="W3139" s="19"/>
      <c r="X3139" s="19" t="n">
        <v>305</v>
      </c>
      <c r="Y3139" s="19"/>
      <c r="Z3139" s="19"/>
      <c r="AA3139" s="19"/>
      <c r="AB3139" s="19"/>
      <c r="AC3139" s="19" t="n">
        <v>5</v>
      </c>
      <c r="AD3139" s="19"/>
      <c r="AE3139" s="19"/>
      <c r="AF3139" s="19"/>
      <c r="AG3139" s="19"/>
      <c r="AH3139" s="19" t="n">
        <v>305</v>
      </c>
      <c r="AI3139" s="19"/>
      <c r="AJ3139" s="19" t="n">
        <v>10</v>
      </c>
      <c r="AK3139" s="19"/>
      <c r="AL3139" s="19"/>
      <c r="AM3139" s="19" t="n">
        <v>10</v>
      </c>
      <c r="AN3139" s="19" t="n">
        <v>260</v>
      </c>
      <c r="AO3139" s="19" t="n">
        <v>35</v>
      </c>
      <c r="AP3139" s="19"/>
      <c r="AQ3139" s="19"/>
      <c r="AR3139" s="19" t="n">
        <v>15</v>
      </c>
      <c r="AS3139" s="20" t="str">
        <f aca="false">HYPERLINK("http://www.openstreetmap.org/?mlat=34.8895&amp;mlon=44.6402&amp;zoom=12#map=12/34.8895/44.6402","Maplink1")</f>
        <v>Maplink1</v>
      </c>
      <c r="AT3139" s="20" t="str">
        <f aca="false">HYPERLINK("https://www.google.iq/maps/search/+34.8895,44.6402/@34.8895,44.6402,14z?hl=en","Maplink2")</f>
        <v>Maplink2</v>
      </c>
      <c r="AU3139" s="20" t="str">
        <f aca="false">HYPERLINK("http://www.bing.com/maps/?lvl=14&amp;sty=h&amp;cp=34.8895~44.6402&amp;sp=point.34.8895_44.6402","Maplink3")</f>
        <v>Maplink3</v>
      </c>
    </row>
    <row r="3140" customFormat="false" ht="15" hidden="false" customHeight="true" outlineLevel="0" collapsed="false">
      <c r="A3140" s="15" t="n">
        <v>25869</v>
      </c>
      <c r="B3140" s="16" t="s">
        <v>29</v>
      </c>
      <c r="C3140" s="16" t="s">
        <v>5990</v>
      </c>
      <c r="D3140" s="16" t="s">
        <v>6002</v>
      </c>
      <c r="E3140" s="17" t="s">
        <v>6003</v>
      </c>
      <c r="F3140" s="16" t="n">
        <v>35.07341901</v>
      </c>
      <c r="G3140" s="16" t="n">
        <v>44.49815571</v>
      </c>
      <c r="H3140" s="18" t="n">
        <v>101</v>
      </c>
      <c r="I3140" s="18" t="n">
        <v>606</v>
      </c>
      <c r="J3140" s="19"/>
      <c r="K3140" s="19"/>
      <c r="L3140" s="19"/>
      <c r="M3140" s="19"/>
      <c r="N3140" s="19"/>
      <c r="O3140" s="19" t="n">
        <v>63</v>
      </c>
      <c r="P3140" s="19"/>
      <c r="Q3140" s="19"/>
      <c r="R3140" s="19"/>
      <c r="S3140" s="19"/>
      <c r="T3140" s="19"/>
      <c r="U3140" s="19"/>
      <c r="V3140" s="19"/>
      <c r="W3140" s="19"/>
      <c r="X3140" s="19" t="n">
        <v>38</v>
      </c>
      <c r="Y3140" s="19"/>
      <c r="Z3140" s="19"/>
      <c r="AA3140" s="19"/>
      <c r="AB3140" s="19"/>
      <c r="AC3140" s="19"/>
      <c r="AD3140" s="19"/>
      <c r="AE3140" s="19" t="n">
        <v>101</v>
      </c>
      <c r="AF3140" s="19"/>
      <c r="AG3140" s="19"/>
      <c r="AH3140" s="19"/>
      <c r="AI3140" s="19"/>
      <c r="AJ3140" s="19"/>
      <c r="AK3140" s="19"/>
      <c r="AL3140" s="19"/>
      <c r="AM3140" s="19" t="n">
        <v>20</v>
      </c>
      <c r="AN3140" s="19" t="n">
        <v>68</v>
      </c>
      <c r="AO3140" s="19"/>
      <c r="AP3140" s="19"/>
      <c r="AQ3140" s="19" t="n">
        <v>13</v>
      </c>
      <c r="AR3140" s="19"/>
      <c r="AS3140" s="20" t="str">
        <f aca="false">HYPERLINK("http://www.openstreetmap.org/?mlat=35.0734&amp;mlon=44.4982&amp;zoom=12#map=12/35.0734/44.4982","Maplink1")</f>
        <v>Maplink1</v>
      </c>
      <c r="AT3140" s="20" t="str">
        <f aca="false">HYPERLINK("https://www.google.iq/maps/search/+35.0734,44.4982/@35.0734,44.4982,14z?hl=en","Maplink2")</f>
        <v>Maplink2</v>
      </c>
      <c r="AU3140" s="20" t="str">
        <f aca="false">HYPERLINK("http://www.bing.com/maps/?lvl=14&amp;sty=h&amp;cp=35.0734~44.4982&amp;sp=point.35.0734_44.4982","Maplink3")</f>
        <v>Maplink3</v>
      </c>
    </row>
    <row r="3141" customFormat="false" ht="15" hidden="false" customHeight="true" outlineLevel="0" collapsed="false">
      <c r="A3141" s="15" t="n">
        <v>25749</v>
      </c>
      <c r="B3141" s="16" t="s">
        <v>29</v>
      </c>
      <c r="C3141" s="16" t="s">
        <v>5990</v>
      </c>
      <c r="D3141" s="16" t="s">
        <v>6004</v>
      </c>
      <c r="E3141" s="17" t="s">
        <v>6005</v>
      </c>
      <c r="F3141" s="16" t="n">
        <v>34.96371302</v>
      </c>
      <c r="G3141" s="16" t="n">
        <v>44.4619925</v>
      </c>
      <c r="H3141" s="18" t="n">
        <v>9</v>
      </c>
      <c r="I3141" s="18" t="n">
        <v>54</v>
      </c>
      <c r="J3141" s="19"/>
      <c r="K3141" s="19"/>
      <c r="L3141" s="19"/>
      <c r="M3141" s="19"/>
      <c r="N3141" s="19"/>
      <c r="O3141" s="19" t="n">
        <v>2</v>
      </c>
      <c r="P3141" s="19"/>
      <c r="Q3141" s="19"/>
      <c r="R3141" s="19"/>
      <c r="S3141" s="19"/>
      <c r="T3141" s="19"/>
      <c r="U3141" s="19"/>
      <c r="V3141" s="19"/>
      <c r="W3141" s="19"/>
      <c r="X3141" s="19" t="n">
        <v>7</v>
      </c>
      <c r="Y3141" s="19"/>
      <c r="Z3141" s="19"/>
      <c r="AA3141" s="19"/>
      <c r="AB3141" s="19"/>
      <c r="AC3141" s="19" t="n">
        <v>6</v>
      </c>
      <c r="AD3141" s="19"/>
      <c r="AE3141" s="19"/>
      <c r="AF3141" s="19"/>
      <c r="AG3141" s="19"/>
      <c r="AH3141" s="19"/>
      <c r="AI3141" s="19"/>
      <c r="AJ3141" s="19" t="n">
        <v>3</v>
      </c>
      <c r="AK3141" s="19"/>
      <c r="AL3141" s="19"/>
      <c r="AM3141" s="19"/>
      <c r="AN3141" s="19" t="n">
        <v>7</v>
      </c>
      <c r="AO3141" s="19"/>
      <c r="AP3141" s="19" t="n">
        <v>2</v>
      </c>
      <c r="AQ3141" s="19"/>
      <c r="AR3141" s="19"/>
      <c r="AS3141" s="20" t="str">
        <f aca="false">HYPERLINK("http://www.openstreetmap.org/?mlat=34.9637&amp;mlon=44.462&amp;zoom=12#map=12/34.9637/44.462","Maplink1")</f>
        <v>Maplink1</v>
      </c>
      <c r="AT3141" s="20" t="str">
        <f aca="false">HYPERLINK("https://www.google.iq/maps/search/+34.9637,44.462/@34.9637,44.462,14z?hl=en","Maplink2")</f>
        <v>Maplink2</v>
      </c>
      <c r="AU3141" s="20" t="str">
        <f aca="false">HYPERLINK("http://www.bing.com/maps/?lvl=14&amp;sty=h&amp;cp=34.9637~44.462&amp;sp=point.34.9637_44.462","Maplink3")</f>
        <v>Maplink3</v>
      </c>
    </row>
    <row r="3142" customFormat="false" ht="15" hidden="false" customHeight="true" outlineLevel="0" collapsed="false">
      <c r="A3142" s="15" t="n">
        <v>25754</v>
      </c>
      <c r="B3142" s="16" t="s">
        <v>29</v>
      </c>
      <c r="C3142" s="16" t="s">
        <v>5990</v>
      </c>
      <c r="D3142" s="16" t="s">
        <v>6006</v>
      </c>
      <c r="E3142" s="17" t="s">
        <v>79</v>
      </c>
      <c r="F3142" s="16" t="n">
        <v>34.87923307</v>
      </c>
      <c r="G3142" s="16" t="n">
        <v>44.61521942</v>
      </c>
      <c r="H3142" s="18" t="n">
        <v>970</v>
      </c>
      <c r="I3142" s="18" t="n">
        <v>5820</v>
      </c>
      <c r="J3142" s="19" t="n">
        <v>10</v>
      </c>
      <c r="K3142" s="19"/>
      <c r="L3142" s="19"/>
      <c r="M3142" s="19"/>
      <c r="N3142" s="19"/>
      <c r="O3142" s="19"/>
      <c r="P3142" s="19"/>
      <c r="Q3142" s="19"/>
      <c r="R3142" s="19"/>
      <c r="S3142" s="19"/>
      <c r="T3142" s="19"/>
      <c r="U3142" s="19"/>
      <c r="V3142" s="19"/>
      <c r="W3142" s="19"/>
      <c r="X3142" s="19" t="n">
        <v>960</v>
      </c>
      <c r="Y3142" s="19"/>
      <c r="Z3142" s="19"/>
      <c r="AA3142" s="19"/>
      <c r="AB3142" s="19"/>
      <c r="AC3142" s="19" t="n">
        <v>40</v>
      </c>
      <c r="AD3142" s="19"/>
      <c r="AE3142" s="19" t="n">
        <v>40</v>
      </c>
      <c r="AF3142" s="19"/>
      <c r="AG3142" s="19"/>
      <c r="AH3142" s="19" t="n">
        <v>890</v>
      </c>
      <c r="AI3142" s="19"/>
      <c r="AJ3142" s="19"/>
      <c r="AK3142" s="19"/>
      <c r="AL3142" s="19"/>
      <c r="AM3142" s="19" t="n">
        <v>105</v>
      </c>
      <c r="AN3142" s="19" t="n">
        <v>800</v>
      </c>
      <c r="AO3142" s="19" t="n">
        <v>5</v>
      </c>
      <c r="AP3142" s="19" t="n">
        <v>60</v>
      </c>
      <c r="AQ3142" s="19"/>
      <c r="AR3142" s="19"/>
      <c r="AS3142" s="20" t="str">
        <f aca="false">HYPERLINK("http://www.openstreetmap.org/?mlat=34.8792&amp;mlon=44.6152&amp;zoom=12#map=12/34.8792/44.6152","Maplink1")</f>
        <v>Maplink1</v>
      </c>
      <c r="AT3142" s="20" t="str">
        <f aca="false">HYPERLINK("https://www.google.iq/maps/search/+34.8792,44.6152/@34.8792,44.6152,14z?hl=en","Maplink2")</f>
        <v>Maplink2</v>
      </c>
      <c r="AU3142" s="20" t="str">
        <f aca="false">HYPERLINK("http://www.bing.com/maps/?lvl=14&amp;sty=h&amp;cp=34.8792~44.6152&amp;sp=point.34.8792_44.6152","Maplink3")</f>
        <v>Maplink3</v>
      </c>
    </row>
    <row r="3143" customFormat="false" ht="15" hidden="false" customHeight="true" outlineLevel="0" collapsed="false">
      <c r="A3143" s="15" t="n">
        <v>25751</v>
      </c>
      <c r="B3143" s="16" t="s">
        <v>29</v>
      </c>
      <c r="C3143" s="16" t="s">
        <v>5990</v>
      </c>
      <c r="D3143" s="16" t="s">
        <v>6007</v>
      </c>
      <c r="E3143" s="17" t="s">
        <v>6008</v>
      </c>
      <c r="F3143" s="16" t="n">
        <v>34.88356722</v>
      </c>
      <c r="G3143" s="16" t="n">
        <v>44.63045058</v>
      </c>
      <c r="H3143" s="18" t="n">
        <v>10</v>
      </c>
      <c r="I3143" s="18" t="n">
        <v>60</v>
      </c>
      <c r="J3143" s="19"/>
      <c r="K3143" s="19"/>
      <c r="L3143" s="19"/>
      <c r="M3143" s="19"/>
      <c r="N3143" s="19"/>
      <c r="O3143" s="19"/>
      <c r="P3143" s="19"/>
      <c r="Q3143" s="19"/>
      <c r="R3143" s="19"/>
      <c r="S3143" s="19"/>
      <c r="T3143" s="19"/>
      <c r="U3143" s="19"/>
      <c r="V3143" s="19"/>
      <c r="W3143" s="19"/>
      <c r="X3143" s="19" t="n">
        <v>10</v>
      </c>
      <c r="Y3143" s="19"/>
      <c r="Z3143" s="19"/>
      <c r="AA3143" s="19"/>
      <c r="AB3143" s="19"/>
      <c r="AC3143" s="19"/>
      <c r="AD3143" s="19"/>
      <c r="AE3143" s="19"/>
      <c r="AF3143" s="19"/>
      <c r="AG3143" s="19"/>
      <c r="AH3143" s="19" t="n">
        <v>10</v>
      </c>
      <c r="AI3143" s="19"/>
      <c r="AJ3143" s="19"/>
      <c r="AK3143" s="19"/>
      <c r="AL3143" s="19"/>
      <c r="AM3143" s="19" t="n">
        <v>10</v>
      </c>
      <c r="AN3143" s="19"/>
      <c r="AO3143" s="19"/>
      <c r="AP3143" s="19"/>
      <c r="AQ3143" s="19"/>
      <c r="AR3143" s="19"/>
      <c r="AS3143" s="20" t="str">
        <f aca="false">HYPERLINK("http://www.openstreetmap.org/?mlat=34.8836&amp;mlon=44.6305&amp;zoom=12#map=12/34.8836/44.6305","Maplink1")</f>
        <v>Maplink1</v>
      </c>
      <c r="AT3143" s="20" t="str">
        <f aca="false">HYPERLINK("https://www.google.iq/maps/search/+34.8836,44.6305/@34.8836,44.6305,14z?hl=en","Maplink2")</f>
        <v>Maplink2</v>
      </c>
      <c r="AU3143" s="20" t="str">
        <f aca="false">HYPERLINK("http://www.bing.com/maps/?lvl=14&amp;sty=h&amp;cp=34.8836~44.6305&amp;sp=point.34.8836_44.6305","Maplink3")</f>
        <v>Maplink3</v>
      </c>
    </row>
    <row r="3144" customFormat="false" ht="15" hidden="false" customHeight="true" outlineLevel="0" collapsed="false">
      <c r="A3144" s="15" t="n">
        <v>25752</v>
      </c>
      <c r="B3144" s="16" t="s">
        <v>29</v>
      </c>
      <c r="C3144" s="16" t="s">
        <v>5990</v>
      </c>
      <c r="D3144" s="16" t="s">
        <v>6009</v>
      </c>
      <c r="E3144" s="17" t="s">
        <v>6010</v>
      </c>
      <c r="F3144" s="16" t="n">
        <v>34.89858223</v>
      </c>
      <c r="G3144" s="16" t="n">
        <v>44.61959065</v>
      </c>
      <c r="H3144" s="18" t="n">
        <v>707</v>
      </c>
      <c r="I3144" s="18" t="n">
        <v>4242</v>
      </c>
      <c r="J3144" s="19"/>
      <c r="K3144" s="19"/>
      <c r="L3144" s="19"/>
      <c r="M3144" s="19"/>
      <c r="N3144" s="19"/>
      <c r="O3144" s="19" t="n">
        <v>32</v>
      </c>
      <c r="P3144" s="19"/>
      <c r="Q3144" s="19"/>
      <c r="R3144" s="19"/>
      <c r="S3144" s="19"/>
      <c r="T3144" s="19"/>
      <c r="U3144" s="19"/>
      <c r="V3144" s="19"/>
      <c r="W3144" s="19"/>
      <c r="X3144" s="19" t="n">
        <v>675</v>
      </c>
      <c r="Y3144" s="19"/>
      <c r="Z3144" s="19"/>
      <c r="AA3144" s="19"/>
      <c r="AB3144" s="19"/>
      <c r="AC3144" s="19" t="n">
        <v>155</v>
      </c>
      <c r="AD3144" s="19"/>
      <c r="AE3144" s="19"/>
      <c r="AF3144" s="19"/>
      <c r="AG3144" s="19"/>
      <c r="AH3144" s="19" t="n">
        <v>552</v>
      </c>
      <c r="AI3144" s="19"/>
      <c r="AJ3144" s="19"/>
      <c r="AK3144" s="19"/>
      <c r="AL3144" s="19"/>
      <c r="AM3144" s="19" t="n">
        <v>125</v>
      </c>
      <c r="AN3144" s="19" t="n">
        <v>582</v>
      </c>
      <c r="AO3144" s="19"/>
      <c r="AP3144" s="19"/>
      <c r="AQ3144" s="19"/>
      <c r="AR3144" s="19"/>
      <c r="AS3144" s="20" t="str">
        <f aca="false">HYPERLINK("http://www.openstreetmap.org/?mlat=34.8986&amp;mlon=44.6196&amp;zoom=12#map=12/34.8986/44.6196","Maplink1")</f>
        <v>Maplink1</v>
      </c>
      <c r="AT3144" s="20" t="str">
        <f aca="false">HYPERLINK("https://www.google.iq/maps/search/+34.8986,44.6196/@34.8986,44.6196,14z?hl=en","Maplink2")</f>
        <v>Maplink2</v>
      </c>
      <c r="AU3144" s="20" t="str">
        <f aca="false">HYPERLINK("http://www.bing.com/maps/?lvl=14&amp;sty=h&amp;cp=34.8986~44.6196&amp;sp=point.34.8986_44.6196","Maplink3")</f>
        <v>Maplink3</v>
      </c>
    </row>
    <row r="3145" customFormat="false" ht="15" hidden="false" customHeight="true" outlineLevel="0" collapsed="false">
      <c r="A3145" s="15" t="n">
        <v>25756</v>
      </c>
      <c r="B3145" s="16" t="s">
        <v>29</v>
      </c>
      <c r="C3145" s="16" t="s">
        <v>5990</v>
      </c>
      <c r="D3145" s="16" t="s">
        <v>6011</v>
      </c>
      <c r="E3145" s="17" t="s">
        <v>6012</v>
      </c>
      <c r="F3145" s="16" t="n">
        <v>34.89008137</v>
      </c>
      <c r="G3145" s="16" t="n">
        <v>44.6346297</v>
      </c>
      <c r="H3145" s="18" t="n">
        <v>20</v>
      </c>
      <c r="I3145" s="18" t="n">
        <v>120</v>
      </c>
      <c r="J3145" s="19"/>
      <c r="K3145" s="19"/>
      <c r="L3145" s="19"/>
      <c r="M3145" s="19"/>
      <c r="N3145" s="19"/>
      <c r="O3145" s="19"/>
      <c r="P3145" s="19"/>
      <c r="Q3145" s="19"/>
      <c r="R3145" s="19"/>
      <c r="S3145" s="19"/>
      <c r="T3145" s="19"/>
      <c r="U3145" s="19"/>
      <c r="V3145" s="19"/>
      <c r="W3145" s="19"/>
      <c r="X3145" s="19" t="n">
        <v>20</v>
      </c>
      <c r="Y3145" s="19"/>
      <c r="Z3145" s="19"/>
      <c r="AA3145" s="19"/>
      <c r="AB3145" s="19"/>
      <c r="AC3145" s="19"/>
      <c r="AD3145" s="19"/>
      <c r="AE3145" s="19"/>
      <c r="AF3145" s="19"/>
      <c r="AG3145" s="19"/>
      <c r="AH3145" s="19" t="n">
        <v>20</v>
      </c>
      <c r="AI3145" s="19"/>
      <c r="AJ3145" s="19"/>
      <c r="AK3145" s="19"/>
      <c r="AL3145" s="19"/>
      <c r="AM3145" s="19" t="n">
        <v>20</v>
      </c>
      <c r="AN3145" s="19"/>
      <c r="AO3145" s="19"/>
      <c r="AP3145" s="19"/>
      <c r="AQ3145" s="19"/>
      <c r="AR3145" s="19"/>
      <c r="AS3145" s="20" t="str">
        <f aca="false">HYPERLINK("http://www.openstreetmap.org/?mlat=34.8901&amp;mlon=44.6346&amp;zoom=12#map=12/34.8901/44.6346","Maplink1")</f>
        <v>Maplink1</v>
      </c>
      <c r="AT3145" s="20" t="str">
        <f aca="false">HYPERLINK("https://www.google.iq/maps/search/+34.8901,44.6346/@34.8901,44.6346,14z?hl=en","Maplink2")</f>
        <v>Maplink2</v>
      </c>
      <c r="AU3145" s="20" t="str">
        <f aca="false">HYPERLINK("http://www.bing.com/maps/?lvl=14&amp;sty=h&amp;cp=34.8901~44.6346&amp;sp=point.34.8901_44.6346","Maplink3")</f>
        <v>Maplink3</v>
      </c>
    </row>
    <row r="3146" customFormat="false" ht="15" hidden="false" customHeight="true" outlineLevel="0" collapsed="false">
      <c r="A3146" s="15" t="n">
        <v>25750</v>
      </c>
      <c r="B3146" s="16" t="s">
        <v>29</v>
      </c>
      <c r="C3146" s="16" t="s">
        <v>5990</v>
      </c>
      <c r="D3146" s="16" t="s">
        <v>6013</v>
      </c>
      <c r="E3146" s="17" t="s">
        <v>6014</v>
      </c>
      <c r="F3146" s="16" t="n">
        <v>34.9047194</v>
      </c>
      <c r="G3146" s="16" t="n">
        <v>44.60716794</v>
      </c>
      <c r="H3146" s="18" t="n">
        <v>318</v>
      </c>
      <c r="I3146" s="18" t="n">
        <v>1908</v>
      </c>
      <c r="J3146" s="19" t="n">
        <v>12</v>
      </c>
      <c r="K3146" s="19"/>
      <c r="L3146" s="19"/>
      <c r="M3146" s="19"/>
      <c r="N3146" s="19"/>
      <c r="O3146" s="19" t="n">
        <v>21</v>
      </c>
      <c r="P3146" s="19"/>
      <c r="Q3146" s="19"/>
      <c r="R3146" s="19" t="n">
        <v>10</v>
      </c>
      <c r="S3146" s="19"/>
      <c r="T3146" s="19"/>
      <c r="U3146" s="19"/>
      <c r="V3146" s="19" t="n">
        <v>22</v>
      </c>
      <c r="W3146" s="19"/>
      <c r="X3146" s="19" t="n">
        <v>253</v>
      </c>
      <c r="Y3146" s="19"/>
      <c r="Z3146" s="19"/>
      <c r="AA3146" s="19"/>
      <c r="AB3146" s="19"/>
      <c r="AC3146" s="19" t="n">
        <v>30</v>
      </c>
      <c r="AD3146" s="19"/>
      <c r="AE3146" s="19" t="n">
        <v>20</v>
      </c>
      <c r="AF3146" s="19"/>
      <c r="AG3146" s="19"/>
      <c r="AH3146" s="19" t="n">
        <v>268</v>
      </c>
      <c r="AI3146" s="19"/>
      <c r="AJ3146" s="19"/>
      <c r="AK3146" s="19"/>
      <c r="AL3146" s="19" t="n">
        <v>5</v>
      </c>
      <c r="AM3146" s="19" t="n">
        <v>25</v>
      </c>
      <c r="AN3146" s="19" t="n">
        <v>250</v>
      </c>
      <c r="AO3146" s="19"/>
      <c r="AP3146" s="19" t="n">
        <v>15</v>
      </c>
      <c r="AQ3146" s="19"/>
      <c r="AR3146" s="19" t="n">
        <v>23</v>
      </c>
      <c r="AS3146" s="20" t="str">
        <f aca="false">HYPERLINK("http://www.openstreetmap.org/?mlat=34.9047&amp;mlon=44.6072&amp;zoom=12#map=12/34.9047/44.6072","Maplink1")</f>
        <v>Maplink1</v>
      </c>
      <c r="AT3146" s="20" t="str">
        <f aca="false">HYPERLINK("https://www.google.iq/maps/search/+34.9047,44.6072/@34.9047,44.6072,14z?hl=en","Maplink2")</f>
        <v>Maplink2</v>
      </c>
      <c r="AU3146" s="20" t="str">
        <f aca="false">HYPERLINK("http://www.bing.com/maps/?lvl=14&amp;sty=h&amp;cp=34.9047~44.6072&amp;sp=point.34.9047_44.6072","Maplink3")</f>
        <v>Maplink3</v>
      </c>
    </row>
    <row r="3147" customFormat="false" ht="15" hidden="false" customHeight="true" outlineLevel="0" collapsed="false">
      <c r="A3147" s="15" t="n">
        <v>25755</v>
      </c>
      <c r="B3147" s="16" t="s">
        <v>29</v>
      </c>
      <c r="C3147" s="16" t="s">
        <v>5990</v>
      </c>
      <c r="D3147" s="16" t="s">
        <v>6015</v>
      </c>
      <c r="E3147" s="17" t="s">
        <v>6016</v>
      </c>
      <c r="F3147" s="16" t="n">
        <v>34.88186876</v>
      </c>
      <c r="G3147" s="16" t="n">
        <v>44.62413196</v>
      </c>
      <c r="H3147" s="18" t="n">
        <v>12</v>
      </c>
      <c r="I3147" s="18" t="n">
        <v>72</v>
      </c>
      <c r="J3147" s="19"/>
      <c r="K3147" s="19"/>
      <c r="L3147" s="19"/>
      <c r="M3147" s="19"/>
      <c r="N3147" s="19"/>
      <c r="O3147" s="19"/>
      <c r="P3147" s="19"/>
      <c r="Q3147" s="19"/>
      <c r="R3147" s="19"/>
      <c r="S3147" s="19"/>
      <c r="T3147" s="19"/>
      <c r="U3147" s="19"/>
      <c r="V3147" s="19"/>
      <c r="W3147" s="19"/>
      <c r="X3147" s="19" t="n">
        <v>12</v>
      </c>
      <c r="Y3147" s="19"/>
      <c r="Z3147" s="19"/>
      <c r="AA3147" s="19"/>
      <c r="AB3147" s="19"/>
      <c r="AC3147" s="19" t="n">
        <v>2</v>
      </c>
      <c r="AD3147" s="19"/>
      <c r="AE3147" s="19"/>
      <c r="AF3147" s="19"/>
      <c r="AG3147" s="19"/>
      <c r="AH3147" s="19" t="n">
        <v>10</v>
      </c>
      <c r="AI3147" s="19"/>
      <c r="AJ3147" s="19"/>
      <c r="AK3147" s="19"/>
      <c r="AL3147" s="19"/>
      <c r="AM3147" s="19" t="n">
        <v>10</v>
      </c>
      <c r="AN3147" s="19"/>
      <c r="AO3147" s="19"/>
      <c r="AP3147" s="19" t="n">
        <v>2</v>
      </c>
      <c r="AQ3147" s="19"/>
      <c r="AR3147" s="19"/>
      <c r="AS3147" s="20" t="str">
        <f aca="false">HYPERLINK("http://www.openstreetmap.org/?mlat=34.8819&amp;mlon=44.6241&amp;zoom=12#map=12/34.8819/44.6241","Maplink1")</f>
        <v>Maplink1</v>
      </c>
      <c r="AT3147" s="20" t="str">
        <f aca="false">HYPERLINK("https://www.google.iq/maps/search/+34.8819,44.6241/@34.8819,44.6241,14z?hl=en","Maplink2")</f>
        <v>Maplink2</v>
      </c>
      <c r="AU3147" s="20" t="str">
        <f aca="false">HYPERLINK("http://www.bing.com/maps/?lvl=14&amp;sty=h&amp;cp=34.8819~44.6241&amp;sp=point.34.8819_44.6241","Maplink3")</f>
        <v>Maplink3</v>
      </c>
    </row>
    <row r="3148" customFormat="false" ht="15" hidden="false" customHeight="true" outlineLevel="0" collapsed="false">
      <c r="A3148" s="15" t="n">
        <v>25748</v>
      </c>
      <c r="B3148" s="16" t="s">
        <v>29</v>
      </c>
      <c r="C3148" s="16" t="s">
        <v>5990</v>
      </c>
      <c r="D3148" s="16" t="s">
        <v>6017</v>
      </c>
      <c r="E3148" s="17" t="s">
        <v>6018</v>
      </c>
      <c r="F3148" s="16" t="n">
        <v>34.95330246</v>
      </c>
      <c r="G3148" s="16" t="n">
        <v>44.58336198</v>
      </c>
      <c r="H3148" s="18" t="n">
        <v>10</v>
      </c>
      <c r="I3148" s="18" t="n">
        <v>60</v>
      </c>
      <c r="J3148" s="19"/>
      <c r="K3148" s="19"/>
      <c r="L3148" s="19"/>
      <c r="M3148" s="19"/>
      <c r="N3148" s="19"/>
      <c r="O3148" s="19" t="n">
        <v>3</v>
      </c>
      <c r="P3148" s="19"/>
      <c r="Q3148" s="19"/>
      <c r="R3148" s="19"/>
      <c r="S3148" s="19"/>
      <c r="T3148" s="19"/>
      <c r="U3148" s="19"/>
      <c r="V3148" s="19" t="n">
        <v>7</v>
      </c>
      <c r="W3148" s="19"/>
      <c r="X3148" s="19"/>
      <c r="Y3148" s="19"/>
      <c r="Z3148" s="19"/>
      <c r="AA3148" s="19"/>
      <c r="AB3148" s="19"/>
      <c r="AC3148" s="19" t="n">
        <v>3</v>
      </c>
      <c r="AD3148" s="19"/>
      <c r="AE3148" s="19" t="n">
        <v>7</v>
      </c>
      <c r="AF3148" s="19"/>
      <c r="AG3148" s="19"/>
      <c r="AH3148" s="19"/>
      <c r="AI3148" s="19"/>
      <c r="AJ3148" s="19"/>
      <c r="AK3148" s="19"/>
      <c r="AL3148" s="19"/>
      <c r="AM3148" s="19" t="n">
        <v>3</v>
      </c>
      <c r="AN3148" s="19"/>
      <c r="AO3148" s="19"/>
      <c r="AP3148" s="19"/>
      <c r="AQ3148" s="19"/>
      <c r="AR3148" s="19" t="n">
        <v>7</v>
      </c>
      <c r="AS3148" s="20" t="str">
        <f aca="false">HYPERLINK("http://www.openstreetmap.org/?mlat=34.9533&amp;mlon=44.5834&amp;zoom=12#map=12/34.9533/44.5834","Maplink1")</f>
        <v>Maplink1</v>
      </c>
      <c r="AT3148" s="20" t="str">
        <f aca="false">HYPERLINK("https://www.google.iq/maps/search/+34.9533,44.5834/@34.9533,44.5834,14z?hl=en","Maplink2")</f>
        <v>Maplink2</v>
      </c>
      <c r="AU3148" s="20" t="str">
        <f aca="false">HYPERLINK("http://www.bing.com/maps/?lvl=14&amp;sty=h&amp;cp=34.9533~44.5834&amp;sp=point.34.9533_44.5834","Maplink3")</f>
        <v>Maplink3</v>
      </c>
    </row>
    <row r="3149" customFormat="false" ht="15" hidden="false" customHeight="true" outlineLevel="0" collapsed="false">
      <c r="A3149" s="15" t="n">
        <v>20430</v>
      </c>
      <c r="B3149" s="16" t="s">
        <v>29</v>
      </c>
      <c r="C3149" s="16" t="s">
        <v>5990</v>
      </c>
      <c r="D3149" s="16" t="s">
        <v>6019</v>
      </c>
      <c r="E3149" s="17" t="s">
        <v>6020</v>
      </c>
      <c r="F3149" s="16" t="n">
        <v>34.98456</v>
      </c>
      <c r="G3149" s="16" t="n">
        <v>44.942397</v>
      </c>
      <c r="H3149" s="18" t="n">
        <v>287</v>
      </c>
      <c r="I3149" s="18" t="n">
        <v>1722</v>
      </c>
      <c r="J3149" s="19"/>
      <c r="K3149" s="19"/>
      <c r="L3149" s="19"/>
      <c r="M3149" s="19"/>
      <c r="N3149" s="19"/>
      <c r="O3149" s="19" t="n">
        <v>17</v>
      </c>
      <c r="P3149" s="19"/>
      <c r="Q3149" s="19"/>
      <c r="R3149" s="19"/>
      <c r="S3149" s="19"/>
      <c r="T3149" s="19"/>
      <c r="U3149" s="19"/>
      <c r="V3149" s="19"/>
      <c r="W3149" s="19"/>
      <c r="X3149" s="19" t="n">
        <v>270</v>
      </c>
      <c r="Y3149" s="19"/>
      <c r="Z3149" s="19"/>
      <c r="AA3149" s="19"/>
      <c r="AB3149" s="19"/>
      <c r="AC3149" s="19" t="n">
        <v>37</v>
      </c>
      <c r="AD3149" s="19"/>
      <c r="AE3149" s="19" t="n">
        <v>250</v>
      </c>
      <c r="AF3149" s="19"/>
      <c r="AG3149" s="19"/>
      <c r="AH3149" s="19"/>
      <c r="AI3149" s="19"/>
      <c r="AJ3149" s="19"/>
      <c r="AK3149" s="19"/>
      <c r="AL3149" s="19"/>
      <c r="AM3149" s="19" t="n">
        <v>200</v>
      </c>
      <c r="AN3149" s="19" t="n">
        <v>87</v>
      </c>
      <c r="AO3149" s="19"/>
      <c r="AP3149" s="19"/>
      <c r="AQ3149" s="19"/>
      <c r="AR3149" s="19"/>
      <c r="AS3149" s="20" t="str">
        <f aca="false">HYPERLINK("http://www.openstreetmap.org/?mlat=34.9846&amp;mlon=44.9424&amp;zoom=12#map=12/34.9846/44.9424","Maplink1")</f>
        <v>Maplink1</v>
      </c>
      <c r="AT3149" s="20" t="str">
        <f aca="false">HYPERLINK("https://www.google.iq/maps/search/+34.9846,44.9424/@34.9846,44.9424,14z?hl=en","Maplink2")</f>
        <v>Maplink2</v>
      </c>
      <c r="AU3149" s="20" t="str">
        <f aca="false">HYPERLINK("http://www.bing.com/maps/?lvl=14&amp;sty=h&amp;cp=34.9846~44.9424&amp;sp=point.34.9846_44.9424","Maplink3")</f>
        <v>Maplink3</v>
      </c>
    </row>
    <row r="3150" customFormat="false" ht="15" hidden="false" customHeight="true" outlineLevel="0" collapsed="false">
      <c r="A3150" s="15" t="n">
        <v>20405</v>
      </c>
      <c r="B3150" s="16" t="s">
        <v>29</v>
      </c>
      <c r="C3150" s="16" t="s">
        <v>5990</v>
      </c>
      <c r="D3150" s="16" t="s">
        <v>6021</v>
      </c>
      <c r="E3150" s="17" t="s">
        <v>6022</v>
      </c>
      <c r="F3150" s="16" t="n">
        <v>35.00788546</v>
      </c>
      <c r="G3150" s="16" t="n">
        <v>44.53907125</v>
      </c>
      <c r="H3150" s="18" t="n">
        <v>302</v>
      </c>
      <c r="I3150" s="18" t="n">
        <v>1812</v>
      </c>
      <c r="J3150" s="19"/>
      <c r="K3150" s="19"/>
      <c r="L3150" s="19"/>
      <c r="M3150" s="19"/>
      <c r="N3150" s="19"/>
      <c r="O3150" s="19"/>
      <c r="P3150" s="19"/>
      <c r="Q3150" s="19"/>
      <c r="R3150" s="19"/>
      <c r="S3150" s="19"/>
      <c r="T3150" s="19"/>
      <c r="U3150" s="19"/>
      <c r="V3150" s="19"/>
      <c r="W3150" s="19"/>
      <c r="X3150" s="19" t="n">
        <v>302</v>
      </c>
      <c r="Y3150" s="19"/>
      <c r="Z3150" s="19"/>
      <c r="AA3150" s="19"/>
      <c r="AB3150" s="19"/>
      <c r="AC3150" s="19" t="n">
        <v>190</v>
      </c>
      <c r="AD3150" s="19"/>
      <c r="AE3150" s="19" t="n">
        <v>112</v>
      </c>
      <c r="AF3150" s="19"/>
      <c r="AG3150" s="19"/>
      <c r="AH3150" s="19"/>
      <c r="AI3150" s="19"/>
      <c r="AJ3150" s="19"/>
      <c r="AK3150" s="19"/>
      <c r="AL3150" s="19"/>
      <c r="AM3150" s="19" t="n">
        <v>273</v>
      </c>
      <c r="AN3150" s="19" t="n">
        <v>7</v>
      </c>
      <c r="AO3150" s="19"/>
      <c r="AP3150" s="19"/>
      <c r="AQ3150" s="19" t="n">
        <v>22</v>
      </c>
      <c r="AR3150" s="19"/>
      <c r="AS3150" s="20" t="str">
        <f aca="false">HYPERLINK("http://www.openstreetmap.org/?mlat=35.0079&amp;mlon=44.5391&amp;zoom=12#map=12/35.0079/44.5391","Maplink1")</f>
        <v>Maplink1</v>
      </c>
      <c r="AT3150" s="20" t="str">
        <f aca="false">HYPERLINK("https://www.google.iq/maps/search/+35.0079,44.5391/@35.0079,44.5391,14z?hl=en","Maplink2")</f>
        <v>Maplink2</v>
      </c>
      <c r="AU3150" s="20" t="str">
        <f aca="false">HYPERLINK("http://www.bing.com/maps/?lvl=14&amp;sty=h&amp;cp=35.0079~44.5391&amp;sp=point.35.0079_44.5391","Maplink3")</f>
        <v>Maplink3</v>
      </c>
    </row>
    <row r="3151" customFormat="false" ht="15" hidden="false" customHeight="true" outlineLevel="0" collapsed="false">
      <c r="A3151" s="15" t="n">
        <v>25871</v>
      </c>
      <c r="B3151" s="16" t="s">
        <v>29</v>
      </c>
      <c r="C3151" s="16" t="s">
        <v>5990</v>
      </c>
      <c r="D3151" s="16" t="s">
        <v>6023</v>
      </c>
      <c r="E3151" s="17" t="s">
        <v>6024</v>
      </c>
      <c r="F3151" s="16" t="n">
        <v>34.7986511</v>
      </c>
      <c r="G3151" s="16" t="n">
        <v>44.72808081</v>
      </c>
      <c r="H3151" s="18" t="n">
        <v>570</v>
      </c>
      <c r="I3151" s="18" t="n">
        <v>3420</v>
      </c>
      <c r="J3151" s="19"/>
      <c r="K3151" s="19"/>
      <c r="L3151" s="19"/>
      <c r="M3151" s="19"/>
      <c r="N3151" s="19"/>
      <c r="O3151" s="19"/>
      <c r="P3151" s="19"/>
      <c r="Q3151" s="19"/>
      <c r="R3151" s="19"/>
      <c r="S3151" s="19"/>
      <c r="T3151" s="19"/>
      <c r="U3151" s="19"/>
      <c r="V3151" s="19"/>
      <c r="W3151" s="19"/>
      <c r="X3151" s="19" t="n">
        <v>570</v>
      </c>
      <c r="Y3151" s="19"/>
      <c r="Z3151" s="19"/>
      <c r="AA3151" s="19"/>
      <c r="AB3151" s="19"/>
      <c r="AC3151" s="19"/>
      <c r="AD3151" s="19"/>
      <c r="AE3151" s="19" t="n">
        <v>570</v>
      </c>
      <c r="AF3151" s="19"/>
      <c r="AG3151" s="19"/>
      <c r="AH3151" s="19"/>
      <c r="AI3151" s="19"/>
      <c r="AJ3151" s="19"/>
      <c r="AK3151" s="19"/>
      <c r="AL3151" s="19"/>
      <c r="AM3151" s="19" t="n">
        <v>20</v>
      </c>
      <c r="AN3151" s="19" t="n">
        <v>285</v>
      </c>
      <c r="AO3151" s="19"/>
      <c r="AP3151" s="19" t="n">
        <v>265</v>
      </c>
      <c r="AQ3151" s="19"/>
      <c r="AR3151" s="19"/>
      <c r="AS3151" s="20" t="str">
        <f aca="false">HYPERLINK("http://www.openstreetmap.org/?mlat=34.7987&amp;mlon=44.7281&amp;zoom=12#map=12/34.7987/44.7281","Maplink1")</f>
        <v>Maplink1</v>
      </c>
      <c r="AT3151" s="20" t="str">
        <f aca="false">HYPERLINK("https://www.google.iq/maps/search/+34.7987,44.7281/@34.7987,44.7281,14z?hl=en","Maplink2")</f>
        <v>Maplink2</v>
      </c>
      <c r="AU3151" s="20" t="str">
        <f aca="false">HYPERLINK("http://www.bing.com/maps/?lvl=14&amp;sty=h&amp;cp=34.7987~44.7281&amp;sp=point.34.7987_44.7281","Maplink3")</f>
        <v>Maplink3</v>
      </c>
    </row>
    <row r="3152" customFormat="false" ht="15" hidden="false" customHeight="true" outlineLevel="0" collapsed="false">
      <c r="A3152" s="15" t="n">
        <v>25870</v>
      </c>
      <c r="B3152" s="16" t="s">
        <v>29</v>
      </c>
      <c r="C3152" s="16" t="s">
        <v>5990</v>
      </c>
      <c r="D3152" s="16" t="s">
        <v>6025</v>
      </c>
      <c r="E3152" s="17" t="s">
        <v>6026</v>
      </c>
      <c r="F3152" s="16" t="n">
        <v>34.732738</v>
      </c>
      <c r="G3152" s="16" t="n">
        <v>44.800704</v>
      </c>
      <c r="H3152" s="18" t="n">
        <v>380</v>
      </c>
      <c r="I3152" s="18" t="n">
        <v>2280</v>
      </c>
      <c r="J3152" s="19"/>
      <c r="K3152" s="19"/>
      <c r="L3152" s="19"/>
      <c r="M3152" s="19"/>
      <c r="N3152" s="19"/>
      <c r="O3152" s="19" t="n">
        <v>30</v>
      </c>
      <c r="P3152" s="19"/>
      <c r="Q3152" s="19"/>
      <c r="R3152" s="19"/>
      <c r="S3152" s="19"/>
      <c r="T3152" s="19"/>
      <c r="U3152" s="19"/>
      <c r="V3152" s="19"/>
      <c r="W3152" s="19"/>
      <c r="X3152" s="19" t="n">
        <v>350</v>
      </c>
      <c r="Y3152" s="19"/>
      <c r="Z3152" s="19"/>
      <c r="AA3152" s="19"/>
      <c r="AB3152" s="19"/>
      <c r="AC3152" s="19" t="n">
        <v>160</v>
      </c>
      <c r="AD3152" s="19"/>
      <c r="AE3152" s="19" t="n">
        <v>220</v>
      </c>
      <c r="AF3152" s="19"/>
      <c r="AG3152" s="19"/>
      <c r="AH3152" s="19"/>
      <c r="AI3152" s="19"/>
      <c r="AJ3152" s="19"/>
      <c r="AK3152" s="19"/>
      <c r="AL3152" s="19"/>
      <c r="AM3152" s="19" t="n">
        <v>35</v>
      </c>
      <c r="AN3152" s="19" t="n">
        <v>345</v>
      </c>
      <c r="AO3152" s="19"/>
      <c r="AP3152" s="19"/>
      <c r="AQ3152" s="19"/>
      <c r="AR3152" s="19"/>
      <c r="AS3152" s="20" t="str">
        <f aca="false">HYPERLINK("http://www.openstreetmap.org/?mlat=34.7327&amp;mlon=44.8007&amp;zoom=12#map=12/34.7327/44.8007","Maplink1")</f>
        <v>Maplink1</v>
      </c>
      <c r="AT3152" s="20" t="str">
        <f aca="false">HYPERLINK("https://www.google.iq/maps/search/+34.7327,44.8007/@34.7327,44.8007,14z?hl=en","Maplink2")</f>
        <v>Maplink2</v>
      </c>
      <c r="AU3152" s="20" t="str">
        <f aca="false">HYPERLINK("http://www.bing.com/maps/?lvl=14&amp;sty=h&amp;cp=34.7327~44.8007&amp;sp=point.34.7327_44.8007","Maplink3")</f>
        <v>Maplink3</v>
      </c>
    </row>
    <row r="3153" customFormat="false" ht="15" hidden="false" customHeight="true" outlineLevel="0" collapsed="false">
      <c r="A3153" s="15" t="n">
        <v>20992</v>
      </c>
      <c r="B3153" s="16" t="s">
        <v>29</v>
      </c>
      <c r="C3153" s="16" t="s">
        <v>5990</v>
      </c>
      <c r="D3153" s="16" t="s">
        <v>6027</v>
      </c>
      <c r="E3153" s="17" t="s">
        <v>6028</v>
      </c>
      <c r="F3153" s="16" t="n">
        <v>34.87661579</v>
      </c>
      <c r="G3153" s="16" t="n">
        <v>44.62838062</v>
      </c>
      <c r="H3153" s="18" t="n">
        <v>270</v>
      </c>
      <c r="I3153" s="18" t="n">
        <v>1620</v>
      </c>
      <c r="J3153" s="19" t="n">
        <v>15</v>
      </c>
      <c r="K3153" s="19"/>
      <c r="L3153" s="19"/>
      <c r="M3153" s="19"/>
      <c r="N3153" s="19"/>
      <c r="O3153" s="19"/>
      <c r="P3153" s="19"/>
      <c r="Q3153" s="19"/>
      <c r="R3153" s="19" t="n">
        <v>5</v>
      </c>
      <c r="S3153" s="19"/>
      <c r="T3153" s="19"/>
      <c r="U3153" s="19"/>
      <c r="V3153" s="19"/>
      <c r="W3153" s="19"/>
      <c r="X3153" s="19" t="n">
        <v>250</v>
      </c>
      <c r="Y3153" s="19"/>
      <c r="Z3153" s="19"/>
      <c r="AA3153" s="19"/>
      <c r="AB3153" s="19"/>
      <c r="AC3153" s="19" t="n">
        <v>10</v>
      </c>
      <c r="AD3153" s="19"/>
      <c r="AE3153" s="19" t="n">
        <v>30</v>
      </c>
      <c r="AF3153" s="19"/>
      <c r="AG3153" s="19"/>
      <c r="AH3153" s="19" t="n">
        <v>230</v>
      </c>
      <c r="AI3153" s="19"/>
      <c r="AJ3153" s="19"/>
      <c r="AK3153" s="19"/>
      <c r="AL3153" s="19" t="n">
        <v>80</v>
      </c>
      <c r="AM3153" s="19" t="n">
        <v>150</v>
      </c>
      <c r="AN3153" s="19" t="n">
        <v>20</v>
      </c>
      <c r="AO3153" s="19" t="n">
        <v>5</v>
      </c>
      <c r="AP3153" s="19" t="n">
        <v>15</v>
      </c>
      <c r="AQ3153" s="19"/>
      <c r="AR3153" s="19"/>
      <c r="AS3153" s="20" t="str">
        <f aca="false">HYPERLINK("http://www.openstreetmap.org/?mlat=34.8766&amp;mlon=44.6284&amp;zoom=12#map=12/34.8766/44.6284","Maplink1")</f>
        <v>Maplink1</v>
      </c>
      <c r="AT3153" s="20" t="str">
        <f aca="false">HYPERLINK("https://www.google.iq/maps/search/+34.8766,44.6284/@34.8766,44.6284,14z?hl=en","Maplink2")</f>
        <v>Maplink2</v>
      </c>
      <c r="AU3153" s="20" t="str">
        <f aca="false">HYPERLINK("http://www.bing.com/maps/?lvl=14&amp;sty=h&amp;cp=34.8766~44.6284&amp;sp=point.34.8766_44.6284","Maplink3")</f>
        <v>Maplink3</v>
      </c>
    </row>
    <row r="3154" customFormat="false" ht="15" hidden="false" customHeight="true" outlineLevel="0" collapsed="false">
      <c r="A3154" s="15" t="n">
        <v>25872</v>
      </c>
      <c r="B3154" s="16" t="s">
        <v>29</v>
      </c>
      <c r="C3154" s="16" t="s">
        <v>5990</v>
      </c>
      <c r="D3154" s="16" t="s">
        <v>6029</v>
      </c>
      <c r="E3154" s="17" t="s">
        <v>6030</v>
      </c>
      <c r="F3154" s="16" t="n">
        <v>34.90616683</v>
      </c>
      <c r="G3154" s="16" t="n">
        <v>44.62302584</v>
      </c>
      <c r="H3154" s="18" t="n">
        <v>520</v>
      </c>
      <c r="I3154" s="18" t="n">
        <v>3120</v>
      </c>
      <c r="J3154" s="19"/>
      <c r="K3154" s="19"/>
      <c r="L3154" s="19"/>
      <c r="M3154" s="19"/>
      <c r="N3154" s="19"/>
      <c r="O3154" s="19"/>
      <c r="P3154" s="19"/>
      <c r="Q3154" s="19"/>
      <c r="R3154" s="19"/>
      <c r="S3154" s="19"/>
      <c r="T3154" s="19"/>
      <c r="U3154" s="19"/>
      <c r="V3154" s="19"/>
      <c r="W3154" s="19"/>
      <c r="X3154" s="19" t="n">
        <v>520</v>
      </c>
      <c r="Y3154" s="19"/>
      <c r="Z3154" s="19"/>
      <c r="AA3154" s="19"/>
      <c r="AB3154" s="19"/>
      <c r="AC3154" s="19" t="n">
        <v>30</v>
      </c>
      <c r="AD3154" s="19"/>
      <c r="AE3154" s="19" t="n">
        <v>190</v>
      </c>
      <c r="AF3154" s="19"/>
      <c r="AG3154" s="19"/>
      <c r="AH3154" s="19" t="n">
        <v>300</v>
      </c>
      <c r="AI3154" s="19"/>
      <c r="AJ3154" s="19"/>
      <c r="AK3154" s="19"/>
      <c r="AL3154" s="19"/>
      <c r="AM3154" s="19" t="n">
        <v>410</v>
      </c>
      <c r="AN3154" s="19" t="n">
        <v>100</v>
      </c>
      <c r="AO3154" s="19"/>
      <c r="AP3154" s="19" t="n">
        <v>10</v>
      </c>
      <c r="AQ3154" s="19"/>
      <c r="AR3154" s="19"/>
      <c r="AS3154" s="20" t="str">
        <f aca="false">HYPERLINK("http://www.openstreetmap.org/?mlat=34.9062&amp;mlon=44.623&amp;zoom=12#map=12/34.9062/44.623","Maplink1")</f>
        <v>Maplink1</v>
      </c>
      <c r="AT3154" s="20" t="str">
        <f aca="false">HYPERLINK("https://www.google.iq/maps/search/+34.9062,44.623/@34.9062,44.623,14z?hl=en","Maplink2")</f>
        <v>Maplink2</v>
      </c>
      <c r="AU3154" s="20" t="str">
        <f aca="false">HYPERLINK("http://www.bing.com/maps/?lvl=14&amp;sty=h&amp;cp=34.9062~44.623&amp;sp=point.34.9062_44.623","Maplink3")</f>
        <v>Maplink3</v>
      </c>
    </row>
    <row r="3155" customFormat="false" ht="15" hidden="false" customHeight="true" outlineLevel="0" collapsed="false">
      <c r="A3155" s="15" t="n">
        <v>4658</v>
      </c>
      <c r="B3155" s="16" t="s">
        <v>30</v>
      </c>
      <c r="C3155" s="16" t="s">
        <v>6031</v>
      </c>
      <c r="D3155" s="16" t="s">
        <v>6032</v>
      </c>
      <c r="E3155" s="17" t="s">
        <v>6033</v>
      </c>
      <c r="F3155" s="16" t="n">
        <v>35.75091894</v>
      </c>
      <c r="G3155" s="16" t="n">
        <v>44.90026109</v>
      </c>
      <c r="H3155" s="18" t="n">
        <v>73</v>
      </c>
      <c r="I3155" s="18" t="n">
        <v>438</v>
      </c>
      <c r="J3155" s="19" t="n">
        <v>22</v>
      </c>
      <c r="K3155" s="19" t="n">
        <v>5</v>
      </c>
      <c r="L3155" s="19" t="n">
        <v>7</v>
      </c>
      <c r="M3155" s="19"/>
      <c r="N3155" s="19"/>
      <c r="O3155" s="19" t="n">
        <v>3</v>
      </c>
      <c r="P3155" s="19"/>
      <c r="Q3155" s="19"/>
      <c r="R3155" s="19"/>
      <c r="S3155" s="19"/>
      <c r="T3155" s="19"/>
      <c r="U3155" s="19"/>
      <c r="V3155" s="19" t="n">
        <v>31</v>
      </c>
      <c r="W3155" s="19"/>
      <c r="X3155" s="19" t="n">
        <v>5</v>
      </c>
      <c r="Y3155" s="19"/>
      <c r="Z3155" s="19"/>
      <c r="AA3155" s="19"/>
      <c r="AB3155" s="19"/>
      <c r="AC3155" s="19"/>
      <c r="AD3155" s="19"/>
      <c r="AE3155" s="19"/>
      <c r="AF3155" s="19"/>
      <c r="AG3155" s="19"/>
      <c r="AH3155" s="19" t="n">
        <v>73</v>
      </c>
      <c r="AI3155" s="19"/>
      <c r="AJ3155" s="19"/>
      <c r="AK3155" s="19"/>
      <c r="AL3155" s="19" t="n">
        <v>8</v>
      </c>
      <c r="AM3155" s="19" t="n">
        <v>9</v>
      </c>
      <c r="AN3155" s="19" t="n">
        <v>32</v>
      </c>
      <c r="AO3155" s="19" t="n">
        <v>7</v>
      </c>
      <c r="AP3155" s="19" t="n">
        <v>14</v>
      </c>
      <c r="AQ3155" s="19" t="n">
        <v>1</v>
      </c>
      <c r="AR3155" s="19" t="n">
        <v>2</v>
      </c>
      <c r="AS3155" s="20" t="str">
        <f aca="false">HYPERLINK("http://www.openstreetmap.org/?mlat=35.7509&amp;mlon=44.9003&amp;zoom=12#map=12/35.7509/44.9003","Maplink1")</f>
        <v>Maplink1</v>
      </c>
      <c r="AT3155" s="20" t="str">
        <f aca="false">HYPERLINK("https://www.google.iq/maps/search/+35.7509,44.9003/@35.7509,44.9003,14z?hl=en","Maplink2")</f>
        <v>Maplink2</v>
      </c>
      <c r="AU3155" s="20" t="str">
        <f aca="false">HYPERLINK("http://www.bing.com/maps/?lvl=14&amp;sty=h&amp;cp=35.7509~44.9003&amp;sp=point.35.7509_44.9003","Maplink3")</f>
        <v>Maplink3</v>
      </c>
    </row>
    <row r="3156" customFormat="false" ht="15" hidden="false" customHeight="true" outlineLevel="0" collapsed="false">
      <c r="A3156" s="15" t="n">
        <v>24688</v>
      </c>
      <c r="B3156" s="16" t="s">
        <v>30</v>
      </c>
      <c r="C3156" s="16" t="s">
        <v>6031</v>
      </c>
      <c r="D3156" s="16" t="s">
        <v>6034</v>
      </c>
      <c r="E3156" s="17" t="s">
        <v>6035</v>
      </c>
      <c r="F3156" s="16" t="n">
        <v>35.5239751</v>
      </c>
      <c r="G3156" s="16" t="n">
        <v>44.81675331</v>
      </c>
      <c r="H3156" s="18" t="n">
        <v>401</v>
      </c>
      <c r="I3156" s="18" t="n">
        <v>2406</v>
      </c>
      <c r="J3156" s="19" t="n">
        <v>315</v>
      </c>
      <c r="K3156" s="19" t="n">
        <v>41</v>
      </c>
      <c r="L3156" s="19" t="n">
        <v>14</v>
      </c>
      <c r="M3156" s="19"/>
      <c r="N3156" s="19"/>
      <c r="O3156" s="19" t="n">
        <v>2</v>
      </c>
      <c r="P3156" s="19"/>
      <c r="Q3156" s="19"/>
      <c r="R3156" s="19"/>
      <c r="S3156" s="19"/>
      <c r="T3156" s="19"/>
      <c r="U3156" s="19"/>
      <c r="V3156" s="19" t="n">
        <v>14</v>
      </c>
      <c r="W3156" s="19"/>
      <c r="X3156" s="19" t="n">
        <v>15</v>
      </c>
      <c r="Y3156" s="19"/>
      <c r="Z3156" s="19"/>
      <c r="AA3156" s="19"/>
      <c r="AB3156" s="19"/>
      <c r="AC3156" s="19"/>
      <c r="AD3156" s="19"/>
      <c r="AE3156" s="19"/>
      <c r="AF3156" s="19"/>
      <c r="AG3156" s="19"/>
      <c r="AH3156" s="19" t="n">
        <v>321</v>
      </c>
      <c r="AI3156" s="19"/>
      <c r="AJ3156" s="19" t="n">
        <v>80</v>
      </c>
      <c r="AK3156" s="19"/>
      <c r="AL3156" s="19" t="n">
        <v>68</v>
      </c>
      <c r="AM3156" s="19" t="n">
        <v>97</v>
      </c>
      <c r="AN3156" s="19" t="n">
        <v>47</v>
      </c>
      <c r="AO3156" s="19" t="n">
        <v>60</v>
      </c>
      <c r="AP3156" s="19" t="n">
        <v>121</v>
      </c>
      <c r="AQ3156" s="19"/>
      <c r="AR3156" s="19" t="n">
        <v>8</v>
      </c>
      <c r="AS3156" s="20" t="str">
        <f aca="false">HYPERLINK("http://www.openstreetmap.org/?mlat=35.524&amp;mlon=44.8168&amp;zoom=12#map=12/35.524/44.8168","Maplink1")</f>
        <v>Maplink1</v>
      </c>
      <c r="AT3156" s="20" t="str">
        <f aca="false">HYPERLINK("https://www.google.iq/maps/search/+35.524,44.8168/@35.524,44.8168,14z?hl=en","Maplink2")</f>
        <v>Maplink2</v>
      </c>
      <c r="AU3156" s="20" t="str">
        <f aca="false">HYPERLINK("http://www.bing.com/maps/?lvl=14&amp;sty=h&amp;cp=35.524~44.8168&amp;sp=point.35.524_44.8168","Maplink3")</f>
        <v>Maplink3</v>
      </c>
    </row>
    <row r="3157" customFormat="false" ht="15" hidden="false" customHeight="true" outlineLevel="0" collapsed="false">
      <c r="A3157" s="15" t="n">
        <v>6024</v>
      </c>
      <c r="B3157" s="16" t="s">
        <v>30</v>
      </c>
      <c r="C3157" s="16" t="s">
        <v>6031</v>
      </c>
      <c r="D3157" s="16" t="s">
        <v>3612</v>
      </c>
      <c r="E3157" s="17" t="s">
        <v>6036</v>
      </c>
      <c r="F3157" s="16" t="n">
        <v>35.5340831</v>
      </c>
      <c r="G3157" s="16" t="n">
        <v>44.84074059</v>
      </c>
      <c r="H3157" s="18" t="n">
        <v>157</v>
      </c>
      <c r="I3157" s="18" t="n">
        <v>942</v>
      </c>
      <c r="J3157" s="19" t="n">
        <v>132</v>
      </c>
      <c r="K3157" s="19" t="n">
        <v>4</v>
      </c>
      <c r="L3157" s="19" t="n">
        <v>15</v>
      </c>
      <c r="M3157" s="19"/>
      <c r="N3157" s="19"/>
      <c r="O3157" s="19" t="n">
        <v>3</v>
      </c>
      <c r="P3157" s="19"/>
      <c r="Q3157" s="19"/>
      <c r="R3157" s="19"/>
      <c r="S3157" s="19"/>
      <c r="T3157" s="19"/>
      <c r="U3157" s="19"/>
      <c r="V3157" s="19"/>
      <c r="W3157" s="19"/>
      <c r="X3157" s="19" t="n">
        <v>3</v>
      </c>
      <c r="Y3157" s="19"/>
      <c r="Z3157" s="19"/>
      <c r="AA3157" s="19"/>
      <c r="AB3157" s="19"/>
      <c r="AC3157" s="19"/>
      <c r="AD3157" s="19"/>
      <c r="AE3157" s="19"/>
      <c r="AF3157" s="19"/>
      <c r="AG3157" s="19"/>
      <c r="AH3157" s="19" t="n">
        <v>157</v>
      </c>
      <c r="AI3157" s="19"/>
      <c r="AJ3157" s="19"/>
      <c r="AK3157" s="19"/>
      <c r="AL3157" s="19" t="n">
        <v>53</v>
      </c>
      <c r="AM3157" s="19" t="n">
        <v>27</v>
      </c>
      <c r="AN3157" s="19" t="n">
        <v>19</v>
      </c>
      <c r="AO3157" s="19" t="n">
        <v>25</v>
      </c>
      <c r="AP3157" s="19" t="n">
        <v>25</v>
      </c>
      <c r="AQ3157" s="19" t="n">
        <v>8</v>
      </c>
      <c r="AR3157" s="19"/>
      <c r="AS3157" s="20" t="str">
        <f aca="false">HYPERLINK("http://www.openstreetmap.org/?mlat=35.5341&amp;mlon=44.8407&amp;zoom=12#map=12/35.5341/44.8407","Maplink1")</f>
        <v>Maplink1</v>
      </c>
      <c r="AT3157" s="20" t="str">
        <f aca="false">HYPERLINK("https://www.google.iq/maps/search/+35.5341,44.8407/@35.5341,44.8407,14z?hl=en","Maplink2")</f>
        <v>Maplink2</v>
      </c>
      <c r="AU3157" s="20" t="str">
        <f aca="false">HYPERLINK("http://www.bing.com/maps/?lvl=14&amp;sty=h&amp;cp=35.5341~44.8407&amp;sp=point.35.5341_44.8407","Maplink3")</f>
        <v>Maplink3</v>
      </c>
    </row>
    <row r="3158" customFormat="false" ht="15" hidden="false" customHeight="true" outlineLevel="0" collapsed="false">
      <c r="A3158" s="15" t="n">
        <v>22080</v>
      </c>
      <c r="B3158" s="16" t="s">
        <v>30</v>
      </c>
      <c r="C3158" s="16" t="s">
        <v>6031</v>
      </c>
      <c r="D3158" s="16" t="s">
        <v>6037</v>
      </c>
      <c r="E3158" s="17" t="s">
        <v>6038</v>
      </c>
      <c r="F3158" s="16" t="n">
        <v>35.53981999</v>
      </c>
      <c r="G3158" s="16" t="n">
        <v>44.83015344</v>
      </c>
      <c r="H3158" s="18" t="n">
        <v>85</v>
      </c>
      <c r="I3158" s="18" t="n">
        <v>510</v>
      </c>
      <c r="J3158" s="19" t="n">
        <v>63</v>
      </c>
      <c r="K3158" s="19"/>
      <c r="L3158" s="19" t="n">
        <v>8</v>
      </c>
      <c r="M3158" s="19"/>
      <c r="N3158" s="19"/>
      <c r="O3158" s="19" t="n">
        <v>4</v>
      </c>
      <c r="P3158" s="19"/>
      <c r="Q3158" s="19"/>
      <c r="R3158" s="19"/>
      <c r="S3158" s="19"/>
      <c r="T3158" s="19"/>
      <c r="U3158" s="19"/>
      <c r="V3158" s="19" t="n">
        <v>9</v>
      </c>
      <c r="W3158" s="19"/>
      <c r="X3158" s="19" t="n">
        <v>1</v>
      </c>
      <c r="Y3158" s="19"/>
      <c r="Z3158" s="19"/>
      <c r="AA3158" s="19"/>
      <c r="AB3158" s="19"/>
      <c r="AC3158" s="19"/>
      <c r="AD3158" s="19"/>
      <c r="AE3158" s="19"/>
      <c r="AF3158" s="19"/>
      <c r="AG3158" s="19"/>
      <c r="AH3158" s="19" t="n">
        <v>85</v>
      </c>
      <c r="AI3158" s="19"/>
      <c r="AJ3158" s="19"/>
      <c r="AK3158" s="19"/>
      <c r="AL3158" s="19" t="n">
        <v>14</v>
      </c>
      <c r="AM3158" s="19" t="n">
        <v>10</v>
      </c>
      <c r="AN3158" s="19" t="n">
        <v>9</v>
      </c>
      <c r="AO3158" s="19" t="n">
        <v>23</v>
      </c>
      <c r="AP3158" s="19" t="n">
        <v>23</v>
      </c>
      <c r="AQ3158" s="19" t="n">
        <v>4</v>
      </c>
      <c r="AR3158" s="19" t="n">
        <v>2</v>
      </c>
      <c r="AS3158" s="20" t="str">
        <f aca="false">HYPERLINK("http://www.openstreetmap.org/?mlat=35.5398&amp;mlon=44.8302&amp;zoom=12#map=12/35.5398/44.8302","Maplink1")</f>
        <v>Maplink1</v>
      </c>
      <c r="AT3158" s="20" t="str">
        <f aca="false">HYPERLINK("https://www.google.iq/maps/search/+35.5398,44.8302/@35.5398,44.8302,14z?hl=en","Maplink2")</f>
        <v>Maplink2</v>
      </c>
      <c r="AU3158" s="20" t="str">
        <f aca="false">HYPERLINK("http://www.bing.com/maps/?lvl=14&amp;sty=h&amp;cp=35.5398~44.8302&amp;sp=point.35.5398_44.8302","Maplink3")</f>
        <v>Maplink3</v>
      </c>
    </row>
    <row r="3159" customFormat="false" ht="15" hidden="false" customHeight="true" outlineLevel="0" collapsed="false">
      <c r="A3159" s="15" t="n">
        <v>24894</v>
      </c>
      <c r="B3159" s="16" t="s">
        <v>30</v>
      </c>
      <c r="C3159" s="16" t="s">
        <v>6031</v>
      </c>
      <c r="D3159" s="16" t="s">
        <v>6039</v>
      </c>
      <c r="E3159" s="17" t="s">
        <v>6040</v>
      </c>
      <c r="F3159" s="16" t="n">
        <v>35.52726565</v>
      </c>
      <c r="G3159" s="16" t="n">
        <v>44.82776022</v>
      </c>
      <c r="H3159" s="18" t="n">
        <v>102</v>
      </c>
      <c r="I3159" s="18" t="n">
        <v>612</v>
      </c>
      <c r="J3159" s="19" t="n">
        <v>91</v>
      </c>
      <c r="K3159" s="19" t="n">
        <v>5</v>
      </c>
      <c r="L3159" s="19" t="n">
        <v>6</v>
      </c>
      <c r="M3159" s="19"/>
      <c r="N3159" s="19"/>
      <c r="O3159" s="19"/>
      <c r="P3159" s="19"/>
      <c r="Q3159" s="19"/>
      <c r="R3159" s="19"/>
      <c r="S3159" s="19"/>
      <c r="T3159" s="19"/>
      <c r="U3159" s="19"/>
      <c r="V3159" s="19"/>
      <c r="W3159" s="19"/>
      <c r="X3159" s="19"/>
      <c r="Y3159" s="19"/>
      <c r="Z3159" s="19"/>
      <c r="AA3159" s="19"/>
      <c r="AB3159" s="19"/>
      <c r="AC3159" s="19"/>
      <c r="AD3159" s="19"/>
      <c r="AE3159" s="19"/>
      <c r="AF3159" s="19"/>
      <c r="AG3159" s="19"/>
      <c r="AH3159" s="19" t="n">
        <v>102</v>
      </c>
      <c r="AI3159" s="19"/>
      <c r="AJ3159" s="19"/>
      <c r="AK3159" s="19"/>
      <c r="AL3159" s="19" t="n">
        <v>26</v>
      </c>
      <c r="AM3159" s="19" t="n">
        <v>21</v>
      </c>
      <c r="AN3159" s="19" t="n">
        <v>10</v>
      </c>
      <c r="AO3159" s="19" t="n">
        <v>23</v>
      </c>
      <c r="AP3159" s="19" t="n">
        <v>18</v>
      </c>
      <c r="AQ3159" s="19" t="n">
        <v>4</v>
      </c>
      <c r="AR3159" s="19"/>
      <c r="AS3159" s="20" t="str">
        <f aca="false">HYPERLINK("http://www.openstreetmap.org/?mlat=35.5273&amp;mlon=44.8278&amp;zoom=12#map=12/35.5273/44.8278","Maplink1")</f>
        <v>Maplink1</v>
      </c>
      <c r="AT3159" s="20" t="str">
        <f aca="false">HYPERLINK("https://www.google.iq/maps/search/+35.5273,44.8278/@35.5273,44.8278,14z?hl=en","Maplink2")</f>
        <v>Maplink2</v>
      </c>
      <c r="AU3159" s="20" t="str">
        <f aca="false">HYPERLINK("http://www.bing.com/maps/?lvl=14&amp;sty=h&amp;cp=35.5273~44.8278&amp;sp=point.35.5273_44.8278","Maplink3")</f>
        <v>Maplink3</v>
      </c>
    </row>
    <row r="3160" customFormat="false" ht="15" hidden="false" customHeight="true" outlineLevel="0" collapsed="false">
      <c r="A3160" s="15" t="n">
        <v>6159</v>
      </c>
      <c r="B3160" s="16" t="s">
        <v>30</v>
      </c>
      <c r="C3160" s="16" t="s">
        <v>6031</v>
      </c>
      <c r="D3160" s="16" t="s">
        <v>6041</v>
      </c>
      <c r="E3160" s="17" t="s">
        <v>6042</v>
      </c>
      <c r="F3160" s="16" t="n">
        <v>35.53788061</v>
      </c>
      <c r="G3160" s="16" t="n">
        <v>44.82232993</v>
      </c>
      <c r="H3160" s="18" t="n">
        <v>63</v>
      </c>
      <c r="I3160" s="18" t="n">
        <v>378</v>
      </c>
      <c r="J3160" s="19" t="n">
        <v>58</v>
      </c>
      <c r="K3160" s="19" t="n">
        <v>3</v>
      </c>
      <c r="L3160" s="19" t="n">
        <v>2</v>
      </c>
      <c r="M3160" s="19"/>
      <c r="N3160" s="19"/>
      <c r="O3160" s="19"/>
      <c r="P3160" s="19"/>
      <c r="Q3160" s="19"/>
      <c r="R3160" s="19"/>
      <c r="S3160" s="19"/>
      <c r="T3160" s="19"/>
      <c r="U3160" s="19"/>
      <c r="V3160" s="19"/>
      <c r="W3160" s="19"/>
      <c r="X3160" s="19"/>
      <c r="Y3160" s="19"/>
      <c r="Z3160" s="19"/>
      <c r="AA3160" s="19"/>
      <c r="AB3160" s="19"/>
      <c r="AC3160" s="19"/>
      <c r="AD3160" s="19"/>
      <c r="AE3160" s="19"/>
      <c r="AF3160" s="19"/>
      <c r="AG3160" s="19"/>
      <c r="AH3160" s="19" t="n">
        <v>63</v>
      </c>
      <c r="AI3160" s="19"/>
      <c r="AJ3160" s="19"/>
      <c r="AK3160" s="19"/>
      <c r="AL3160" s="19" t="n">
        <v>22</v>
      </c>
      <c r="AM3160" s="19" t="n">
        <v>12</v>
      </c>
      <c r="AN3160" s="19" t="n">
        <v>8</v>
      </c>
      <c r="AO3160" s="19" t="n">
        <v>9</v>
      </c>
      <c r="AP3160" s="19" t="n">
        <v>12</v>
      </c>
      <c r="AQ3160" s="19"/>
      <c r="AR3160" s="19"/>
      <c r="AS3160" s="20" t="str">
        <f aca="false">HYPERLINK("http://www.openstreetmap.org/?mlat=35.5379&amp;mlon=44.8223&amp;zoom=12#map=12/35.5379/44.8223","Maplink1")</f>
        <v>Maplink1</v>
      </c>
      <c r="AT3160" s="20" t="str">
        <f aca="false">HYPERLINK("https://www.google.iq/maps/search/+35.5379,44.8223/@35.5379,44.8223,14z?hl=en","Maplink2")</f>
        <v>Maplink2</v>
      </c>
      <c r="AU3160" s="20" t="str">
        <f aca="false">HYPERLINK("http://www.bing.com/maps/?lvl=14&amp;sty=h&amp;cp=35.5379~44.8223&amp;sp=point.35.5379_44.8223","Maplink3")</f>
        <v>Maplink3</v>
      </c>
    </row>
    <row r="3161" customFormat="false" ht="15" hidden="false" customHeight="true" outlineLevel="0" collapsed="false">
      <c r="A3161" s="15" t="n">
        <v>25572</v>
      </c>
      <c r="B3161" s="16" t="s">
        <v>30</v>
      </c>
      <c r="C3161" s="16" t="s">
        <v>6031</v>
      </c>
      <c r="D3161" s="16" t="s">
        <v>6043</v>
      </c>
      <c r="E3161" s="17" t="s">
        <v>6044</v>
      </c>
      <c r="F3161" s="16" t="n">
        <v>35.50916253</v>
      </c>
      <c r="G3161" s="16" t="n">
        <v>44.83349141</v>
      </c>
      <c r="H3161" s="18" t="n">
        <v>22</v>
      </c>
      <c r="I3161" s="18" t="n">
        <v>132</v>
      </c>
      <c r="J3161" s="19" t="n">
        <v>22</v>
      </c>
      <c r="K3161" s="19"/>
      <c r="L3161" s="19"/>
      <c r="M3161" s="19"/>
      <c r="N3161" s="19"/>
      <c r="O3161" s="19"/>
      <c r="P3161" s="19"/>
      <c r="Q3161" s="19"/>
      <c r="R3161" s="19"/>
      <c r="S3161" s="19"/>
      <c r="T3161" s="19"/>
      <c r="U3161" s="19"/>
      <c r="V3161" s="19"/>
      <c r="W3161" s="19"/>
      <c r="X3161" s="19"/>
      <c r="Y3161" s="19"/>
      <c r="Z3161" s="19"/>
      <c r="AA3161" s="19"/>
      <c r="AB3161" s="19"/>
      <c r="AC3161" s="19"/>
      <c r="AD3161" s="19"/>
      <c r="AE3161" s="19"/>
      <c r="AF3161" s="19"/>
      <c r="AG3161" s="19"/>
      <c r="AH3161" s="19" t="n">
        <v>22</v>
      </c>
      <c r="AI3161" s="19"/>
      <c r="AJ3161" s="19"/>
      <c r="AK3161" s="19"/>
      <c r="AL3161" s="19" t="n">
        <v>16</v>
      </c>
      <c r="AM3161" s="19" t="n">
        <v>3</v>
      </c>
      <c r="AN3161" s="19"/>
      <c r="AO3161" s="19" t="n">
        <v>3</v>
      </c>
      <c r="AP3161" s="19"/>
      <c r="AQ3161" s="19"/>
      <c r="AR3161" s="19"/>
      <c r="AS3161" s="20" t="str">
        <f aca="false">HYPERLINK("http://www.openstreetmap.org/?mlat=35.5092&amp;mlon=44.8335&amp;zoom=12#map=12/35.5092/44.8335","Maplink1")</f>
        <v>Maplink1</v>
      </c>
      <c r="AT3161" s="20" t="str">
        <f aca="false">HYPERLINK("https://www.google.iq/maps/search/+35.5092,44.8335/@35.5092,44.8335,14z?hl=en","Maplink2")</f>
        <v>Maplink2</v>
      </c>
      <c r="AU3161" s="20" t="str">
        <f aca="false">HYPERLINK("http://www.bing.com/maps/?lvl=14&amp;sty=h&amp;cp=35.5092~44.8335&amp;sp=point.35.5092_44.8335","Maplink3")</f>
        <v>Maplink3</v>
      </c>
    </row>
    <row r="3162" customFormat="false" ht="15" hidden="false" customHeight="true" outlineLevel="0" collapsed="false">
      <c r="A3162" s="15" t="n">
        <v>5853</v>
      </c>
      <c r="B3162" s="16" t="s">
        <v>30</v>
      </c>
      <c r="C3162" s="16" t="s">
        <v>6031</v>
      </c>
      <c r="D3162" s="16" t="s">
        <v>6045</v>
      </c>
      <c r="E3162" s="17" t="s">
        <v>6046</v>
      </c>
      <c r="F3162" s="16" t="n">
        <v>35.57109839</v>
      </c>
      <c r="G3162" s="16" t="n">
        <v>44.86515822</v>
      </c>
      <c r="H3162" s="18" t="n">
        <v>36</v>
      </c>
      <c r="I3162" s="18" t="n">
        <v>216</v>
      </c>
      <c r="J3162" s="19"/>
      <c r="K3162" s="19"/>
      <c r="L3162" s="19"/>
      <c r="M3162" s="19"/>
      <c r="N3162" s="19"/>
      <c r="O3162" s="19"/>
      <c r="P3162" s="19"/>
      <c r="Q3162" s="19"/>
      <c r="R3162" s="19"/>
      <c r="S3162" s="19"/>
      <c r="T3162" s="19"/>
      <c r="U3162" s="19"/>
      <c r="V3162" s="19" t="n">
        <v>36</v>
      </c>
      <c r="W3162" s="19"/>
      <c r="X3162" s="19"/>
      <c r="Y3162" s="19"/>
      <c r="Z3162" s="19"/>
      <c r="AA3162" s="19"/>
      <c r="AB3162" s="19"/>
      <c r="AC3162" s="19"/>
      <c r="AD3162" s="19"/>
      <c r="AE3162" s="19" t="n">
        <v>36</v>
      </c>
      <c r="AF3162" s="19"/>
      <c r="AG3162" s="19"/>
      <c r="AH3162" s="19"/>
      <c r="AI3162" s="19"/>
      <c r="AJ3162" s="19"/>
      <c r="AK3162" s="19"/>
      <c r="AL3162" s="19"/>
      <c r="AM3162" s="19"/>
      <c r="AN3162" s="19" t="n">
        <v>36</v>
      </c>
      <c r="AO3162" s="19"/>
      <c r="AP3162" s="19"/>
      <c r="AQ3162" s="19"/>
      <c r="AR3162" s="19"/>
      <c r="AS3162" s="20" t="str">
        <f aca="false">HYPERLINK("http://www.openstreetmap.org/?mlat=35.5711&amp;mlon=44.8652&amp;zoom=12#map=12/35.5711/44.8652","Maplink1")</f>
        <v>Maplink1</v>
      </c>
      <c r="AT3162" s="20" t="str">
        <f aca="false">HYPERLINK("https://www.google.iq/maps/search/+35.5711,44.8652/@35.5711,44.8652,14z?hl=en","Maplink2")</f>
        <v>Maplink2</v>
      </c>
      <c r="AU3162" s="20" t="str">
        <f aca="false">HYPERLINK("http://www.bing.com/maps/?lvl=14&amp;sty=h&amp;cp=35.5711~44.8652&amp;sp=point.35.5711_44.8652","Maplink3")</f>
        <v>Maplink3</v>
      </c>
    </row>
    <row r="3163" customFormat="false" ht="15" hidden="false" customHeight="true" outlineLevel="0" collapsed="false">
      <c r="A3163" s="15" t="n">
        <v>23669</v>
      </c>
      <c r="B3163" s="16" t="s">
        <v>30</v>
      </c>
      <c r="C3163" s="16" t="s">
        <v>6031</v>
      </c>
      <c r="D3163" s="16" t="s">
        <v>6047</v>
      </c>
      <c r="E3163" s="17" t="s">
        <v>6048</v>
      </c>
      <c r="F3163" s="16" t="n">
        <v>35.62975908</v>
      </c>
      <c r="G3163" s="16" t="n">
        <v>44.96679754</v>
      </c>
      <c r="H3163" s="18" t="n">
        <v>106</v>
      </c>
      <c r="I3163" s="18" t="n">
        <v>636</v>
      </c>
      <c r="J3163" s="19" t="n">
        <v>47</v>
      </c>
      <c r="K3163" s="19"/>
      <c r="L3163" s="19"/>
      <c r="M3163" s="19"/>
      <c r="N3163" s="19"/>
      <c r="O3163" s="19" t="n">
        <v>2</v>
      </c>
      <c r="P3163" s="19"/>
      <c r="Q3163" s="19"/>
      <c r="R3163" s="19"/>
      <c r="S3163" s="19"/>
      <c r="T3163" s="19"/>
      <c r="U3163" s="19"/>
      <c r="V3163" s="19" t="n">
        <v>29</v>
      </c>
      <c r="W3163" s="19"/>
      <c r="X3163" s="19" t="n">
        <v>28</v>
      </c>
      <c r="Y3163" s="19"/>
      <c r="Z3163" s="19"/>
      <c r="AA3163" s="19"/>
      <c r="AB3163" s="19"/>
      <c r="AC3163" s="19"/>
      <c r="AD3163" s="19"/>
      <c r="AE3163" s="19"/>
      <c r="AF3163" s="19"/>
      <c r="AG3163" s="19"/>
      <c r="AH3163" s="19" t="n">
        <v>106</v>
      </c>
      <c r="AI3163" s="19"/>
      <c r="AJ3163" s="19"/>
      <c r="AK3163" s="19"/>
      <c r="AL3163" s="19" t="n">
        <v>8</v>
      </c>
      <c r="AM3163" s="19" t="n">
        <v>14</v>
      </c>
      <c r="AN3163" s="19" t="n">
        <v>41</v>
      </c>
      <c r="AO3163" s="19" t="n">
        <v>35</v>
      </c>
      <c r="AP3163" s="19" t="n">
        <v>8</v>
      </c>
      <c r="AQ3163" s="19"/>
      <c r="AR3163" s="19"/>
      <c r="AS3163" s="20" t="str">
        <f aca="false">HYPERLINK("http://www.openstreetmap.org/?mlat=35.6298&amp;mlon=44.9668&amp;zoom=12#map=12/35.6298/44.9668","Maplink1")</f>
        <v>Maplink1</v>
      </c>
      <c r="AT3163" s="20" t="str">
        <f aca="false">HYPERLINK("https://www.google.iq/maps/search/+35.6298,44.9668/@35.6298,44.9668,14z?hl=en","Maplink2")</f>
        <v>Maplink2</v>
      </c>
      <c r="AU3163" s="20" t="str">
        <f aca="false">HYPERLINK("http://www.bing.com/maps/?lvl=14&amp;sty=h&amp;cp=35.6298~44.9668&amp;sp=point.35.6298_44.9668","Maplink3")</f>
        <v>Maplink3</v>
      </c>
    </row>
    <row r="3164" customFormat="false" ht="15" hidden="false" customHeight="true" outlineLevel="0" collapsed="false">
      <c r="A3164" s="15" t="n">
        <v>24686</v>
      </c>
      <c r="B3164" s="16" t="s">
        <v>30</v>
      </c>
      <c r="C3164" s="16" t="s">
        <v>6031</v>
      </c>
      <c r="D3164" s="16" t="s">
        <v>6049</v>
      </c>
      <c r="E3164" s="17" t="s">
        <v>3454</v>
      </c>
      <c r="F3164" s="16" t="n">
        <v>35.62889661</v>
      </c>
      <c r="G3164" s="16" t="n">
        <v>44.95923574</v>
      </c>
      <c r="H3164" s="18" t="n">
        <v>17</v>
      </c>
      <c r="I3164" s="18" t="n">
        <v>102</v>
      </c>
      <c r="J3164" s="19" t="n">
        <v>10</v>
      </c>
      <c r="K3164" s="19"/>
      <c r="L3164" s="19"/>
      <c r="M3164" s="19"/>
      <c r="N3164" s="19"/>
      <c r="O3164" s="19" t="n">
        <v>2</v>
      </c>
      <c r="P3164" s="19"/>
      <c r="Q3164" s="19"/>
      <c r="R3164" s="19"/>
      <c r="S3164" s="19"/>
      <c r="T3164" s="19"/>
      <c r="U3164" s="19"/>
      <c r="V3164" s="19" t="n">
        <v>3</v>
      </c>
      <c r="W3164" s="19"/>
      <c r="X3164" s="19" t="n">
        <v>2</v>
      </c>
      <c r="Y3164" s="19"/>
      <c r="Z3164" s="19"/>
      <c r="AA3164" s="19"/>
      <c r="AB3164" s="19"/>
      <c r="AC3164" s="19"/>
      <c r="AD3164" s="19"/>
      <c r="AE3164" s="19"/>
      <c r="AF3164" s="19"/>
      <c r="AG3164" s="19"/>
      <c r="AH3164" s="19" t="n">
        <v>17</v>
      </c>
      <c r="AI3164" s="19"/>
      <c r="AJ3164" s="19"/>
      <c r="AK3164" s="19"/>
      <c r="AL3164" s="19" t="n">
        <v>7</v>
      </c>
      <c r="AM3164" s="19"/>
      <c r="AN3164" s="19" t="n">
        <v>5</v>
      </c>
      <c r="AO3164" s="19" t="n">
        <v>2</v>
      </c>
      <c r="AP3164" s="19" t="n">
        <v>3</v>
      </c>
      <c r="AQ3164" s="19"/>
      <c r="AR3164" s="19"/>
      <c r="AS3164" s="20" t="str">
        <f aca="false">HYPERLINK("http://www.openstreetmap.org/?mlat=35.6289&amp;mlon=44.9592&amp;zoom=12#map=12/35.6289/44.9592","Maplink1")</f>
        <v>Maplink1</v>
      </c>
      <c r="AT3164" s="20" t="str">
        <f aca="false">HYPERLINK("https://www.google.iq/maps/search/+35.6289,44.9592/@35.6289,44.9592,14z?hl=en","Maplink2")</f>
        <v>Maplink2</v>
      </c>
      <c r="AU3164" s="20" t="str">
        <f aca="false">HYPERLINK("http://www.bing.com/maps/?lvl=14&amp;sty=h&amp;cp=35.6289~44.9592&amp;sp=point.35.6289_44.9592","Maplink3")</f>
        <v>Maplink3</v>
      </c>
    </row>
    <row r="3165" customFormat="false" ht="15" hidden="false" customHeight="true" outlineLevel="0" collapsed="false">
      <c r="A3165" s="15" t="n">
        <v>24216</v>
      </c>
      <c r="B3165" s="16" t="s">
        <v>30</v>
      </c>
      <c r="C3165" s="16" t="s">
        <v>6031</v>
      </c>
      <c r="D3165" s="16" t="s">
        <v>6050</v>
      </c>
      <c r="E3165" s="17" t="s">
        <v>6051</v>
      </c>
      <c r="F3165" s="16" t="n">
        <v>35.51954384</v>
      </c>
      <c r="G3165" s="16" t="n">
        <v>44.83479261</v>
      </c>
      <c r="H3165" s="18" t="n">
        <v>87</v>
      </c>
      <c r="I3165" s="18" t="n">
        <v>522</v>
      </c>
      <c r="J3165" s="19" t="n">
        <v>79</v>
      </c>
      <c r="K3165" s="19"/>
      <c r="L3165" s="19"/>
      <c r="M3165" s="19"/>
      <c r="N3165" s="19"/>
      <c r="O3165" s="19"/>
      <c r="P3165" s="19"/>
      <c r="Q3165" s="19"/>
      <c r="R3165" s="19"/>
      <c r="S3165" s="19"/>
      <c r="T3165" s="19"/>
      <c r="U3165" s="19"/>
      <c r="V3165" s="19" t="n">
        <v>8</v>
      </c>
      <c r="W3165" s="19"/>
      <c r="X3165" s="19"/>
      <c r="Y3165" s="19"/>
      <c r="Z3165" s="19"/>
      <c r="AA3165" s="19"/>
      <c r="AB3165" s="19"/>
      <c r="AC3165" s="19"/>
      <c r="AD3165" s="19"/>
      <c r="AE3165" s="19"/>
      <c r="AF3165" s="19"/>
      <c r="AG3165" s="19"/>
      <c r="AH3165" s="19" t="n">
        <v>87</v>
      </c>
      <c r="AI3165" s="19"/>
      <c r="AJ3165" s="19"/>
      <c r="AK3165" s="19"/>
      <c r="AL3165" s="19" t="n">
        <v>15</v>
      </c>
      <c r="AM3165" s="19" t="n">
        <v>53</v>
      </c>
      <c r="AN3165" s="19" t="n">
        <v>12</v>
      </c>
      <c r="AO3165" s="19" t="n">
        <v>2</v>
      </c>
      <c r="AP3165" s="19" t="n">
        <v>2</v>
      </c>
      <c r="AQ3165" s="19" t="n">
        <v>3</v>
      </c>
      <c r="AR3165" s="19"/>
      <c r="AS3165" s="20" t="str">
        <f aca="false">HYPERLINK("http://www.openstreetmap.org/?mlat=35.5195&amp;mlon=44.8348&amp;zoom=12#map=12/35.5195/44.8348","Maplink1")</f>
        <v>Maplink1</v>
      </c>
      <c r="AT3165" s="20" t="str">
        <f aca="false">HYPERLINK("https://www.google.iq/maps/search/+35.5195,44.8348/@35.5195,44.8348,14z?hl=en","Maplink2")</f>
        <v>Maplink2</v>
      </c>
      <c r="AU3165" s="20" t="str">
        <f aca="false">HYPERLINK("http://www.bing.com/maps/?lvl=14&amp;sty=h&amp;cp=35.5195~44.8348&amp;sp=point.35.5195_44.8348","Maplink3")</f>
        <v>Maplink3</v>
      </c>
    </row>
    <row r="3166" customFormat="false" ht="15" hidden="false" customHeight="true" outlineLevel="0" collapsed="false">
      <c r="A3166" s="15" t="n">
        <v>20815</v>
      </c>
      <c r="B3166" s="16" t="s">
        <v>30</v>
      </c>
      <c r="C3166" s="16" t="s">
        <v>6031</v>
      </c>
      <c r="D3166" s="16" t="s">
        <v>6052</v>
      </c>
      <c r="E3166" s="17" t="s">
        <v>6053</v>
      </c>
      <c r="F3166" s="16" t="n">
        <v>35.50710111</v>
      </c>
      <c r="G3166" s="16" t="n">
        <v>44.82567741</v>
      </c>
      <c r="H3166" s="18" t="n">
        <v>22</v>
      </c>
      <c r="I3166" s="18" t="n">
        <v>132</v>
      </c>
      <c r="J3166" s="19" t="n">
        <v>17</v>
      </c>
      <c r="K3166" s="19"/>
      <c r="L3166" s="19" t="n">
        <v>5</v>
      </c>
      <c r="M3166" s="19"/>
      <c r="N3166" s="19"/>
      <c r="O3166" s="19"/>
      <c r="P3166" s="19"/>
      <c r="Q3166" s="19"/>
      <c r="R3166" s="19"/>
      <c r="S3166" s="19"/>
      <c r="T3166" s="19"/>
      <c r="U3166" s="19"/>
      <c r="V3166" s="19"/>
      <c r="W3166" s="19"/>
      <c r="X3166" s="19"/>
      <c r="Y3166" s="19"/>
      <c r="Z3166" s="19"/>
      <c r="AA3166" s="19"/>
      <c r="AB3166" s="19"/>
      <c r="AC3166" s="19"/>
      <c r="AD3166" s="19"/>
      <c r="AE3166" s="19"/>
      <c r="AF3166" s="19"/>
      <c r="AG3166" s="19"/>
      <c r="AH3166" s="19" t="n">
        <v>22</v>
      </c>
      <c r="AI3166" s="19"/>
      <c r="AJ3166" s="19"/>
      <c r="AK3166" s="19"/>
      <c r="AL3166" s="19" t="n">
        <v>13</v>
      </c>
      <c r="AM3166" s="19" t="n">
        <v>6</v>
      </c>
      <c r="AN3166" s="19"/>
      <c r="AO3166" s="19" t="n">
        <v>3</v>
      </c>
      <c r="AP3166" s="19"/>
      <c r="AQ3166" s="19"/>
      <c r="AR3166" s="19"/>
      <c r="AS3166" s="20" t="str">
        <f aca="false">HYPERLINK("http://www.openstreetmap.org/?mlat=35.5071&amp;mlon=44.8257&amp;zoom=12#map=12/35.5071/44.8257","Maplink1")</f>
        <v>Maplink1</v>
      </c>
      <c r="AT3166" s="20" t="str">
        <f aca="false">HYPERLINK("https://www.google.iq/maps/search/+35.5071,44.8257/@35.5071,44.8257,14z?hl=en","Maplink2")</f>
        <v>Maplink2</v>
      </c>
      <c r="AU3166" s="20" t="str">
        <f aca="false">HYPERLINK("http://www.bing.com/maps/?lvl=14&amp;sty=h&amp;cp=35.5071~44.8257&amp;sp=point.35.5071_44.8257","Maplink3")</f>
        <v>Maplink3</v>
      </c>
    </row>
    <row r="3167" customFormat="false" ht="15" hidden="false" customHeight="true" outlineLevel="0" collapsed="false">
      <c r="A3167" s="15" t="n">
        <v>4933</v>
      </c>
      <c r="B3167" s="16" t="s">
        <v>30</v>
      </c>
      <c r="C3167" s="16" t="s">
        <v>6031</v>
      </c>
      <c r="D3167" s="16" t="s">
        <v>6054</v>
      </c>
      <c r="E3167" s="17" t="s">
        <v>6055</v>
      </c>
      <c r="F3167" s="16" t="n">
        <v>35.51637615</v>
      </c>
      <c r="G3167" s="16" t="n">
        <v>44.84994491</v>
      </c>
      <c r="H3167" s="18" t="n">
        <v>128</v>
      </c>
      <c r="I3167" s="18" t="n">
        <v>768</v>
      </c>
      <c r="J3167" s="19" t="n">
        <v>83</v>
      </c>
      <c r="K3167" s="19" t="n">
        <v>5</v>
      </c>
      <c r="L3167" s="19" t="n">
        <v>15</v>
      </c>
      <c r="M3167" s="19"/>
      <c r="N3167" s="19"/>
      <c r="O3167" s="19" t="n">
        <v>4</v>
      </c>
      <c r="P3167" s="19"/>
      <c r="Q3167" s="19"/>
      <c r="R3167" s="19"/>
      <c r="S3167" s="19"/>
      <c r="T3167" s="19"/>
      <c r="U3167" s="19"/>
      <c r="V3167" s="19" t="n">
        <v>15</v>
      </c>
      <c r="W3167" s="19"/>
      <c r="X3167" s="19" t="n">
        <v>6</v>
      </c>
      <c r="Y3167" s="19"/>
      <c r="Z3167" s="19"/>
      <c r="AA3167" s="19"/>
      <c r="AB3167" s="19"/>
      <c r="AC3167" s="19"/>
      <c r="AD3167" s="19"/>
      <c r="AE3167" s="19"/>
      <c r="AF3167" s="19"/>
      <c r="AG3167" s="19"/>
      <c r="AH3167" s="19" t="n">
        <v>128</v>
      </c>
      <c r="AI3167" s="19"/>
      <c r="AJ3167" s="19"/>
      <c r="AK3167" s="19"/>
      <c r="AL3167" s="19" t="n">
        <v>53</v>
      </c>
      <c r="AM3167" s="19" t="n">
        <v>51</v>
      </c>
      <c r="AN3167" s="19" t="n">
        <v>9</v>
      </c>
      <c r="AO3167" s="19" t="n">
        <v>13</v>
      </c>
      <c r="AP3167" s="19" t="n">
        <v>2</v>
      </c>
      <c r="AQ3167" s="19"/>
      <c r="AR3167" s="19"/>
      <c r="AS3167" s="20" t="str">
        <f aca="false">HYPERLINK("http://www.openstreetmap.org/?mlat=35.5164&amp;mlon=44.8499&amp;zoom=12#map=12/35.5164/44.8499","Maplink1")</f>
        <v>Maplink1</v>
      </c>
      <c r="AT3167" s="20" t="str">
        <f aca="false">HYPERLINK("https://www.google.iq/maps/search/+35.5164,44.8499/@35.5164,44.8499,14z?hl=en","Maplink2")</f>
        <v>Maplink2</v>
      </c>
      <c r="AU3167" s="20" t="str">
        <f aca="false">HYPERLINK("http://www.bing.com/maps/?lvl=14&amp;sty=h&amp;cp=35.5164~44.8499&amp;sp=point.35.5164_44.8499","Maplink3")</f>
        <v>Maplink3</v>
      </c>
    </row>
    <row r="3168" customFormat="false" ht="15" hidden="false" customHeight="true" outlineLevel="0" collapsed="false">
      <c r="A3168" s="15" t="n">
        <v>24888</v>
      </c>
      <c r="B3168" s="16" t="s">
        <v>30</v>
      </c>
      <c r="C3168" s="16" t="s">
        <v>6031</v>
      </c>
      <c r="D3168" s="16" t="s">
        <v>6056</v>
      </c>
      <c r="E3168" s="17" t="s">
        <v>6057</v>
      </c>
      <c r="F3168" s="16" t="n">
        <v>35.54135913</v>
      </c>
      <c r="G3168" s="16" t="n">
        <v>44.83563563</v>
      </c>
      <c r="H3168" s="18" t="n">
        <v>48</v>
      </c>
      <c r="I3168" s="18" t="n">
        <v>288</v>
      </c>
      <c r="J3168" s="19" t="n">
        <v>30</v>
      </c>
      <c r="K3168" s="19" t="n">
        <v>7</v>
      </c>
      <c r="L3168" s="19" t="n">
        <v>2</v>
      </c>
      <c r="M3168" s="19"/>
      <c r="N3168" s="19"/>
      <c r="O3168" s="19"/>
      <c r="P3168" s="19"/>
      <c r="Q3168" s="19"/>
      <c r="R3168" s="19"/>
      <c r="S3168" s="19"/>
      <c r="T3168" s="19"/>
      <c r="U3168" s="19"/>
      <c r="V3168" s="19"/>
      <c r="W3168" s="19"/>
      <c r="X3168" s="19" t="n">
        <v>9</v>
      </c>
      <c r="Y3168" s="19"/>
      <c r="Z3168" s="19"/>
      <c r="AA3168" s="19"/>
      <c r="AB3168" s="19"/>
      <c r="AC3168" s="19"/>
      <c r="AD3168" s="19"/>
      <c r="AE3168" s="19"/>
      <c r="AF3168" s="19"/>
      <c r="AG3168" s="19"/>
      <c r="AH3168" s="19" t="n">
        <v>48</v>
      </c>
      <c r="AI3168" s="19"/>
      <c r="AJ3168" s="19"/>
      <c r="AK3168" s="19"/>
      <c r="AL3168" s="19" t="n">
        <v>11</v>
      </c>
      <c r="AM3168" s="19" t="n">
        <v>15</v>
      </c>
      <c r="AN3168" s="19"/>
      <c r="AO3168" s="19" t="n">
        <v>12</v>
      </c>
      <c r="AP3168" s="19" t="n">
        <v>10</v>
      </c>
      <c r="AQ3168" s="19"/>
      <c r="AR3168" s="19"/>
      <c r="AS3168" s="20" t="str">
        <f aca="false">HYPERLINK("http://www.openstreetmap.org/?mlat=35.5414&amp;mlon=44.8356&amp;zoom=12#map=12/35.5414/44.8356","Maplink1")</f>
        <v>Maplink1</v>
      </c>
      <c r="AT3168" s="20" t="str">
        <f aca="false">HYPERLINK("https://www.google.iq/maps/search/+35.5414,44.8356/@35.5414,44.8356,14z?hl=en","Maplink2")</f>
        <v>Maplink2</v>
      </c>
      <c r="AU3168" s="20" t="str">
        <f aca="false">HYPERLINK("http://www.bing.com/maps/?lvl=14&amp;sty=h&amp;cp=35.5414~44.8356&amp;sp=point.35.5414_44.8356","Maplink3")</f>
        <v>Maplink3</v>
      </c>
    </row>
    <row r="3169" customFormat="false" ht="15" hidden="false" customHeight="true" outlineLevel="0" collapsed="false">
      <c r="A3169" s="15" t="n">
        <v>21717</v>
      </c>
      <c r="B3169" s="16" t="s">
        <v>30</v>
      </c>
      <c r="C3169" s="16" t="s">
        <v>6031</v>
      </c>
      <c r="D3169" s="16" t="s">
        <v>6058</v>
      </c>
      <c r="E3169" s="17" t="s">
        <v>6059</v>
      </c>
      <c r="F3169" s="16" t="n">
        <v>35.50374885</v>
      </c>
      <c r="G3169" s="16" t="n">
        <v>44.85225269</v>
      </c>
      <c r="H3169" s="18" t="n">
        <v>123</v>
      </c>
      <c r="I3169" s="18" t="n">
        <v>738</v>
      </c>
      <c r="J3169" s="19" t="n">
        <v>93</v>
      </c>
      <c r="K3169" s="19"/>
      <c r="L3169" s="19" t="n">
        <v>14</v>
      </c>
      <c r="M3169" s="19"/>
      <c r="N3169" s="19"/>
      <c r="O3169" s="19" t="n">
        <v>2</v>
      </c>
      <c r="P3169" s="19"/>
      <c r="Q3169" s="19"/>
      <c r="R3169" s="19"/>
      <c r="S3169" s="19"/>
      <c r="T3169" s="19"/>
      <c r="U3169" s="19"/>
      <c r="V3169" s="19" t="n">
        <v>7</v>
      </c>
      <c r="W3169" s="19"/>
      <c r="X3169" s="19" t="n">
        <v>7</v>
      </c>
      <c r="Y3169" s="19"/>
      <c r="Z3169" s="19"/>
      <c r="AA3169" s="19"/>
      <c r="AB3169" s="19"/>
      <c r="AC3169" s="19"/>
      <c r="AD3169" s="19"/>
      <c r="AE3169" s="19"/>
      <c r="AF3169" s="19"/>
      <c r="AG3169" s="19"/>
      <c r="AH3169" s="19" t="n">
        <v>123</v>
      </c>
      <c r="AI3169" s="19"/>
      <c r="AJ3169" s="19"/>
      <c r="AK3169" s="19"/>
      <c r="AL3169" s="19" t="n">
        <v>51</v>
      </c>
      <c r="AM3169" s="19" t="n">
        <v>65</v>
      </c>
      <c r="AN3169" s="19" t="n">
        <v>4</v>
      </c>
      <c r="AO3169" s="19" t="n">
        <v>3</v>
      </c>
      <c r="AP3169" s="19"/>
      <c r="AQ3169" s="19"/>
      <c r="AR3169" s="19"/>
      <c r="AS3169" s="20" t="str">
        <f aca="false">HYPERLINK("http://www.openstreetmap.org/?mlat=35.5037&amp;mlon=44.8523&amp;zoom=12#map=12/35.5037/44.8523","Maplink1")</f>
        <v>Maplink1</v>
      </c>
      <c r="AT3169" s="20" t="str">
        <f aca="false">HYPERLINK("https://www.google.iq/maps/search/+35.5037,44.8523/@35.5037,44.8523,14z?hl=en","Maplink2")</f>
        <v>Maplink2</v>
      </c>
      <c r="AU3169" s="20" t="str">
        <f aca="false">HYPERLINK("http://www.bing.com/maps/?lvl=14&amp;sty=h&amp;cp=35.5037~44.8523&amp;sp=point.35.5037_44.8523","Maplink3")</f>
        <v>Maplink3</v>
      </c>
    </row>
    <row r="3170" customFormat="false" ht="15" hidden="false" customHeight="true" outlineLevel="0" collapsed="false">
      <c r="A3170" s="15" t="n">
        <v>24250</v>
      </c>
      <c r="B3170" s="16" t="s">
        <v>30</v>
      </c>
      <c r="C3170" s="16" t="s">
        <v>6031</v>
      </c>
      <c r="D3170" s="16" t="s">
        <v>6060</v>
      </c>
      <c r="E3170" s="17" t="s">
        <v>6061</v>
      </c>
      <c r="F3170" s="16" t="n">
        <v>35.50299541</v>
      </c>
      <c r="G3170" s="16" t="n">
        <v>44.84129475</v>
      </c>
      <c r="H3170" s="18" t="n">
        <v>63</v>
      </c>
      <c r="I3170" s="18" t="n">
        <v>378</v>
      </c>
      <c r="J3170" s="19" t="n">
        <v>47</v>
      </c>
      <c r="K3170" s="19" t="n">
        <v>2</v>
      </c>
      <c r="L3170" s="19" t="n">
        <v>12</v>
      </c>
      <c r="M3170" s="19"/>
      <c r="N3170" s="19"/>
      <c r="O3170" s="19"/>
      <c r="P3170" s="19"/>
      <c r="Q3170" s="19"/>
      <c r="R3170" s="19"/>
      <c r="S3170" s="19"/>
      <c r="T3170" s="19"/>
      <c r="U3170" s="19"/>
      <c r="V3170" s="19"/>
      <c r="W3170" s="19"/>
      <c r="X3170" s="19" t="n">
        <v>2</v>
      </c>
      <c r="Y3170" s="19"/>
      <c r="Z3170" s="19"/>
      <c r="AA3170" s="19"/>
      <c r="AB3170" s="19"/>
      <c r="AC3170" s="19"/>
      <c r="AD3170" s="19"/>
      <c r="AE3170" s="19"/>
      <c r="AF3170" s="19"/>
      <c r="AG3170" s="19"/>
      <c r="AH3170" s="19" t="n">
        <v>63</v>
      </c>
      <c r="AI3170" s="19"/>
      <c r="AJ3170" s="19"/>
      <c r="AK3170" s="19"/>
      <c r="AL3170" s="19" t="n">
        <v>28</v>
      </c>
      <c r="AM3170" s="19" t="n">
        <v>10</v>
      </c>
      <c r="AN3170" s="19" t="n">
        <v>11</v>
      </c>
      <c r="AO3170" s="19" t="n">
        <v>6</v>
      </c>
      <c r="AP3170" s="19" t="n">
        <v>8</v>
      </c>
      <c r="AQ3170" s="19"/>
      <c r="AR3170" s="19"/>
      <c r="AS3170" s="20" t="str">
        <f aca="false">HYPERLINK("http://www.openstreetmap.org/?mlat=35.503&amp;mlon=44.8413&amp;zoom=12#map=12/35.503/44.8413","Maplink1")</f>
        <v>Maplink1</v>
      </c>
      <c r="AT3170" s="20" t="str">
        <f aca="false">HYPERLINK("https://www.google.iq/maps/search/+35.503,44.8413/@35.503,44.8413,14z?hl=en","Maplink2")</f>
        <v>Maplink2</v>
      </c>
      <c r="AU3170" s="20" t="str">
        <f aca="false">HYPERLINK("http://www.bing.com/maps/?lvl=14&amp;sty=h&amp;cp=35.503~44.8413&amp;sp=point.35.503_44.8413","Maplink3")</f>
        <v>Maplink3</v>
      </c>
    </row>
    <row r="3171" customFormat="false" ht="15" hidden="false" customHeight="true" outlineLevel="0" collapsed="false">
      <c r="A3171" s="15" t="n">
        <v>5182</v>
      </c>
      <c r="B3171" s="16" t="s">
        <v>30</v>
      </c>
      <c r="C3171" s="16" t="s">
        <v>6031</v>
      </c>
      <c r="D3171" s="16" t="s">
        <v>6062</v>
      </c>
      <c r="E3171" s="17" t="s">
        <v>6063</v>
      </c>
      <c r="F3171" s="16" t="n">
        <v>35.2852973</v>
      </c>
      <c r="G3171" s="16" t="n">
        <v>45.18035309</v>
      </c>
      <c r="H3171" s="18" t="n">
        <v>64</v>
      </c>
      <c r="I3171" s="18" t="n">
        <v>384</v>
      </c>
      <c r="J3171" s="19" t="n">
        <v>8</v>
      </c>
      <c r="K3171" s="19" t="n">
        <v>3</v>
      </c>
      <c r="L3171" s="19" t="n">
        <v>7</v>
      </c>
      <c r="M3171" s="19"/>
      <c r="N3171" s="19"/>
      <c r="O3171" s="19" t="n">
        <v>16</v>
      </c>
      <c r="P3171" s="19"/>
      <c r="Q3171" s="19"/>
      <c r="R3171" s="19"/>
      <c r="S3171" s="19"/>
      <c r="T3171" s="19"/>
      <c r="U3171" s="19"/>
      <c r="V3171" s="19" t="n">
        <v>19</v>
      </c>
      <c r="W3171" s="19"/>
      <c r="X3171" s="19" t="n">
        <v>11</v>
      </c>
      <c r="Y3171" s="19"/>
      <c r="Z3171" s="19"/>
      <c r="AA3171" s="19"/>
      <c r="AB3171" s="19"/>
      <c r="AC3171" s="19"/>
      <c r="AD3171" s="19"/>
      <c r="AE3171" s="19"/>
      <c r="AF3171" s="19"/>
      <c r="AG3171" s="19"/>
      <c r="AH3171" s="19" t="n">
        <v>64</v>
      </c>
      <c r="AI3171" s="19"/>
      <c r="AJ3171" s="19"/>
      <c r="AK3171" s="19"/>
      <c r="AL3171" s="19" t="n">
        <v>11</v>
      </c>
      <c r="AM3171" s="19" t="n">
        <v>18</v>
      </c>
      <c r="AN3171" s="19" t="n">
        <v>13</v>
      </c>
      <c r="AO3171" s="19" t="n">
        <v>8</v>
      </c>
      <c r="AP3171" s="19"/>
      <c r="AQ3171" s="19" t="n">
        <v>14</v>
      </c>
      <c r="AR3171" s="19"/>
      <c r="AS3171" s="20" t="str">
        <f aca="false">HYPERLINK("http://www.openstreetmap.org/?mlat=35.2853&amp;mlon=45.1804&amp;zoom=12#map=12/35.2853/45.1804","Maplink1")</f>
        <v>Maplink1</v>
      </c>
      <c r="AT3171" s="20" t="str">
        <f aca="false">HYPERLINK("https://www.google.iq/maps/search/+35.2853,45.1804/@35.2853,45.1804,14z?hl=en","Maplink2")</f>
        <v>Maplink2</v>
      </c>
      <c r="AU3171" s="20" t="str">
        <f aca="false">HYPERLINK("http://www.bing.com/maps/?lvl=14&amp;sty=h&amp;cp=35.2853~45.1804&amp;sp=point.35.2853_45.1804","Maplink3")</f>
        <v>Maplink3</v>
      </c>
    </row>
    <row r="3172" customFormat="false" ht="15" hidden="false" customHeight="true" outlineLevel="0" collapsed="false">
      <c r="A3172" s="15" t="n">
        <v>20813</v>
      </c>
      <c r="B3172" s="16" t="s">
        <v>30</v>
      </c>
      <c r="C3172" s="16" t="s">
        <v>6031</v>
      </c>
      <c r="D3172" s="16" t="s">
        <v>6064</v>
      </c>
      <c r="E3172" s="17" t="s">
        <v>6065</v>
      </c>
      <c r="F3172" s="16" t="n">
        <v>35.51092925</v>
      </c>
      <c r="G3172" s="16" t="n">
        <v>44.83872913</v>
      </c>
      <c r="H3172" s="18" t="n">
        <v>52</v>
      </c>
      <c r="I3172" s="18" t="n">
        <v>312</v>
      </c>
      <c r="J3172" s="19" t="n">
        <v>46</v>
      </c>
      <c r="K3172" s="19"/>
      <c r="L3172" s="19" t="n">
        <v>2</v>
      </c>
      <c r="M3172" s="19"/>
      <c r="N3172" s="19"/>
      <c r="O3172" s="19"/>
      <c r="P3172" s="19"/>
      <c r="Q3172" s="19"/>
      <c r="R3172" s="19"/>
      <c r="S3172" s="19"/>
      <c r="T3172" s="19"/>
      <c r="U3172" s="19"/>
      <c r="V3172" s="19" t="n">
        <v>2</v>
      </c>
      <c r="W3172" s="19"/>
      <c r="X3172" s="19" t="n">
        <v>2</v>
      </c>
      <c r="Y3172" s="19"/>
      <c r="Z3172" s="19"/>
      <c r="AA3172" s="19"/>
      <c r="AB3172" s="19"/>
      <c r="AC3172" s="19"/>
      <c r="AD3172" s="19"/>
      <c r="AE3172" s="19"/>
      <c r="AF3172" s="19"/>
      <c r="AG3172" s="19"/>
      <c r="AH3172" s="19" t="n">
        <v>52</v>
      </c>
      <c r="AI3172" s="19"/>
      <c r="AJ3172" s="19"/>
      <c r="AK3172" s="19"/>
      <c r="AL3172" s="19" t="n">
        <v>25</v>
      </c>
      <c r="AM3172" s="19" t="n">
        <v>10</v>
      </c>
      <c r="AN3172" s="19" t="n">
        <v>13</v>
      </c>
      <c r="AO3172" s="19"/>
      <c r="AP3172" s="19" t="n">
        <v>2</v>
      </c>
      <c r="AQ3172" s="19" t="n">
        <v>2</v>
      </c>
      <c r="AR3172" s="19"/>
      <c r="AS3172" s="20" t="str">
        <f aca="false">HYPERLINK("http://www.openstreetmap.org/?mlat=35.5109&amp;mlon=44.8387&amp;zoom=12#map=12/35.5109/44.8387","Maplink1")</f>
        <v>Maplink1</v>
      </c>
      <c r="AT3172" s="20" t="str">
        <f aca="false">HYPERLINK("https://www.google.iq/maps/search/+35.5109,44.8387/@35.5109,44.8387,14z?hl=en","Maplink2")</f>
        <v>Maplink2</v>
      </c>
      <c r="AU3172" s="20" t="str">
        <f aca="false">HYPERLINK("http://www.bing.com/maps/?lvl=14&amp;sty=h&amp;cp=35.5109~44.8387&amp;sp=point.35.5109_44.8387","Maplink3")</f>
        <v>Maplink3</v>
      </c>
    </row>
    <row r="3173" customFormat="false" ht="15" hidden="false" customHeight="true" outlineLevel="0" collapsed="false">
      <c r="A3173" s="15" t="n">
        <v>25573</v>
      </c>
      <c r="B3173" s="16" t="s">
        <v>30</v>
      </c>
      <c r="C3173" s="16" t="s">
        <v>6031</v>
      </c>
      <c r="D3173" s="16" t="s">
        <v>6066</v>
      </c>
      <c r="E3173" s="17" t="s">
        <v>6067</v>
      </c>
      <c r="F3173" s="16" t="n">
        <v>35.51495713</v>
      </c>
      <c r="G3173" s="16" t="n">
        <v>44.84008613</v>
      </c>
      <c r="H3173" s="18" t="n">
        <v>29</v>
      </c>
      <c r="I3173" s="18" t="n">
        <v>174</v>
      </c>
      <c r="J3173" s="19" t="n">
        <v>26</v>
      </c>
      <c r="K3173" s="19"/>
      <c r="L3173" s="19"/>
      <c r="M3173" s="19"/>
      <c r="N3173" s="19"/>
      <c r="O3173" s="19"/>
      <c r="P3173" s="19"/>
      <c r="Q3173" s="19"/>
      <c r="R3173" s="19"/>
      <c r="S3173" s="19"/>
      <c r="T3173" s="19"/>
      <c r="U3173" s="19"/>
      <c r="V3173" s="19"/>
      <c r="W3173" s="19"/>
      <c r="X3173" s="19" t="n">
        <v>3</v>
      </c>
      <c r="Y3173" s="19"/>
      <c r="Z3173" s="19"/>
      <c r="AA3173" s="19"/>
      <c r="AB3173" s="19"/>
      <c r="AC3173" s="19"/>
      <c r="AD3173" s="19"/>
      <c r="AE3173" s="19"/>
      <c r="AF3173" s="19"/>
      <c r="AG3173" s="19"/>
      <c r="AH3173" s="19" t="n">
        <v>29</v>
      </c>
      <c r="AI3173" s="19"/>
      <c r="AJ3173" s="19"/>
      <c r="AK3173" s="19"/>
      <c r="AL3173" s="19" t="n">
        <v>15</v>
      </c>
      <c r="AM3173" s="19" t="n">
        <v>6</v>
      </c>
      <c r="AN3173" s="19"/>
      <c r="AO3173" s="19" t="n">
        <v>4</v>
      </c>
      <c r="AP3173" s="19" t="n">
        <v>2</v>
      </c>
      <c r="AQ3173" s="19" t="n">
        <v>2</v>
      </c>
      <c r="AR3173" s="19"/>
      <c r="AS3173" s="20" t="str">
        <f aca="false">HYPERLINK("http://www.openstreetmap.org/?mlat=35.515&amp;mlon=44.8401&amp;zoom=12#map=12/35.515/44.8401","Maplink1")</f>
        <v>Maplink1</v>
      </c>
      <c r="AT3173" s="20" t="str">
        <f aca="false">HYPERLINK("https://www.google.iq/maps/search/+35.515,44.8401/@35.515,44.8401,14z?hl=en","Maplink2")</f>
        <v>Maplink2</v>
      </c>
      <c r="AU3173" s="20" t="str">
        <f aca="false">HYPERLINK("http://www.bing.com/maps/?lvl=14&amp;sty=h&amp;cp=35.515~44.8401&amp;sp=point.35.515_44.8401","Maplink3")</f>
        <v>Maplink3</v>
      </c>
    </row>
    <row r="3174" customFormat="false" ht="15" hidden="false" customHeight="true" outlineLevel="0" collapsed="false">
      <c r="A3174" s="15" t="n">
        <v>24811</v>
      </c>
      <c r="B3174" s="16" t="s">
        <v>30</v>
      </c>
      <c r="C3174" s="16" t="s">
        <v>6031</v>
      </c>
      <c r="D3174" s="16" t="s">
        <v>6068</v>
      </c>
      <c r="E3174" s="17" t="s">
        <v>6069</v>
      </c>
      <c r="F3174" s="16" t="n">
        <v>35.62101268</v>
      </c>
      <c r="G3174" s="16" t="n">
        <v>44.96568881</v>
      </c>
      <c r="H3174" s="18" t="n">
        <v>28</v>
      </c>
      <c r="I3174" s="18" t="n">
        <v>168</v>
      </c>
      <c r="J3174" s="19" t="n">
        <v>9</v>
      </c>
      <c r="K3174" s="19"/>
      <c r="L3174" s="19"/>
      <c r="M3174" s="19"/>
      <c r="N3174" s="19"/>
      <c r="O3174" s="19" t="n">
        <v>2</v>
      </c>
      <c r="P3174" s="19"/>
      <c r="Q3174" s="19"/>
      <c r="R3174" s="19"/>
      <c r="S3174" s="19"/>
      <c r="T3174" s="19"/>
      <c r="U3174" s="19"/>
      <c r="V3174" s="19" t="n">
        <v>12</v>
      </c>
      <c r="W3174" s="19"/>
      <c r="X3174" s="19" t="n">
        <v>5</v>
      </c>
      <c r="Y3174" s="19"/>
      <c r="Z3174" s="19"/>
      <c r="AA3174" s="19"/>
      <c r="AB3174" s="19"/>
      <c r="AC3174" s="19"/>
      <c r="AD3174" s="19"/>
      <c r="AE3174" s="19"/>
      <c r="AF3174" s="19"/>
      <c r="AG3174" s="19"/>
      <c r="AH3174" s="19" t="n">
        <v>28</v>
      </c>
      <c r="AI3174" s="19"/>
      <c r="AJ3174" s="19"/>
      <c r="AK3174" s="19"/>
      <c r="AL3174" s="19" t="n">
        <v>2</v>
      </c>
      <c r="AM3174" s="19" t="n">
        <v>7</v>
      </c>
      <c r="AN3174" s="19" t="n">
        <v>19</v>
      </c>
      <c r="AO3174" s="19"/>
      <c r="AP3174" s="19"/>
      <c r="AQ3174" s="19"/>
      <c r="AR3174" s="19"/>
      <c r="AS3174" s="20" t="str">
        <f aca="false">HYPERLINK("http://www.openstreetmap.org/?mlat=35.621&amp;mlon=44.9657&amp;zoom=12#map=12/35.621/44.9657","Maplink1")</f>
        <v>Maplink1</v>
      </c>
      <c r="AT3174" s="20" t="str">
        <f aca="false">HYPERLINK("https://www.google.iq/maps/search/+35.621,44.9657/@35.621,44.9657,14z?hl=en","Maplink2")</f>
        <v>Maplink2</v>
      </c>
      <c r="AU3174" s="20" t="str">
        <f aca="false">HYPERLINK("http://www.bing.com/maps/?lvl=14&amp;sty=h&amp;cp=35.621~44.9657&amp;sp=point.35.621_44.9657","Maplink3")</f>
        <v>Maplink3</v>
      </c>
    </row>
    <row r="3175" customFormat="false" ht="15" hidden="false" customHeight="true" outlineLevel="0" collapsed="false">
      <c r="A3175" s="15" t="n">
        <v>24813</v>
      </c>
      <c r="B3175" s="16" t="s">
        <v>30</v>
      </c>
      <c r="C3175" s="16" t="s">
        <v>6031</v>
      </c>
      <c r="D3175" s="16" t="s">
        <v>6070</v>
      </c>
      <c r="E3175" s="17" t="s">
        <v>6071</v>
      </c>
      <c r="F3175" s="16" t="n">
        <v>35.62542829</v>
      </c>
      <c r="G3175" s="16" t="n">
        <v>44.95424315</v>
      </c>
      <c r="H3175" s="18" t="n">
        <v>15</v>
      </c>
      <c r="I3175" s="18" t="n">
        <v>90</v>
      </c>
      <c r="J3175" s="19" t="n">
        <v>2</v>
      </c>
      <c r="K3175" s="19"/>
      <c r="L3175" s="19" t="n">
        <v>4</v>
      </c>
      <c r="M3175" s="19"/>
      <c r="N3175" s="19"/>
      <c r="O3175" s="19" t="n">
        <v>1</v>
      </c>
      <c r="P3175" s="19"/>
      <c r="Q3175" s="19"/>
      <c r="R3175" s="19"/>
      <c r="S3175" s="19"/>
      <c r="T3175" s="19"/>
      <c r="U3175" s="19"/>
      <c r="V3175" s="19" t="n">
        <v>2</v>
      </c>
      <c r="W3175" s="19"/>
      <c r="X3175" s="19" t="n">
        <v>6</v>
      </c>
      <c r="Y3175" s="19"/>
      <c r="Z3175" s="19"/>
      <c r="AA3175" s="19"/>
      <c r="AB3175" s="19"/>
      <c r="AC3175" s="19"/>
      <c r="AD3175" s="19"/>
      <c r="AE3175" s="19"/>
      <c r="AF3175" s="19"/>
      <c r="AG3175" s="19"/>
      <c r="AH3175" s="19" t="n">
        <v>15</v>
      </c>
      <c r="AI3175" s="19"/>
      <c r="AJ3175" s="19"/>
      <c r="AK3175" s="19"/>
      <c r="AL3175" s="19"/>
      <c r="AM3175" s="19" t="n">
        <v>7</v>
      </c>
      <c r="AN3175" s="19" t="n">
        <v>8</v>
      </c>
      <c r="AO3175" s="19"/>
      <c r="AP3175" s="19"/>
      <c r="AQ3175" s="19"/>
      <c r="AR3175" s="19"/>
      <c r="AS3175" s="20" t="str">
        <f aca="false">HYPERLINK("http://www.openstreetmap.org/?mlat=35.6254&amp;mlon=44.9542&amp;zoom=12#map=12/35.6254/44.9542","Maplink1")</f>
        <v>Maplink1</v>
      </c>
      <c r="AT3175" s="20" t="str">
        <f aca="false">HYPERLINK("https://www.google.iq/maps/search/+35.6254,44.9542/@35.6254,44.9542,14z?hl=en","Maplink2")</f>
        <v>Maplink2</v>
      </c>
      <c r="AU3175" s="20" t="str">
        <f aca="false">HYPERLINK("http://www.bing.com/maps/?lvl=14&amp;sty=h&amp;cp=35.6254~44.9542&amp;sp=point.35.6254_44.9542","Maplink3")</f>
        <v>Maplink3</v>
      </c>
    </row>
    <row r="3176" customFormat="false" ht="15" hidden="false" customHeight="true" outlineLevel="0" collapsed="false">
      <c r="A3176" s="15" t="n">
        <v>24810</v>
      </c>
      <c r="B3176" s="16" t="s">
        <v>30</v>
      </c>
      <c r="C3176" s="16" t="s">
        <v>6031</v>
      </c>
      <c r="D3176" s="16" t="s">
        <v>6072</v>
      </c>
      <c r="E3176" s="17" t="s">
        <v>6073</v>
      </c>
      <c r="F3176" s="16" t="n">
        <v>35.62324862</v>
      </c>
      <c r="G3176" s="16" t="n">
        <v>44.96190512</v>
      </c>
      <c r="H3176" s="18" t="n">
        <v>45</v>
      </c>
      <c r="I3176" s="18" t="n">
        <v>270</v>
      </c>
      <c r="J3176" s="19" t="n">
        <v>13</v>
      </c>
      <c r="K3176" s="19"/>
      <c r="L3176" s="19"/>
      <c r="M3176" s="19"/>
      <c r="N3176" s="19"/>
      <c r="O3176" s="19"/>
      <c r="P3176" s="19"/>
      <c r="Q3176" s="19"/>
      <c r="R3176" s="19"/>
      <c r="S3176" s="19"/>
      <c r="T3176" s="19"/>
      <c r="U3176" s="19"/>
      <c r="V3176" s="19" t="n">
        <v>16</v>
      </c>
      <c r="W3176" s="19"/>
      <c r="X3176" s="19" t="n">
        <v>16</v>
      </c>
      <c r="Y3176" s="19"/>
      <c r="Z3176" s="19"/>
      <c r="AA3176" s="19"/>
      <c r="AB3176" s="19"/>
      <c r="AC3176" s="19"/>
      <c r="AD3176" s="19"/>
      <c r="AE3176" s="19"/>
      <c r="AF3176" s="19"/>
      <c r="AG3176" s="19"/>
      <c r="AH3176" s="19" t="n">
        <v>45</v>
      </c>
      <c r="AI3176" s="19"/>
      <c r="AJ3176" s="19"/>
      <c r="AK3176" s="19"/>
      <c r="AL3176" s="19" t="n">
        <v>2</v>
      </c>
      <c r="AM3176" s="19" t="n">
        <v>7</v>
      </c>
      <c r="AN3176" s="19" t="n">
        <v>24</v>
      </c>
      <c r="AO3176" s="19" t="n">
        <v>12</v>
      </c>
      <c r="AP3176" s="19"/>
      <c r="AQ3176" s="19"/>
      <c r="AR3176" s="19"/>
      <c r="AS3176" s="20" t="str">
        <f aca="false">HYPERLINK("http://www.openstreetmap.org/?mlat=35.6232&amp;mlon=44.9619&amp;zoom=12#map=12/35.6232/44.9619","Maplink1")</f>
        <v>Maplink1</v>
      </c>
      <c r="AT3176" s="20" t="str">
        <f aca="false">HYPERLINK("https://www.google.iq/maps/search/+35.6232,44.9619/@35.6232,44.9619,14z?hl=en","Maplink2")</f>
        <v>Maplink2</v>
      </c>
      <c r="AU3176" s="20" t="str">
        <f aca="false">HYPERLINK("http://www.bing.com/maps/?lvl=14&amp;sty=h&amp;cp=35.6232~44.9619&amp;sp=point.35.6232_44.9619","Maplink3")</f>
        <v>Maplink3</v>
      </c>
    </row>
    <row r="3177" customFormat="false" ht="15" hidden="false" customHeight="true" outlineLevel="0" collapsed="false">
      <c r="A3177" s="15" t="n">
        <v>24812</v>
      </c>
      <c r="B3177" s="16" t="s">
        <v>30</v>
      </c>
      <c r="C3177" s="16" t="s">
        <v>6031</v>
      </c>
      <c r="D3177" s="16" t="s">
        <v>6074</v>
      </c>
      <c r="E3177" s="17" t="s">
        <v>6075</v>
      </c>
      <c r="F3177" s="16" t="n">
        <v>35.62618886</v>
      </c>
      <c r="G3177" s="16" t="n">
        <v>44.95747337</v>
      </c>
      <c r="H3177" s="18" t="n">
        <v>11</v>
      </c>
      <c r="I3177" s="18" t="n">
        <v>66</v>
      </c>
      <c r="J3177" s="19" t="n">
        <v>5</v>
      </c>
      <c r="K3177" s="19"/>
      <c r="L3177" s="19" t="n">
        <v>1</v>
      </c>
      <c r="M3177" s="19"/>
      <c r="N3177" s="19"/>
      <c r="O3177" s="19"/>
      <c r="P3177" s="19"/>
      <c r="Q3177" s="19"/>
      <c r="R3177" s="19"/>
      <c r="S3177" s="19"/>
      <c r="T3177" s="19"/>
      <c r="U3177" s="19"/>
      <c r="V3177" s="19" t="n">
        <v>2</v>
      </c>
      <c r="W3177" s="19"/>
      <c r="X3177" s="19" t="n">
        <v>3</v>
      </c>
      <c r="Y3177" s="19"/>
      <c r="Z3177" s="19"/>
      <c r="AA3177" s="19"/>
      <c r="AB3177" s="19"/>
      <c r="AC3177" s="19"/>
      <c r="AD3177" s="19"/>
      <c r="AE3177" s="19"/>
      <c r="AF3177" s="19"/>
      <c r="AG3177" s="19"/>
      <c r="AH3177" s="19" t="n">
        <v>11</v>
      </c>
      <c r="AI3177" s="19"/>
      <c r="AJ3177" s="19"/>
      <c r="AK3177" s="19"/>
      <c r="AL3177" s="19"/>
      <c r="AM3177" s="19" t="n">
        <v>3</v>
      </c>
      <c r="AN3177" s="19" t="n">
        <v>2</v>
      </c>
      <c r="AO3177" s="19" t="n">
        <v>6</v>
      </c>
      <c r="AP3177" s="19"/>
      <c r="AQ3177" s="19"/>
      <c r="AR3177" s="19"/>
      <c r="AS3177" s="20" t="str">
        <f aca="false">HYPERLINK("http://www.openstreetmap.org/?mlat=35.6262&amp;mlon=44.9575&amp;zoom=12#map=12/35.6262/44.9575","Maplink1")</f>
        <v>Maplink1</v>
      </c>
      <c r="AT3177" s="20" t="str">
        <f aca="false">HYPERLINK("https://www.google.iq/maps/search/+35.6262,44.9575/@35.6262,44.9575,14z?hl=en","Maplink2")</f>
        <v>Maplink2</v>
      </c>
      <c r="AU3177" s="20" t="str">
        <f aca="false">HYPERLINK("http://www.bing.com/maps/?lvl=14&amp;sty=h&amp;cp=35.6262~44.9575&amp;sp=point.35.6262_44.9575","Maplink3")</f>
        <v>Maplink3</v>
      </c>
    </row>
    <row r="3178" customFormat="false" ht="15" hidden="false" customHeight="true" outlineLevel="0" collapsed="false">
      <c r="A3178" s="15" t="n">
        <v>24253</v>
      </c>
      <c r="B3178" s="16" t="s">
        <v>30</v>
      </c>
      <c r="C3178" s="16" t="s">
        <v>6076</v>
      </c>
      <c r="D3178" s="16" t="s">
        <v>6077</v>
      </c>
      <c r="E3178" s="17" t="s">
        <v>6078</v>
      </c>
      <c r="F3178" s="16" t="n">
        <v>35.09972712</v>
      </c>
      <c r="G3178" s="16" t="n">
        <v>45.69595353</v>
      </c>
      <c r="H3178" s="18" t="n">
        <v>52</v>
      </c>
      <c r="I3178" s="18" t="n">
        <v>312</v>
      </c>
      <c r="J3178" s="19" t="n">
        <v>20</v>
      </c>
      <c r="K3178" s="19"/>
      <c r="L3178" s="19" t="n">
        <v>2</v>
      </c>
      <c r="M3178" s="19"/>
      <c r="N3178" s="19"/>
      <c r="O3178" s="19" t="n">
        <v>27</v>
      </c>
      <c r="P3178" s="19"/>
      <c r="Q3178" s="19"/>
      <c r="R3178" s="19"/>
      <c r="S3178" s="19"/>
      <c r="T3178" s="19"/>
      <c r="U3178" s="19"/>
      <c r="V3178" s="19"/>
      <c r="W3178" s="19"/>
      <c r="X3178" s="19" t="n">
        <v>3</v>
      </c>
      <c r="Y3178" s="19"/>
      <c r="Z3178" s="19"/>
      <c r="AA3178" s="19"/>
      <c r="AB3178" s="19"/>
      <c r="AC3178" s="19"/>
      <c r="AD3178" s="19"/>
      <c r="AE3178" s="19"/>
      <c r="AF3178" s="19"/>
      <c r="AG3178" s="19"/>
      <c r="AH3178" s="19" t="n">
        <v>52</v>
      </c>
      <c r="AI3178" s="19"/>
      <c r="AJ3178" s="19"/>
      <c r="AK3178" s="19"/>
      <c r="AL3178" s="19"/>
      <c r="AM3178" s="19" t="n">
        <v>25</v>
      </c>
      <c r="AN3178" s="19" t="n">
        <v>3</v>
      </c>
      <c r="AO3178" s="19" t="n">
        <v>15</v>
      </c>
      <c r="AP3178" s="19" t="n">
        <v>8</v>
      </c>
      <c r="AQ3178" s="19" t="n">
        <v>1</v>
      </c>
      <c r="AR3178" s="19"/>
      <c r="AS3178" s="20" t="str">
        <f aca="false">HYPERLINK("http://www.openstreetmap.org/?mlat=35.0997&amp;mlon=45.696&amp;zoom=12#map=12/35.0997/45.696","Maplink1")</f>
        <v>Maplink1</v>
      </c>
      <c r="AT3178" s="20" t="str">
        <f aca="false">HYPERLINK("https://www.google.iq/maps/search/+35.0997,45.696/@35.0997,45.696,14z?hl=en","Maplink2")</f>
        <v>Maplink2</v>
      </c>
      <c r="AU3178" s="20" t="str">
        <f aca="false">HYPERLINK("http://www.bing.com/maps/?lvl=14&amp;sty=h&amp;cp=35.0997~45.696&amp;sp=point.35.0997_45.696","Maplink3")</f>
        <v>Maplink3</v>
      </c>
    </row>
    <row r="3179" customFormat="false" ht="15" hidden="false" customHeight="true" outlineLevel="0" collapsed="false">
      <c r="A3179" s="15" t="n">
        <v>6301</v>
      </c>
      <c r="B3179" s="16" t="s">
        <v>30</v>
      </c>
      <c r="C3179" s="16" t="s">
        <v>6076</v>
      </c>
      <c r="D3179" s="16" t="s">
        <v>6079</v>
      </c>
      <c r="E3179" s="17" t="s">
        <v>6080</v>
      </c>
      <c r="F3179" s="16" t="n">
        <v>35.12266483</v>
      </c>
      <c r="G3179" s="16" t="n">
        <v>45.68292158</v>
      </c>
      <c r="H3179" s="18" t="n">
        <v>82</v>
      </c>
      <c r="I3179" s="18" t="n">
        <v>492</v>
      </c>
      <c r="J3179" s="19" t="n">
        <v>52</v>
      </c>
      <c r="K3179" s="19"/>
      <c r="L3179" s="19"/>
      <c r="M3179" s="19"/>
      <c r="N3179" s="19"/>
      <c r="O3179" s="19" t="n">
        <v>18</v>
      </c>
      <c r="P3179" s="19"/>
      <c r="Q3179" s="19"/>
      <c r="R3179" s="19"/>
      <c r="S3179" s="19"/>
      <c r="T3179" s="19"/>
      <c r="U3179" s="19"/>
      <c r="V3179" s="19" t="n">
        <v>2</v>
      </c>
      <c r="W3179" s="19"/>
      <c r="X3179" s="19" t="n">
        <v>10</v>
      </c>
      <c r="Y3179" s="19"/>
      <c r="Z3179" s="19"/>
      <c r="AA3179" s="19"/>
      <c r="AB3179" s="19"/>
      <c r="AC3179" s="19"/>
      <c r="AD3179" s="19"/>
      <c r="AE3179" s="19"/>
      <c r="AF3179" s="19"/>
      <c r="AG3179" s="19"/>
      <c r="AH3179" s="19" t="n">
        <v>82</v>
      </c>
      <c r="AI3179" s="19"/>
      <c r="AJ3179" s="19"/>
      <c r="AK3179" s="19"/>
      <c r="AL3179" s="19" t="n">
        <v>10</v>
      </c>
      <c r="AM3179" s="19" t="n">
        <v>17</v>
      </c>
      <c r="AN3179" s="19" t="n">
        <v>18</v>
      </c>
      <c r="AO3179" s="19" t="n">
        <v>12</v>
      </c>
      <c r="AP3179" s="19" t="n">
        <v>15</v>
      </c>
      <c r="AQ3179" s="19" t="n">
        <v>10</v>
      </c>
      <c r="AR3179" s="19"/>
      <c r="AS3179" s="20" t="str">
        <f aca="false">HYPERLINK("http://www.openstreetmap.org/?mlat=35.1227&amp;mlon=45.6829&amp;zoom=12#map=12/35.1227/45.6829","Maplink1")</f>
        <v>Maplink1</v>
      </c>
      <c r="AT3179" s="20" t="str">
        <f aca="false">HYPERLINK("https://www.google.iq/maps/search/+35.1227,45.6829/@35.1227,45.6829,14z?hl=en","Maplink2")</f>
        <v>Maplink2</v>
      </c>
      <c r="AU3179" s="20" t="str">
        <f aca="false">HYPERLINK("http://www.bing.com/maps/?lvl=14&amp;sty=h&amp;cp=35.1227~45.6829&amp;sp=point.35.1227_45.6829","Maplink3")</f>
        <v>Maplink3</v>
      </c>
    </row>
    <row r="3180" customFormat="false" ht="15" hidden="false" customHeight="true" outlineLevel="0" collapsed="false">
      <c r="A3180" s="15" t="n">
        <v>24252</v>
      </c>
      <c r="B3180" s="16" t="s">
        <v>30</v>
      </c>
      <c r="C3180" s="16" t="s">
        <v>6076</v>
      </c>
      <c r="D3180" s="16" t="s">
        <v>6081</v>
      </c>
      <c r="E3180" s="17" t="s">
        <v>6082</v>
      </c>
      <c r="F3180" s="16" t="n">
        <v>35.11762321</v>
      </c>
      <c r="G3180" s="16" t="n">
        <v>45.66641478</v>
      </c>
      <c r="H3180" s="18" t="n">
        <v>109</v>
      </c>
      <c r="I3180" s="18" t="n">
        <v>654</v>
      </c>
      <c r="J3180" s="19" t="n">
        <v>39</v>
      </c>
      <c r="K3180" s="19" t="n">
        <v>4</v>
      </c>
      <c r="L3180" s="19"/>
      <c r="M3180" s="19"/>
      <c r="N3180" s="19"/>
      <c r="O3180" s="19" t="n">
        <v>38</v>
      </c>
      <c r="P3180" s="19"/>
      <c r="Q3180" s="19"/>
      <c r="R3180" s="19"/>
      <c r="S3180" s="19"/>
      <c r="T3180" s="19"/>
      <c r="U3180" s="19"/>
      <c r="V3180" s="19"/>
      <c r="W3180" s="19"/>
      <c r="X3180" s="19" t="n">
        <v>28</v>
      </c>
      <c r="Y3180" s="19"/>
      <c r="Z3180" s="19"/>
      <c r="AA3180" s="19"/>
      <c r="AB3180" s="19"/>
      <c r="AC3180" s="19"/>
      <c r="AD3180" s="19"/>
      <c r="AE3180" s="19"/>
      <c r="AF3180" s="19"/>
      <c r="AG3180" s="19"/>
      <c r="AH3180" s="19" t="n">
        <v>109</v>
      </c>
      <c r="AI3180" s="19"/>
      <c r="AJ3180" s="19"/>
      <c r="AK3180" s="19"/>
      <c r="AL3180" s="19" t="n">
        <v>6</v>
      </c>
      <c r="AM3180" s="19" t="n">
        <v>32</v>
      </c>
      <c r="AN3180" s="19" t="n">
        <v>25</v>
      </c>
      <c r="AO3180" s="19" t="n">
        <v>25</v>
      </c>
      <c r="AP3180" s="19" t="n">
        <v>16</v>
      </c>
      <c r="AQ3180" s="19" t="n">
        <v>5</v>
      </c>
      <c r="AR3180" s="19"/>
      <c r="AS3180" s="20" t="str">
        <f aca="false">HYPERLINK("http://www.openstreetmap.org/?mlat=35.1176&amp;mlon=45.6664&amp;zoom=12#map=12/35.1176/45.6664","Maplink1")</f>
        <v>Maplink1</v>
      </c>
      <c r="AT3180" s="20" t="str">
        <f aca="false">HYPERLINK("https://www.google.iq/maps/search/+35.1176,45.6664/@35.1176,45.6664,14z?hl=en","Maplink2")</f>
        <v>Maplink2</v>
      </c>
      <c r="AU3180" s="20" t="str">
        <f aca="false">HYPERLINK("http://www.bing.com/maps/?lvl=14&amp;sty=h&amp;cp=35.1176~45.6664&amp;sp=point.35.1176_45.6664","Maplink3")</f>
        <v>Maplink3</v>
      </c>
    </row>
    <row r="3181" customFormat="false" ht="15" hidden="false" customHeight="true" outlineLevel="0" collapsed="false">
      <c r="A3181" s="15" t="n">
        <v>24251</v>
      </c>
      <c r="B3181" s="16" t="s">
        <v>30</v>
      </c>
      <c r="C3181" s="16" t="s">
        <v>6076</v>
      </c>
      <c r="D3181" s="16" t="s">
        <v>6083</v>
      </c>
      <c r="E3181" s="17" t="s">
        <v>6084</v>
      </c>
      <c r="F3181" s="16" t="n">
        <v>35.11294657</v>
      </c>
      <c r="G3181" s="16" t="n">
        <v>45.68871279</v>
      </c>
      <c r="H3181" s="18" t="n">
        <v>71</v>
      </c>
      <c r="I3181" s="18" t="n">
        <v>426</v>
      </c>
      <c r="J3181" s="19" t="n">
        <v>7</v>
      </c>
      <c r="K3181" s="19"/>
      <c r="L3181" s="19" t="n">
        <v>4</v>
      </c>
      <c r="M3181" s="19"/>
      <c r="N3181" s="19"/>
      <c r="O3181" s="19" t="n">
        <v>56</v>
      </c>
      <c r="P3181" s="19"/>
      <c r="Q3181" s="19"/>
      <c r="R3181" s="19"/>
      <c r="S3181" s="19"/>
      <c r="T3181" s="19"/>
      <c r="U3181" s="19"/>
      <c r="V3181" s="19"/>
      <c r="W3181" s="19"/>
      <c r="X3181" s="19" t="n">
        <v>4</v>
      </c>
      <c r="Y3181" s="19"/>
      <c r="Z3181" s="19"/>
      <c r="AA3181" s="19"/>
      <c r="AB3181" s="19"/>
      <c r="AC3181" s="19"/>
      <c r="AD3181" s="19"/>
      <c r="AE3181" s="19"/>
      <c r="AF3181" s="19"/>
      <c r="AG3181" s="19"/>
      <c r="AH3181" s="19" t="n">
        <v>71</v>
      </c>
      <c r="AI3181" s="19"/>
      <c r="AJ3181" s="19"/>
      <c r="AK3181" s="19"/>
      <c r="AL3181" s="19" t="n">
        <v>2</v>
      </c>
      <c r="AM3181" s="19" t="n">
        <v>24</v>
      </c>
      <c r="AN3181" s="19"/>
      <c r="AO3181" s="19" t="n">
        <v>30</v>
      </c>
      <c r="AP3181" s="19" t="n">
        <v>10</v>
      </c>
      <c r="AQ3181" s="19" t="n">
        <v>5</v>
      </c>
      <c r="AR3181" s="19"/>
      <c r="AS3181" s="20" t="str">
        <f aca="false">HYPERLINK("http://www.openstreetmap.org/?mlat=35.1129&amp;mlon=45.6887&amp;zoom=12#map=12/35.1129/45.6887","Maplink1")</f>
        <v>Maplink1</v>
      </c>
      <c r="AT3181" s="20" t="str">
        <f aca="false">HYPERLINK("https://www.google.iq/maps/search/+35.1129,45.6887/@35.1129,45.6887,14z?hl=en","Maplink2")</f>
        <v>Maplink2</v>
      </c>
      <c r="AU3181" s="20" t="str">
        <f aca="false">HYPERLINK("http://www.bing.com/maps/?lvl=14&amp;sty=h&amp;cp=35.1129~45.6887&amp;sp=point.35.1129_45.6887","Maplink3")</f>
        <v>Maplink3</v>
      </c>
    </row>
    <row r="3182" customFormat="false" ht="15" hidden="false" customHeight="true" outlineLevel="0" collapsed="false">
      <c r="A3182" s="15" t="n">
        <v>29517</v>
      </c>
      <c r="B3182" s="16" t="s">
        <v>30</v>
      </c>
      <c r="C3182" s="16" t="s">
        <v>6076</v>
      </c>
      <c r="D3182" s="16" t="s">
        <v>6085</v>
      </c>
      <c r="E3182" s="17" t="s">
        <v>6086</v>
      </c>
      <c r="F3182" s="16" t="n">
        <v>35.1045806</v>
      </c>
      <c r="G3182" s="16" t="n">
        <v>45.68500243</v>
      </c>
      <c r="H3182" s="18" t="n">
        <v>44</v>
      </c>
      <c r="I3182" s="18" t="n">
        <v>264</v>
      </c>
      <c r="J3182" s="19" t="n">
        <v>16</v>
      </c>
      <c r="K3182" s="19"/>
      <c r="L3182" s="19" t="n">
        <v>8</v>
      </c>
      <c r="M3182" s="19"/>
      <c r="N3182" s="19"/>
      <c r="O3182" s="19" t="n">
        <v>18</v>
      </c>
      <c r="P3182" s="19"/>
      <c r="Q3182" s="19"/>
      <c r="R3182" s="19"/>
      <c r="S3182" s="19"/>
      <c r="T3182" s="19"/>
      <c r="U3182" s="19"/>
      <c r="V3182" s="19"/>
      <c r="W3182" s="19"/>
      <c r="X3182" s="19" t="n">
        <v>2</v>
      </c>
      <c r="Y3182" s="19"/>
      <c r="Z3182" s="19"/>
      <c r="AA3182" s="19"/>
      <c r="AB3182" s="19"/>
      <c r="AC3182" s="19"/>
      <c r="AD3182" s="19"/>
      <c r="AE3182" s="19"/>
      <c r="AF3182" s="19"/>
      <c r="AG3182" s="19"/>
      <c r="AH3182" s="19" t="n">
        <v>44</v>
      </c>
      <c r="AI3182" s="19"/>
      <c r="AJ3182" s="19"/>
      <c r="AK3182" s="19"/>
      <c r="AL3182" s="19" t="n">
        <v>8</v>
      </c>
      <c r="AM3182" s="19" t="n">
        <v>15</v>
      </c>
      <c r="AN3182" s="19" t="n">
        <v>5</v>
      </c>
      <c r="AO3182" s="19" t="n">
        <v>8</v>
      </c>
      <c r="AP3182" s="19" t="n">
        <v>3</v>
      </c>
      <c r="AQ3182" s="19" t="n">
        <v>5</v>
      </c>
      <c r="AR3182" s="19"/>
      <c r="AS3182" s="20" t="str">
        <f aca="false">HYPERLINK("http://www.openstreetmap.org/?mlat=35.1046&amp;mlon=45.685&amp;zoom=12#map=12/35.1046/45.685","Maplink1")</f>
        <v>Maplink1</v>
      </c>
      <c r="AT3182" s="20" t="str">
        <f aca="false">HYPERLINK("https://www.google.iq/maps/search/+35.1046,45.685/@35.1046,45.685,14z?hl=en","Maplink2")</f>
        <v>Maplink2</v>
      </c>
      <c r="AU3182" s="20" t="str">
        <f aca="false">HYPERLINK("http://www.bing.com/maps/?lvl=14&amp;sty=h&amp;cp=35.1046~45.685&amp;sp=point.35.1046_45.685","Maplink3")</f>
        <v>Maplink3</v>
      </c>
    </row>
    <row r="3183" customFormat="false" ht="15" hidden="false" customHeight="true" outlineLevel="0" collapsed="false">
      <c r="A3183" s="15" t="n">
        <v>29704</v>
      </c>
      <c r="B3183" s="16" t="s">
        <v>30</v>
      </c>
      <c r="C3183" s="16" t="s">
        <v>6076</v>
      </c>
      <c r="D3183" s="16" t="s">
        <v>6087</v>
      </c>
      <c r="E3183" s="17" t="s">
        <v>3375</v>
      </c>
      <c r="F3183" s="16" t="n">
        <v>35.31435</v>
      </c>
      <c r="G3183" s="16" t="n">
        <v>45.66787</v>
      </c>
      <c r="H3183" s="18" t="n">
        <v>25</v>
      </c>
      <c r="I3183" s="18" t="n">
        <v>150</v>
      </c>
      <c r="J3183" s="19" t="n">
        <v>19</v>
      </c>
      <c r="K3183" s="19"/>
      <c r="L3183" s="19" t="n">
        <v>6</v>
      </c>
      <c r="M3183" s="19"/>
      <c r="N3183" s="19"/>
      <c r="O3183" s="19"/>
      <c r="P3183" s="19"/>
      <c r="Q3183" s="19"/>
      <c r="R3183" s="19"/>
      <c r="S3183" s="19"/>
      <c r="T3183" s="19"/>
      <c r="U3183" s="19"/>
      <c r="V3183" s="19"/>
      <c r="W3183" s="19"/>
      <c r="X3183" s="19"/>
      <c r="Y3183" s="19"/>
      <c r="Z3183" s="19"/>
      <c r="AA3183" s="19"/>
      <c r="AB3183" s="19"/>
      <c r="AC3183" s="19"/>
      <c r="AD3183" s="19"/>
      <c r="AE3183" s="19"/>
      <c r="AF3183" s="19"/>
      <c r="AG3183" s="19"/>
      <c r="AH3183" s="19" t="n">
        <v>25</v>
      </c>
      <c r="AI3183" s="19"/>
      <c r="AJ3183" s="19"/>
      <c r="AK3183" s="19"/>
      <c r="AL3183" s="19" t="n">
        <v>9</v>
      </c>
      <c r="AM3183" s="19" t="n">
        <v>4</v>
      </c>
      <c r="AN3183" s="19" t="n">
        <v>8</v>
      </c>
      <c r="AO3183" s="19" t="n">
        <v>2</v>
      </c>
      <c r="AP3183" s="19" t="n">
        <v>2</v>
      </c>
      <c r="AQ3183" s="19"/>
      <c r="AR3183" s="19"/>
      <c r="AS3183" s="20" t="str">
        <f aca="false">HYPERLINK("http://www.openstreetmap.org/?mlat=35.3143&amp;mlon=45.6679&amp;zoom=12#map=12/35.3143/45.6679","Maplink1")</f>
        <v>Maplink1</v>
      </c>
      <c r="AT3183" s="20" t="str">
        <f aca="false">HYPERLINK("https://www.google.iq/maps/search/+35.3143,45.6679/@35.3143,45.6679,14z?hl=en","Maplink2")</f>
        <v>Maplink2</v>
      </c>
      <c r="AU3183" s="20" t="str">
        <f aca="false">HYPERLINK("http://www.bing.com/maps/?lvl=14&amp;sty=h&amp;cp=35.3143~45.6679&amp;sp=point.35.3143_45.6679","Maplink3")</f>
        <v>Maplink3</v>
      </c>
    </row>
    <row r="3184" customFormat="false" ht="15" hidden="false" customHeight="true" outlineLevel="0" collapsed="false">
      <c r="A3184" s="15" t="n">
        <v>29705</v>
      </c>
      <c r="B3184" s="16" t="s">
        <v>30</v>
      </c>
      <c r="C3184" s="16" t="s">
        <v>6076</v>
      </c>
      <c r="D3184" s="16" t="s">
        <v>6088</v>
      </c>
      <c r="E3184" s="17" t="s">
        <v>6089</v>
      </c>
      <c r="F3184" s="16" t="n">
        <v>35.31669</v>
      </c>
      <c r="G3184" s="16" t="n">
        <v>45.67461</v>
      </c>
      <c r="H3184" s="18" t="n">
        <v>24</v>
      </c>
      <c r="I3184" s="18" t="n">
        <v>144</v>
      </c>
      <c r="J3184" s="19" t="n">
        <v>20</v>
      </c>
      <c r="K3184" s="19"/>
      <c r="L3184" s="19" t="n">
        <v>1</v>
      </c>
      <c r="M3184" s="19"/>
      <c r="N3184" s="19"/>
      <c r="O3184" s="19" t="n">
        <v>3</v>
      </c>
      <c r="P3184" s="19"/>
      <c r="Q3184" s="19"/>
      <c r="R3184" s="19"/>
      <c r="S3184" s="19"/>
      <c r="T3184" s="19"/>
      <c r="U3184" s="19"/>
      <c r="V3184" s="19"/>
      <c r="W3184" s="19"/>
      <c r="X3184" s="19"/>
      <c r="Y3184" s="19"/>
      <c r="Z3184" s="19"/>
      <c r="AA3184" s="19"/>
      <c r="AB3184" s="19"/>
      <c r="AC3184" s="19"/>
      <c r="AD3184" s="19"/>
      <c r="AE3184" s="19"/>
      <c r="AF3184" s="19"/>
      <c r="AG3184" s="19"/>
      <c r="AH3184" s="19" t="n">
        <v>24</v>
      </c>
      <c r="AI3184" s="19"/>
      <c r="AJ3184" s="19"/>
      <c r="AK3184" s="19"/>
      <c r="AL3184" s="19" t="n">
        <v>17</v>
      </c>
      <c r="AM3184" s="19" t="n">
        <v>7</v>
      </c>
      <c r="AN3184" s="19"/>
      <c r="AO3184" s="19"/>
      <c r="AP3184" s="19"/>
      <c r="AQ3184" s="19"/>
      <c r="AR3184" s="19"/>
      <c r="AS3184" s="20" t="str">
        <f aca="false">HYPERLINK("http://www.openstreetmap.org/?mlat=35.3167&amp;mlon=45.6746&amp;zoom=12#map=12/35.3167/45.6746","Maplink1")</f>
        <v>Maplink1</v>
      </c>
      <c r="AT3184" s="20" t="str">
        <f aca="false">HYPERLINK("https://www.google.iq/maps/search/+35.3167,45.6746/@35.3167,45.6746,14z?hl=en","Maplink2")</f>
        <v>Maplink2</v>
      </c>
      <c r="AU3184" s="20" t="str">
        <f aca="false">HYPERLINK("http://www.bing.com/maps/?lvl=14&amp;sty=h&amp;cp=35.3167~45.6746&amp;sp=point.35.3167_45.6746","Maplink3")</f>
        <v>Maplink3</v>
      </c>
    </row>
    <row r="3185" customFormat="false" ht="15" hidden="false" customHeight="true" outlineLevel="0" collapsed="false">
      <c r="A3185" s="15" t="n">
        <v>24670</v>
      </c>
      <c r="B3185" s="16" t="s">
        <v>30</v>
      </c>
      <c r="C3185" s="16" t="s">
        <v>6076</v>
      </c>
      <c r="D3185" s="16" t="s">
        <v>6090</v>
      </c>
      <c r="E3185" s="17" t="s">
        <v>6091</v>
      </c>
      <c r="F3185" s="16" t="n">
        <v>35.09279472</v>
      </c>
      <c r="G3185" s="16" t="n">
        <v>45.68205758</v>
      </c>
      <c r="H3185" s="18" t="n">
        <v>86</v>
      </c>
      <c r="I3185" s="18" t="n">
        <v>516</v>
      </c>
      <c r="J3185" s="19" t="n">
        <v>40</v>
      </c>
      <c r="K3185" s="19"/>
      <c r="L3185" s="19" t="n">
        <v>3</v>
      </c>
      <c r="M3185" s="19"/>
      <c r="N3185" s="19"/>
      <c r="O3185" s="19" t="n">
        <v>34</v>
      </c>
      <c r="P3185" s="19"/>
      <c r="Q3185" s="19"/>
      <c r="R3185" s="19"/>
      <c r="S3185" s="19"/>
      <c r="T3185" s="19"/>
      <c r="U3185" s="19"/>
      <c r="V3185" s="19"/>
      <c r="W3185" s="19"/>
      <c r="X3185" s="19" t="n">
        <v>9</v>
      </c>
      <c r="Y3185" s="19"/>
      <c r="Z3185" s="19"/>
      <c r="AA3185" s="19"/>
      <c r="AB3185" s="19"/>
      <c r="AC3185" s="19"/>
      <c r="AD3185" s="19"/>
      <c r="AE3185" s="19"/>
      <c r="AF3185" s="19"/>
      <c r="AG3185" s="19"/>
      <c r="AH3185" s="19" t="n">
        <v>86</v>
      </c>
      <c r="AI3185" s="19"/>
      <c r="AJ3185" s="19"/>
      <c r="AK3185" s="19"/>
      <c r="AL3185" s="19" t="n">
        <v>3</v>
      </c>
      <c r="AM3185" s="19" t="n">
        <v>27</v>
      </c>
      <c r="AN3185" s="19"/>
      <c r="AO3185" s="19" t="n">
        <v>35</v>
      </c>
      <c r="AP3185" s="19" t="n">
        <v>14</v>
      </c>
      <c r="AQ3185" s="19" t="n">
        <v>7</v>
      </c>
      <c r="AR3185" s="19"/>
      <c r="AS3185" s="20" t="str">
        <f aca="false">HYPERLINK("http://www.openstreetmap.org/?mlat=35.0928&amp;mlon=45.6821&amp;zoom=12#map=12/35.0928/45.6821","Maplink1")</f>
        <v>Maplink1</v>
      </c>
      <c r="AT3185" s="20" t="str">
        <f aca="false">HYPERLINK("https://www.google.iq/maps/search/+35.0928,45.6821/@35.0928,45.6821,14z?hl=en","Maplink2")</f>
        <v>Maplink2</v>
      </c>
      <c r="AU3185" s="20" t="str">
        <f aca="false">HYPERLINK("http://www.bing.com/maps/?lvl=14&amp;sty=h&amp;cp=35.0928~45.6821&amp;sp=point.35.0928_45.6821","Maplink3")</f>
        <v>Maplink3</v>
      </c>
    </row>
    <row r="3186" customFormat="false" ht="15" hidden="false" customHeight="true" outlineLevel="0" collapsed="false">
      <c r="A3186" s="15" t="n">
        <v>29514</v>
      </c>
      <c r="B3186" s="16" t="s">
        <v>30</v>
      </c>
      <c r="C3186" s="16" t="s">
        <v>6076</v>
      </c>
      <c r="D3186" s="16" t="s">
        <v>2833</v>
      </c>
      <c r="E3186" s="17" t="s">
        <v>2834</v>
      </c>
      <c r="F3186" s="16" t="n">
        <v>35.11295305</v>
      </c>
      <c r="G3186" s="16" t="n">
        <v>45.6763279</v>
      </c>
      <c r="H3186" s="18" t="n">
        <v>49</v>
      </c>
      <c r="I3186" s="18" t="n">
        <v>294</v>
      </c>
      <c r="J3186" s="19" t="n">
        <v>13</v>
      </c>
      <c r="K3186" s="19"/>
      <c r="L3186" s="19" t="n">
        <v>7</v>
      </c>
      <c r="M3186" s="19"/>
      <c r="N3186" s="19"/>
      <c r="O3186" s="19" t="n">
        <v>23</v>
      </c>
      <c r="P3186" s="19"/>
      <c r="Q3186" s="19"/>
      <c r="R3186" s="19"/>
      <c r="S3186" s="19"/>
      <c r="T3186" s="19"/>
      <c r="U3186" s="19"/>
      <c r="V3186" s="19"/>
      <c r="W3186" s="19"/>
      <c r="X3186" s="19" t="n">
        <v>6</v>
      </c>
      <c r="Y3186" s="19"/>
      <c r="Z3186" s="19"/>
      <c r="AA3186" s="19"/>
      <c r="AB3186" s="19"/>
      <c r="AC3186" s="19"/>
      <c r="AD3186" s="19"/>
      <c r="AE3186" s="19"/>
      <c r="AF3186" s="19"/>
      <c r="AG3186" s="19"/>
      <c r="AH3186" s="19" t="n">
        <v>49</v>
      </c>
      <c r="AI3186" s="19"/>
      <c r="AJ3186" s="19"/>
      <c r="AK3186" s="19"/>
      <c r="AL3186" s="19" t="n">
        <v>9</v>
      </c>
      <c r="AM3186" s="19" t="n">
        <v>10</v>
      </c>
      <c r="AN3186" s="19" t="n">
        <v>3</v>
      </c>
      <c r="AO3186" s="19" t="n">
        <v>13</v>
      </c>
      <c r="AP3186" s="19" t="n">
        <v>4</v>
      </c>
      <c r="AQ3186" s="19" t="n">
        <v>10</v>
      </c>
      <c r="AR3186" s="19"/>
      <c r="AS3186" s="20" t="str">
        <f aca="false">HYPERLINK("http://www.openstreetmap.org/?mlat=35.113&amp;mlon=45.6763&amp;zoom=12#map=12/35.113/45.6763","Maplink1")</f>
        <v>Maplink1</v>
      </c>
      <c r="AT3186" s="20" t="str">
        <f aca="false">HYPERLINK("https://www.google.iq/maps/search/+35.113,45.6763/@35.113,45.6763,14z?hl=en","Maplink2")</f>
        <v>Maplink2</v>
      </c>
      <c r="AU3186" s="20" t="str">
        <f aca="false">HYPERLINK("http://www.bing.com/maps/?lvl=14&amp;sty=h&amp;cp=35.113~45.6763&amp;sp=point.35.113_45.6763","Maplink3")</f>
        <v>Maplink3</v>
      </c>
    </row>
    <row r="3187" customFormat="false" ht="15" hidden="false" customHeight="true" outlineLevel="0" collapsed="false">
      <c r="A3187" s="15" t="n">
        <v>29516</v>
      </c>
      <c r="B3187" s="16" t="s">
        <v>30</v>
      </c>
      <c r="C3187" s="16" t="s">
        <v>6076</v>
      </c>
      <c r="D3187" s="16" t="s">
        <v>6092</v>
      </c>
      <c r="E3187" s="17" t="s">
        <v>3575</v>
      </c>
      <c r="F3187" s="16" t="n">
        <v>35.10373908</v>
      </c>
      <c r="G3187" s="16" t="n">
        <v>45.68177609</v>
      </c>
      <c r="H3187" s="18" t="n">
        <v>58</v>
      </c>
      <c r="I3187" s="18" t="n">
        <v>348</v>
      </c>
      <c r="J3187" s="19" t="n">
        <v>28</v>
      </c>
      <c r="K3187" s="19" t="n">
        <v>6</v>
      </c>
      <c r="L3187" s="19" t="n">
        <v>8</v>
      </c>
      <c r="M3187" s="19"/>
      <c r="N3187" s="19"/>
      <c r="O3187" s="19" t="n">
        <v>12</v>
      </c>
      <c r="P3187" s="19"/>
      <c r="Q3187" s="19"/>
      <c r="R3187" s="19"/>
      <c r="S3187" s="19"/>
      <c r="T3187" s="19"/>
      <c r="U3187" s="19"/>
      <c r="V3187" s="19"/>
      <c r="W3187" s="19"/>
      <c r="X3187" s="19" t="n">
        <v>4</v>
      </c>
      <c r="Y3187" s="19"/>
      <c r="Z3187" s="19"/>
      <c r="AA3187" s="19"/>
      <c r="AB3187" s="19"/>
      <c r="AC3187" s="19"/>
      <c r="AD3187" s="19"/>
      <c r="AE3187" s="19"/>
      <c r="AF3187" s="19"/>
      <c r="AG3187" s="19"/>
      <c r="AH3187" s="19" t="n">
        <v>58</v>
      </c>
      <c r="AI3187" s="19"/>
      <c r="AJ3187" s="19"/>
      <c r="AK3187" s="19"/>
      <c r="AL3187" s="19" t="n">
        <v>2</v>
      </c>
      <c r="AM3187" s="19" t="n">
        <v>23</v>
      </c>
      <c r="AN3187" s="19" t="n">
        <v>7</v>
      </c>
      <c r="AO3187" s="19" t="n">
        <v>17</v>
      </c>
      <c r="AP3187" s="19" t="n">
        <v>5</v>
      </c>
      <c r="AQ3187" s="19" t="n">
        <v>4</v>
      </c>
      <c r="AR3187" s="19"/>
      <c r="AS3187" s="20" t="str">
        <f aca="false">HYPERLINK("http://www.openstreetmap.org/?mlat=35.1037&amp;mlon=45.6818&amp;zoom=12#map=12/35.1037/45.6818","Maplink1")</f>
        <v>Maplink1</v>
      </c>
      <c r="AT3187" s="20" t="str">
        <f aca="false">HYPERLINK("https://www.google.iq/maps/search/+35.1037,45.6818/@35.1037,45.6818,14z?hl=en","Maplink2")</f>
        <v>Maplink2</v>
      </c>
      <c r="AU3187" s="20" t="str">
        <f aca="false">HYPERLINK("http://www.bing.com/maps/?lvl=14&amp;sty=h&amp;cp=35.1037~45.6818&amp;sp=point.35.1037_45.6818","Maplink3")</f>
        <v>Maplink3</v>
      </c>
    </row>
    <row r="3188" customFormat="false" ht="15" hidden="false" customHeight="true" outlineLevel="0" collapsed="false">
      <c r="A3188" s="15" t="n">
        <v>29515</v>
      </c>
      <c r="B3188" s="16" t="s">
        <v>30</v>
      </c>
      <c r="C3188" s="16" t="s">
        <v>6076</v>
      </c>
      <c r="D3188" s="16" t="s">
        <v>6093</v>
      </c>
      <c r="E3188" s="17" t="s">
        <v>2937</v>
      </c>
      <c r="F3188" s="16" t="n">
        <v>35.11320678</v>
      </c>
      <c r="G3188" s="16" t="n">
        <v>45.67910129</v>
      </c>
      <c r="H3188" s="18" t="n">
        <v>46</v>
      </c>
      <c r="I3188" s="18" t="n">
        <v>276</v>
      </c>
      <c r="J3188" s="19" t="n">
        <v>21</v>
      </c>
      <c r="K3188" s="19" t="n">
        <v>4</v>
      </c>
      <c r="L3188" s="19" t="n">
        <v>3</v>
      </c>
      <c r="M3188" s="19"/>
      <c r="N3188" s="19"/>
      <c r="O3188" s="19" t="n">
        <v>14</v>
      </c>
      <c r="P3188" s="19"/>
      <c r="Q3188" s="19"/>
      <c r="R3188" s="19"/>
      <c r="S3188" s="19"/>
      <c r="T3188" s="19"/>
      <c r="U3188" s="19"/>
      <c r="V3188" s="19"/>
      <c r="W3188" s="19"/>
      <c r="X3188" s="19" t="n">
        <v>4</v>
      </c>
      <c r="Y3188" s="19"/>
      <c r="Z3188" s="19"/>
      <c r="AA3188" s="19"/>
      <c r="AB3188" s="19"/>
      <c r="AC3188" s="19"/>
      <c r="AD3188" s="19"/>
      <c r="AE3188" s="19"/>
      <c r="AF3188" s="19"/>
      <c r="AG3188" s="19"/>
      <c r="AH3188" s="19" t="n">
        <v>46</v>
      </c>
      <c r="AI3188" s="19"/>
      <c r="AJ3188" s="19"/>
      <c r="AK3188" s="19"/>
      <c r="AL3188" s="19" t="n">
        <v>6</v>
      </c>
      <c r="AM3188" s="19" t="n">
        <v>18</v>
      </c>
      <c r="AN3188" s="19" t="n">
        <v>7</v>
      </c>
      <c r="AO3188" s="19" t="n">
        <v>4</v>
      </c>
      <c r="AP3188" s="19" t="n">
        <v>6</v>
      </c>
      <c r="AQ3188" s="19" t="n">
        <v>5</v>
      </c>
      <c r="AR3188" s="19"/>
      <c r="AS3188" s="20" t="str">
        <f aca="false">HYPERLINK("http://www.openstreetmap.org/?mlat=35.1132&amp;mlon=45.6791&amp;zoom=12#map=12/35.1132/45.6791","Maplink1")</f>
        <v>Maplink1</v>
      </c>
      <c r="AT3188" s="20" t="str">
        <f aca="false">HYPERLINK("https://www.google.iq/maps/search/+35.1132,45.6791/@35.1132,45.6791,14z?hl=en","Maplink2")</f>
        <v>Maplink2</v>
      </c>
      <c r="AU3188" s="20" t="str">
        <f aca="false">HYPERLINK("http://www.bing.com/maps/?lvl=14&amp;sty=h&amp;cp=35.1132~45.6791&amp;sp=point.35.1132_45.6791","Maplink3")</f>
        <v>Maplink3</v>
      </c>
    </row>
    <row r="3189" customFormat="false" ht="15" hidden="false" customHeight="true" outlineLevel="0" collapsed="false">
      <c r="A3189" s="15" t="n">
        <v>5093</v>
      </c>
      <c r="B3189" s="16" t="s">
        <v>30</v>
      </c>
      <c r="C3189" s="16" t="s">
        <v>6076</v>
      </c>
      <c r="D3189" s="16" t="s">
        <v>6094</v>
      </c>
      <c r="E3189" s="17" t="s">
        <v>6095</v>
      </c>
      <c r="F3189" s="16" t="n">
        <v>35.30058</v>
      </c>
      <c r="G3189" s="16" t="n">
        <v>45.68186</v>
      </c>
      <c r="H3189" s="18" t="n">
        <v>13</v>
      </c>
      <c r="I3189" s="18" t="n">
        <v>78</v>
      </c>
      <c r="J3189" s="19" t="n">
        <v>6</v>
      </c>
      <c r="K3189" s="19"/>
      <c r="L3189" s="19" t="n">
        <v>1</v>
      </c>
      <c r="M3189" s="19"/>
      <c r="N3189" s="19"/>
      <c r="O3189" s="19" t="n">
        <v>6</v>
      </c>
      <c r="P3189" s="19"/>
      <c r="Q3189" s="19"/>
      <c r="R3189" s="19"/>
      <c r="S3189" s="19"/>
      <c r="T3189" s="19"/>
      <c r="U3189" s="19"/>
      <c r="V3189" s="19"/>
      <c r="W3189" s="19"/>
      <c r="X3189" s="19"/>
      <c r="Y3189" s="19"/>
      <c r="Z3189" s="19"/>
      <c r="AA3189" s="19"/>
      <c r="AB3189" s="19"/>
      <c r="AC3189" s="19"/>
      <c r="AD3189" s="19"/>
      <c r="AE3189" s="19"/>
      <c r="AF3189" s="19"/>
      <c r="AG3189" s="19"/>
      <c r="AH3189" s="19" t="n">
        <v>13</v>
      </c>
      <c r="AI3189" s="19"/>
      <c r="AJ3189" s="19"/>
      <c r="AK3189" s="19"/>
      <c r="AL3189" s="19" t="n">
        <v>7</v>
      </c>
      <c r="AM3189" s="19" t="n">
        <v>2</v>
      </c>
      <c r="AN3189" s="19"/>
      <c r="AO3189" s="19"/>
      <c r="AP3189" s="19" t="n">
        <v>2</v>
      </c>
      <c r="AQ3189" s="19" t="n">
        <v>2</v>
      </c>
      <c r="AR3189" s="19"/>
      <c r="AS3189" s="20" t="str">
        <f aca="false">HYPERLINK("http://www.openstreetmap.org/?mlat=35.3006&amp;mlon=45.6819&amp;zoom=12#map=12/35.3006/45.6819","Maplink1")</f>
        <v>Maplink1</v>
      </c>
      <c r="AT3189" s="20" t="str">
        <f aca="false">HYPERLINK("https://www.google.iq/maps/search/+35.3006,45.6819/@35.3006,45.6819,14z?hl=en","Maplink2")</f>
        <v>Maplink2</v>
      </c>
      <c r="AU3189" s="20" t="str">
        <f aca="false">HYPERLINK("http://www.bing.com/maps/?lvl=14&amp;sty=h&amp;cp=35.3006~45.6819&amp;sp=point.35.3006_45.6819","Maplink3")</f>
        <v>Maplink3</v>
      </c>
    </row>
    <row r="3190" customFormat="false" ht="15" hidden="false" customHeight="true" outlineLevel="0" collapsed="false">
      <c r="A3190" s="15" t="n">
        <v>23924</v>
      </c>
      <c r="B3190" s="16" t="s">
        <v>30</v>
      </c>
      <c r="C3190" s="16" t="s">
        <v>6096</v>
      </c>
      <c r="D3190" s="16" t="s">
        <v>6097</v>
      </c>
      <c r="E3190" s="17" t="s">
        <v>6098</v>
      </c>
      <c r="F3190" s="16" t="n">
        <v>35.93094928</v>
      </c>
      <c r="G3190" s="16" t="n">
        <v>44.96447322</v>
      </c>
      <c r="H3190" s="18" t="n">
        <v>65</v>
      </c>
      <c r="I3190" s="18" t="n">
        <v>390</v>
      </c>
      <c r="J3190" s="19" t="n">
        <v>59</v>
      </c>
      <c r="K3190" s="19"/>
      <c r="L3190" s="19"/>
      <c r="M3190" s="19"/>
      <c r="N3190" s="19"/>
      <c r="O3190" s="19"/>
      <c r="P3190" s="19"/>
      <c r="Q3190" s="19"/>
      <c r="R3190" s="19"/>
      <c r="S3190" s="19"/>
      <c r="T3190" s="19"/>
      <c r="U3190" s="19"/>
      <c r="V3190" s="19" t="n">
        <v>6</v>
      </c>
      <c r="W3190" s="19"/>
      <c r="X3190" s="19"/>
      <c r="Y3190" s="19"/>
      <c r="Z3190" s="19"/>
      <c r="AA3190" s="19"/>
      <c r="AB3190" s="19"/>
      <c r="AC3190" s="19"/>
      <c r="AD3190" s="19"/>
      <c r="AE3190" s="19"/>
      <c r="AF3190" s="19" t="n">
        <v>6</v>
      </c>
      <c r="AG3190" s="19"/>
      <c r="AH3190" s="19" t="n">
        <v>59</v>
      </c>
      <c r="AI3190" s="19"/>
      <c r="AJ3190" s="19"/>
      <c r="AK3190" s="19"/>
      <c r="AL3190" s="19" t="n">
        <v>12</v>
      </c>
      <c r="AM3190" s="19" t="n">
        <v>12</v>
      </c>
      <c r="AN3190" s="19" t="n">
        <v>11</v>
      </c>
      <c r="AO3190" s="19" t="n">
        <v>23</v>
      </c>
      <c r="AP3190" s="19" t="n">
        <v>7</v>
      </c>
      <c r="AQ3190" s="19"/>
      <c r="AR3190" s="19"/>
      <c r="AS3190" s="20" t="str">
        <f aca="false">HYPERLINK("http://www.openstreetmap.org/?mlat=35.9309&amp;mlon=44.9645&amp;zoom=12#map=12/35.9309/44.9645","Maplink1")</f>
        <v>Maplink1</v>
      </c>
      <c r="AT3190" s="20" t="str">
        <f aca="false">HYPERLINK("https://www.google.iq/maps/search/+35.9309,44.9645/@35.9309,44.9645,14z?hl=en","Maplink2")</f>
        <v>Maplink2</v>
      </c>
      <c r="AU3190" s="20" t="str">
        <f aca="false">HYPERLINK("http://www.bing.com/maps/?lvl=14&amp;sty=h&amp;cp=35.9309~44.9645&amp;sp=point.35.9309_44.9645","Maplink3")</f>
        <v>Maplink3</v>
      </c>
    </row>
    <row r="3191" customFormat="false" ht="15" hidden="false" customHeight="true" outlineLevel="0" collapsed="false">
      <c r="A3191" s="15" t="n">
        <v>23721</v>
      </c>
      <c r="B3191" s="16" t="s">
        <v>30</v>
      </c>
      <c r="C3191" s="16" t="s">
        <v>6096</v>
      </c>
      <c r="D3191" s="16" t="s">
        <v>6099</v>
      </c>
      <c r="E3191" s="17" t="s">
        <v>6100</v>
      </c>
      <c r="F3191" s="16" t="n">
        <v>35.92027013</v>
      </c>
      <c r="G3191" s="16" t="n">
        <v>44.97812477</v>
      </c>
      <c r="H3191" s="18" t="n">
        <v>170</v>
      </c>
      <c r="I3191" s="18" t="n">
        <v>1020</v>
      </c>
      <c r="J3191" s="19" t="n">
        <v>158</v>
      </c>
      <c r="K3191" s="19"/>
      <c r="L3191" s="19"/>
      <c r="M3191" s="19"/>
      <c r="N3191" s="19"/>
      <c r="O3191" s="19" t="n">
        <v>2</v>
      </c>
      <c r="P3191" s="19"/>
      <c r="Q3191" s="19"/>
      <c r="R3191" s="19"/>
      <c r="S3191" s="19"/>
      <c r="T3191" s="19"/>
      <c r="U3191" s="19"/>
      <c r="V3191" s="19" t="n">
        <v>2</v>
      </c>
      <c r="W3191" s="19"/>
      <c r="X3191" s="19" t="n">
        <v>8</v>
      </c>
      <c r="Y3191" s="19"/>
      <c r="Z3191" s="19"/>
      <c r="AA3191" s="19"/>
      <c r="AB3191" s="19"/>
      <c r="AC3191" s="19"/>
      <c r="AD3191" s="19"/>
      <c r="AE3191" s="19"/>
      <c r="AF3191" s="19"/>
      <c r="AG3191" s="19"/>
      <c r="AH3191" s="19" t="n">
        <v>170</v>
      </c>
      <c r="AI3191" s="19"/>
      <c r="AJ3191" s="19"/>
      <c r="AK3191" s="19"/>
      <c r="AL3191" s="19" t="n">
        <v>90</v>
      </c>
      <c r="AM3191" s="19" t="n">
        <v>28</v>
      </c>
      <c r="AN3191" s="19" t="n">
        <v>10</v>
      </c>
      <c r="AO3191" s="19" t="n">
        <v>30</v>
      </c>
      <c r="AP3191" s="19" t="n">
        <v>12</v>
      </c>
      <c r="AQ3191" s="19"/>
      <c r="AR3191" s="19"/>
      <c r="AS3191" s="20" t="str">
        <f aca="false">HYPERLINK("http://www.openstreetmap.org/?mlat=35.9203&amp;mlon=44.9781&amp;zoom=12#map=12/35.9203/44.9781","Maplink1")</f>
        <v>Maplink1</v>
      </c>
      <c r="AT3191" s="20" t="str">
        <f aca="false">HYPERLINK("https://www.google.iq/maps/search/+35.9203,44.9781/@35.9203,44.9781,14z?hl=en","Maplink2")</f>
        <v>Maplink2</v>
      </c>
      <c r="AU3191" s="20" t="str">
        <f aca="false">HYPERLINK("http://www.bing.com/maps/?lvl=14&amp;sty=h&amp;cp=35.9203~44.9781&amp;sp=point.35.9203_44.9781","Maplink3")</f>
        <v>Maplink3</v>
      </c>
    </row>
    <row r="3192" customFormat="false" ht="15" hidden="false" customHeight="true" outlineLevel="0" collapsed="false">
      <c r="A3192" s="15" t="n">
        <v>23162</v>
      </c>
      <c r="B3192" s="16" t="s">
        <v>30</v>
      </c>
      <c r="C3192" s="16" t="s">
        <v>6096</v>
      </c>
      <c r="D3192" s="16" t="s">
        <v>6101</v>
      </c>
      <c r="E3192" s="17" t="s">
        <v>6102</v>
      </c>
      <c r="F3192" s="16" t="n">
        <v>35.94811641</v>
      </c>
      <c r="G3192" s="16" t="n">
        <v>44.96975001</v>
      </c>
      <c r="H3192" s="18" t="n">
        <v>55</v>
      </c>
      <c r="I3192" s="18" t="n">
        <v>330</v>
      </c>
      <c r="J3192" s="19" t="n">
        <v>28</v>
      </c>
      <c r="K3192" s="19"/>
      <c r="L3192" s="19"/>
      <c r="M3192" s="19"/>
      <c r="N3192" s="19"/>
      <c r="O3192" s="19"/>
      <c r="P3192" s="19"/>
      <c r="Q3192" s="19"/>
      <c r="R3192" s="19"/>
      <c r="S3192" s="19"/>
      <c r="T3192" s="19"/>
      <c r="U3192" s="19"/>
      <c r="V3192" s="19" t="n">
        <v>18</v>
      </c>
      <c r="W3192" s="19"/>
      <c r="X3192" s="19" t="n">
        <v>9</v>
      </c>
      <c r="Y3192" s="19"/>
      <c r="Z3192" s="19"/>
      <c r="AA3192" s="19"/>
      <c r="AB3192" s="19"/>
      <c r="AC3192" s="19"/>
      <c r="AD3192" s="19"/>
      <c r="AE3192" s="19"/>
      <c r="AF3192" s="19"/>
      <c r="AG3192" s="19"/>
      <c r="AH3192" s="19" t="n">
        <v>55</v>
      </c>
      <c r="AI3192" s="19"/>
      <c r="AJ3192" s="19"/>
      <c r="AK3192" s="19"/>
      <c r="AL3192" s="19" t="n">
        <v>6</v>
      </c>
      <c r="AM3192" s="19" t="n">
        <v>6</v>
      </c>
      <c r="AN3192" s="19" t="n">
        <v>23</v>
      </c>
      <c r="AO3192" s="19" t="n">
        <v>13</v>
      </c>
      <c r="AP3192" s="19" t="n">
        <v>7</v>
      </c>
      <c r="AQ3192" s="19"/>
      <c r="AR3192" s="19"/>
      <c r="AS3192" s="20" t="str">
        <f aca="false">HYPERLINK("http://www.openstreetmap.org/?mlat=35.9481&amp;mlon=44.9698&amp;zoom=12#map=12/35.9481/44.9698","Maplink1")</f>
        <v>Maplink1</v>
      </c>
      <c r="AT3192" s="20" t="str">
        <f aca="false">HYPERLINK("https://www.google.iq/maps/search/+35.9481,44.9698/@35.9481,44.9698,14z?hl=en","Maplink2")</f>
        <v>Maplink2</v>
      </c>
      <c r="AU3192" s="20" t="str">
        <f aca="false">HYPERLINK("http://www.bing.com/maps/?lvl=14&amp;sty=h&amp;cp=35.9481~44.9698&amp;sp=point.35.9481_44.9698","Maplink3")</f>
        <v>Maplink3</v>
      </c>
    </row>
    <row r="3193" customFormat="false" ht="15" hidden="false" customHeight="true" outlineLevel="0" collapsed="false">
      <c r="A3193" s="15" t="n">
        <v>24553</v>
      </c>
      <c r="B3193" s="16" t="s">
        <v>30</v>
      </c>
      <c r="C3193" s="16" t="s">
        <v>6096</v>
      </c>
      <c r="D3193" s="16" t="s">
        <v>6103</v>
      </c>
      <c r="E3193" s="17" t="s">
        <v>6104</v>
      </c>
      <c r="F3193" s="16" t="n">
        <v>35.93520252</v>
      </c>
      <c r="G3193" s="16" t="n">
        <v>44.9570665</v>
      </c>
      <c r="H3193" s="18" t="n">
        <v>58</v>
      </c>
      <c r="I3193" s="18" t="n">
        <v>348</v>
      </c>
      <c r="J3193" s="19" t="n">
        <v>44</v>
      </c>
      <c r="K3193" s="19"/>
      <c r="L3193" s="19"/>
      <c r="M3193" s="19"/>
      <c r="N3193" s="19"/>
      <c r="O3193" s="19" t="n">
        <v>2</v>
      </c>
      <c r="P3193" s="19"/>
      <c r="Q3193" s="19"/>
      <c r="R3193" s="19"/>
      <c r="S3193" s="19"/>
      <c r="T3193" s="19"/>
      <c r="U3193" s="19"/>
      <c r="V3193" s="19" t="n">
        <v>9</v>
      </c>
      <c r="W3193" s="19"/>
      <c r="X3193" s="19" t="n">
        <v>3</v>
      </c>
      <c r="Y3193" s="19"/>
      <c r="Z3193" s="19"/>
      <c r="AA3193" s="19"/>
      <c r="AB3193" s="19"/>
      <c r="AC3193" s="19"/>
      <c r="AD3193" s="19"/>
      <c r="AE3193" s="19"/>
      <c r="AF3193" s="19"/>
      <c r="AG3193" s="19"/>
      <c r="AH3193" s="19" t="n">
        <v>58</v>
      </c>
      <c r="AI3193" s="19"/>
      <c r="AJ3193" s="19"/>
      <c r="AK3193" s="19"/>
      <c r="AL3193" s="19" t="n">
        <v>10</v>
      </c>
      <c r="AM3193" s="19" t="n">
        <v>3</v>
      </c>
      <c r="AN3193" s="19" t="n">
        <v>13</v>
      </c>
      <c r="AO3193" s="19" t="n">
        <v>27</v>
      </c>
      <c r="AP3193" s="19" t="n">
        <v>5</v>
      </c>
      <c r="AQ3193" s="19"/>
      <c r="AR3193" s="19"/>
      <c r="AS3193" s="20" t="str">
        <f aca="false">HYPERLINK("http://www.openstreetmap.org/?mlat=35.9352&amp;mlon=44.9571&amp;zoom=12#map=12/35.9352/44.9571","Maplink1")</f>
        <v>Maplink1</v>
      </c>
      <c r="AT3193" s="20" t="str">
        <f aca="false">HYPERLINK("https://www.google.iq/maps/search/+35.9352,44.9571/@35.9352,44.9571,14z?hl=en","Maplink2")</f>
        <v>Maplink2</v>
      </c>
      <c r="AU3193" s="20" t="str">
        <f aca="false">HYPERLINK("http://www.bing.com/maps/?lvl=14&amp;sty=h&amp;cp=35.9352~44.9571&amp;sp=point.35.9352_44.9571","Maplink3")</f>
        <v>Maplink3</v>
      </c>
    </row>
    <row r="3194" customFormat="false" ht="15" hidden="false" customHeight="true" outlineLevel="0" collapsed="false">
      <c r="A3194" s="15" t="n">
        <v>5229</v>
      </c>
      <c r="B3194" s="16" t="s">
        <v>30</v>
      </c>
      <c r="C3194" s="16" t="s">
        <v>6096</v>
      </c>
      <c r="D3194" s="16" t="s">
        <v>6105</v>
      </c>
      <c r="E3194" s="17" t="s">
        <v>6106</v>
      </c>
      <c r="F3194" s="16" t="n">
        <v>35.86285784</v>
      </c>
      <c r="G3194" s="16" t="n">
        <v>45.04197378</v>
      </c>
      <c r="H3194" s="18" t="n">
        <v>10</v>
      </c>
      <c r="I3194" s="18" t="n">
        <v>60</v>
      </c>
      <c r="J3194" s="19" t="n">
        <v>1</v>
      </c>
      <c r="K3194" s="19" t="n">
        <v>7</v>
      </c>
      <c r="L3194" s="19"/>
      <c r="M3194" s="19"/>
      <c r="N3194" s="19"/>
      <c r="O3194" s="19"/>
      <c r="P3194" s="19"/>
      <c r="Q3194" s="19"/>
      <c r="R3194" s="19"/>
      <c r="S3194" s="19"/>
      <c r="T3194" s="19"/>
      <c r="U3194" s="19"/>
      <c r="V3194" s="19" t="n">
        <v>2</v>
      </c>
      <c r="W3194" s="19"/>
      <c r="X3194" s="19"/>
      <c r="Y3194" s="19"/>
      <c r="Z3194" s="19"/>
      <c r="AA3194" s="19"/>
      <c r="AB3194" s="19"/>
      <c r="AC3194" s="19"/>
      <c r="AD3194" s="19"/>
      <c r="AE3194" s="19"/>
      <c r="AF3194" s="19"/>
      <c r="AG3194" s="19"/>
      <c r="AH3194" s="19" t="n">
        <v>10</v>
      </c>
      <c r="AI3194" s="19"/>
      <c r="AJ3194" s="19"/>
      <c r="AK3194" s="19"/>
      <c r="AL3194" s="19"/>
      <c r="AM3194" s="19" t="n">
        <v>1</v>
      </c>
      <c r="AN3194" s="19" t="n">
        <v>5</v>
      </c>
      <c r="AO3194" s="19" t="n">
        <v>4</v>
      </c>
      <c r="AP3194" s="19"/>
      <c r="AQ3194" s="19"/>
      <c r="AR3194" s="19"/>
      <c r="AS3194" s="20" t="str">
        <f aca="false">HYPERLINK("http://www.openstreetmap.org/?mlat=35.8629&amp;mlon=45.042&amp;zoom=12#map=12/35.8629/45.042","Maplink1")</f>
        <v>Maplink1</v>
      </c>
      <c r="AT3194" s="20" t="str">
        <f aca="false">HYPERLINK("https://www.google.iq/maps/search/+35.8629,45.042/@35.8629,45.042,14z?hl=en","Maplink2")</f>
        <v>Maplink2</v>
      </c>
      <c r="AU3194" s="20" t="str">
        <f aca="false">HYPERLINK("http://www.bing.com/maps/?lvl=14&amp;sty=h&amp;cp=35.8629~45.042&amp;sp=point.35.8629_45.042","Maplink3")</f>
        <v>Maplink3</v>
      </c>
    </row>
    <row r="3195" customFormat="false" ht="15" hidden="false" customHeight="true" outlineLevel="0" collapsed="false">
      <c r="A3195" s="15" t="n">
        <v>3643</v>
      </c>
      <c r="B3195" s="16" t="s">
        <v>30</v>
      </c>
      <c r="C3195" s="16" t="s">
        <v>6096</v>
      </c>
      <c r="D3195" s="16" t="s">
        <v>6107</v>
      </c>
      <c r="E3195" s="17" t="s">
        <v>6108</v>
      </c>
      <c r="F3195" s="16" t="n">
        <v>36.01404742</v>
      </c>
      <c r="G3195" s="16" t="n">
        <v>44.84301681</v>
      </c>
      <c r="H3195" s="18" t="n">
        <v>65</v>
      </c>
      <c r="I3195" s="18" t="n">
        <v>390</v>
      </c>
      <c r="J3195" s="19" t="n">
        <v>17</v>
      </c>
      <c r="K3195" s="19" t="n">
        <v>4</v>
      </c>
      <c r="L3195" s="19" t="n">
        <v>20</v>
      </c>
      <c r="M3195" s="19"/>
      <c r="N3195" s="19"/>
      <c r="O3195" s="19"/>
      <c r="P3195" s="19"/>
      <c r="Q3195" s="19"/>
      <c r="R3195" s="19"/>
      <c r="S3195" s="19"/>
      <c r="T3195" s="19"/>
      <c r="U3195" s="19"/>
      <c r="V3195" s="19" t="n">
        <v>22</v>
      </c>
      <c r="W3195" s="19"/>
      <c r="X3195" s="19" t="n">
        <v>2</v>
      </c>
      <c r="Y3195" s="19"/>
      <c r="Z3195" s="19"/>
      <c r="AA3195" s="19"/>
      <c r="AB3195" s="19"/>
      <c r="AC3195" s="19"/>
      <c r="AD3195" s="19"/>
      <c r="AE3195" s="19"/>
      <c r="AF3195" s="19"/>
      <c r="AG3195" s="19"/>
      <c r="AH3195" s="19" t="n">
        <v>57</v>
      </c>
      <c r="AI3195" s="19"/>
      <c r="AJ3195" s="19" t="n">
        <v>8</v>
      </c>
      <c r="AK3195" s="19"/>
      <c r="AL3195" s="19" t="n">
        <v>9</v>
      </c>
      <c r="AM3195" s="19" t="n">
        <v>21</v>
      </c>
      <c r="AN3195" s="19" t="n">
        <v>23</v>
      </c>
      <c r="AO3195" s="19" t="n">
        <v>5</v>
      </c>
      <c r="AP3195" s="19" t="n">
        <v>7</v>
      </c>
      <c r="AQ3195" s="19"/>
      <c r="AR3195" s="19"/>
      <c r="AS3195" s="20" t="str">
        <f aca="false">HYPERLINK("http://www.openstreetmap.org/?mlat=36.014&amp;mlon=44.843&amp;zoom=12#map=12/36.014/44.843","Maplink1")</f>
        <v>Maplink1</v>
      </c>
      <c r="AT3195" s="20" t="str">
        <f aca="false">HYPERLINK("https://www.google.iq/maps/search/+36.014,44.843/@36.014,44.843,14z?hl=en","Maplink2")</f>
        <v>Maplink2</v>
      </c>
      <c r="AU3195" s="20" t="str">
        <f aca="false">HYPERLINK("http://www.bing.com/maps/?lvl=14&amp;sty=h&amp;cp=36.014~44.843&amp;sp=point.36.014_44.843","Maplink3")</f>
        <v>Maplink3</v>
      </c>
    </row>
    <row r="3196" customFormat="false" ht="15" hidden="false" customHeight="true" outlineLevel="0" collapsed="false">
      <c r="A3196" s="15" t="n">
        <v>3617</v>
      </c>
      <c r="B3196" s="16" t="s">
        <v>30</v>
      </c>
      <c r="C3196" s="16" t="s">
        <v>6096</v>
      </c>
      <c r="D3196" s="16" t="s">
        <v>6109</v>
      </c>
      <c r="E3196" s="17" t="s">
        <v>6110</v>
      </c>
      <c r="F3196" s="16" t="n">
        <v>35.8374644</v>
      </c>
      <c r="G3196" s="16" t="n">
        <v>45.07916162</v>
      </c>
      <c r="H3196" s="18" t="n">
        <v>23</v>
      </c>
      <c r="I3196" s="18" t="n">
        <v>138</v>
      </c>
      <c r="J3196" s="19" t="n">
        <v>8</v>
      </c>
      <c r="K3196" s="19" t="n">
        <v>11</v>
      </c>
      <c r="L3196" s="19"/>
      <c r="M3196" s="19"/>
      <c r="N3196" s="19"/>
      <c r="O3196" s="19"/>
      <c r="P3196" s="19"/>
      <c r="Q3196" s="19"/>
      <c r="R3196" s="19"/>
      <c r="S3196" s="19"/>
      <c r="T3196" s="19"/>
      <c r="U3196" s="19"/>
      <c r="V3196" s="19"/>
      <c r="W3196" s="19"/>
      <c r="X3196" s="19" t="n">
        <v>4</v>
      </c>
      <c r="Y3196" s="19"/>
      <c r="Z3196" s="19"/>
      <c r="AA3196" s="19"/>
      <c r="AB3196" s="19"/>
      <c r="AC3196" s="19"/>
      <c r="AD3196" s="19"/>
      <c r="AE3196" s="19"/>
      <c r="AF3196" s="19" t="n">
        <v>8</v>
      </c>
      <c r="AG3196" s="19"/>
      <c r="AH3196" s="19" t="n">
        <v>11</v>
      </c>
      <c r="AI3196" s="19" t="n">
        <v>4</v>
      </c>
      <c r="AJ3196" s="19"/>
      <c r="AK3196" s="19"/>
      <c r="AL3196" s="19" t="n">
        <v>7</v>
      </c>
      <c r="AM3196" s="19" t="n">
        <v>9</v>
      </c>
      <c r="AN3196" s="19" t="n">
        <v>4</v>
      </c>
      <c r="AO3196" s="19" t="n">
        <v>3</v>
      </c>
      <c r="AP3196" s="19"/>
      <c r="AQ3196" s="19"/>
      <c r="AR3196" s="19"/>
      <c r="AS3196" s="20" t="str">
        <f aca="false">HYPERLINK("http://www.openstreetmap.org/?mlat=35.8375&amp;mlon=45.0792&amp;zoom=12#map=12/35.8375/45.0792","Maplink1")</f>
        <v>Maplink1</v>
      </c>
      <c r="AT3196" s="20" t="str">
        <f aca="false">HYPERLINK("https://www.google.iq/maps/search/+35.8375,45.0792/@35.8375,45.0792,14z?hl=en","Maplink2")</f>
        <v>Maplink2</v>
      </c>
      <c r="AU3196" s="20" t="str">
        <f aca="false">HYPERLINK("http://www.bing.com/maps/?lvl=14&amp;sty=h&amp;cp=35.8375~45.0792&amp;sp=point.35.8375_45.0792","Maplink3")</f>
        <v>Maplink3</v>
      </c>
    </row>
    <row r="3197" customFormat="false" ht="15" hidden="false" customHeight="true" outlineLevel="0" collapsed="false">
      <c r="A3197" s="15" t="n">
        <v>4838</v>
      </c>
      <c r="B3197" s="16" t="s">
        <v>30</v>
      </c>
      <c r="C3197" s="16" t="s">
        <v>6096</v>
      </c>
      <c r="D3197" s="16" t="s">
        <v>6111</v>
      </c>
      <c r="E3197" s="17" t="s">
        <v>6112</v>
      </c>
      <c r="F3197" s="16" t="n">
        <v>35.78415191</v>
      </c>
      <c r="G3197" s="16" t="n">
        <v>45.11510159</v>
      </c>
      <c r="H3197" s="18" t="n">
        <v>6</v>
      </c>
      <c r="I3197" s="18" t="n">
        <v>36</v>
      </c>
      <c r="J3197" s="19"/>
      <c r="K3197" s="19"/>
      <c r="L3197" s="19"/>
      <c r="M3197" s="19"/>
      <c r="N3197" s="19"/>
      <c r="O3197" s="19"/>
      <c r="P3197" s="19"/>
      <c r="Q3197" s="19"/>
      <c r="R3197" s="19"/>
      <c r="S3197" s="19"/>
      <c r="T3197" s="19"/>
      <c r="U3197" s="19"/>
      <c r="V3197" s="19" t="n">
        <v>6</v>
      </c>
      <c r="W3197" s="19"/>
      <c r="X3197" s="19"/>
      <c r="Y3197" s="19"/>
      <c r="Z3197" s="19"/>
      <c r="AA3197" s="19"/>
      <c r="AB3197" s="19"/>
      <c r="AC3197" s="19"/>
      <c r="AD3197" s="19"/>
      <c r="AE3197" s="19"/>
      <c r="AF3197" s="19"/>
      <c r="AG3197" s="19"/>
      <c r="AH3197" s="19"/>
      <c r="AI3197" s="19" t="n">
        <v>6</v>
      </c>
      <c r="AJ3197" s="19"/>
      <c r="AK3197" s="19"/>
      <c r="AL3197" s="19"/>
      <c r="AM3197" s="19"/>
      <c r="AN3197" s="19" t="n">
        <v>6</v>
      </c>
      <c r="AO3197" s="19"/>
      <c r="AP3197" s="19"/>
      <c r="AQ3197" s="19"/>
      <c r="AR3197" s="19"/>
      <c r="AS3197" s="20" t="str">
        <f aca="false">HYPERLINK("http://www.openstreetmap.org/?mlat=35.7842&amp;mlon=45.1151&amp;zoom=12#map=12/35.7842/45.1151","Maplink1")</f>
        <v>Maplink1</v>
      </c>
      <c r="AT3197" s="20" t="str">
        <f aca="false">HYPERLINK("https://www.google.iq/maps/search/+35.7842,45.1151/@35.7842,45.1151,14z?hl=en","Maplink2")</f>
        <v>Maplink2</v>
      </c>
      <c r="AU3197" s="20" t="str">
        <f aca="false">HYPERLINK("http://www.bing.com/maps/?lvl=14&amp;sty=h&amp;cp=35.7842~45.1151&amp;sp=point.35.7842_45.1151","Maplink3")</f>
        <v>Maplink3</v>
      </c>
    </row>
    <row r="3198" customFormat="false" ht="15" hidden="false" customHeight="true" outlineLevel="0" collapsed="false">
      <c r="A3198" s="15" t="n">
        <v>23333</v>
      </c>
      <c r="B3198" s="16" t="s">
        <v>30</v>
      </c>
      <c r="C3198" s="16" t="s">
        <v>6096</v>
      </c>
      <c r="D3198" s="16" t="s">
        <v>6113</v>
      </c>
      <c r="E3198" s="17" t="s">
        <v>6114</v>
      </c>
      <c r="F3198" s="16" t="n">
        <v>35.73451</v>
      </c>
      <c r="G3198" s="16" t="n">
        <v>45.14621</v>
      </c>
      <c r="H3198" s="18" t="n">
        <v>39</v>
      </c>
      <c r="I3198" s="18" t="n">
        <v>234</v>
      </c>
      <c r="J3198" s="19" t="n">
        <v>21</v>
      </c>
      <c r="K3198" s="19" t="n">
        <v>6</v>
      </c>
      <c r="L3198" s="19" t="n">
        <v>2</v>
      </c>
      <c r="M3198" s="19"/>
      <c r="N3198" s="19"/>
      <c r="O3198" s="19" t="n">
        <v>6</v>
      </c>
      <c r="P3198" s="19"/>
      <c r="Q3198" s="19"/>
      <c r="R3198" s="19"/>
      <c r="S3198" s="19"/>
      <c r="T3198" s="19"/>
      <c r="U3198" s="19"/>
      <c r="V3198" s="19" t="n">
        <v>4</v>
      </c>
      <c r="W3198" s="19"/>
      <c r="X3198" s="19"/>
      <c r="Y3198" s="19"/>
      <c r="Z3198" s="19"/>
      <c r="AA3198" s="19"/>
      <c r="AB3198" s="19"/>
      <c r="AC3198" s="19"/>
      <c r="AD3198" s="19"/>
      <c r="AE3198" s="19"/>
      <c r="AF3198" s="19"/>
      <c r="AG3198" s="19"/>
      <c r="AH3198" s="19" t="n">
        <v>39</v>
      </c>
      <c r="AI3198" s="19"/>
      <c r="AJ3198" s="19"/>
      <c r="AK3198" s="19"/>
      <c r="AL3198" s="19" t="n">
        <v>8</v>
      </c>
      <c r="AM3198" s="19" t="n">
        <v>6</v>
      </c>
      <c r="AN3198" s="19" t="n">
        <v>6</v>
      </c>
      <c r="AO3198" s="19" t="n">
        <v>13</v>
      </c>
      <c r="AP3198" s="19" t="n">
        <v>6</v>
      </c>
      <c r="AQ3198" s="19"/>
      <c r="AR3198" s="19"/>
      <c r="AS3198" s="20" t="str">
        <f aca="false">HYPERLINK("http://www.openstreetmap.org/?mlat=35.7345&amp;mlon=45.1462&amp;zoom=12#map=12/35.7345/45.1462","Maplink1")</f>
        <v>Maplink1</v>
      </c>
      <c r="AT3198" s="20" t="str">
        <f aca="false">HYPERLINK("https://www.google.iq/maps/search/+35.7345,45.1462/@35.7345,45.1462,14z?hl=en","Maplink2")</f>
        <v>Maplink2</v>
      </c>
      <c r="AU3198" s="20" t="str">
        <f aca="false">HYPERLINK("http://www.bing.com/maps/?lvl=14&amp;sty=h&amp;cp=35.7345~45.1462&amp;sp=point.35.7345_45.1462","Maplink3")</f>
        <v>Maplink3</v>
      </c>
    </row>
    <row r="3199" customFormat="false" ht="15" hidden="false" customHeight="true" outlineLevel="0" collapsed="false">
      <c r="A3199" s="15" t="n">
        <v>3613</v>
      </c>
      <c r="B3199" s="16" t="s">
        <v>30</v>
      </c>
      <c r="C3199" s="16" t="s">
        <v>6096</v>
      </c>
      <c r="D3199" s="16" t="s">
        <v>6115</v>
      </c>
      <c r="E3199" s="17" t="s">
        <v>6116</v>
      </c>
      <c r="F3199" s="16" t="n">
        <v>35.90903406</v>
      </c>
      <c r="G3199" s="16" t="n">
        <v>44.98074287</v>
      </c>
      <c r="H3199" s="18" t="n">
        <v>191</v>
      </c>
      <c r="I3199" s="18" t="n">
        <v>1146</v>
      </c>
      <c r="J3199" s="19" t="n">
        <v>140</v>
      </c>
      <c r="K3199" s="19" t="n">
        <v>24</v>
      </c>
      <c r="L3199" s="19" t="n">
        <v>4</v>
      </c>
      <c r="M3199" s="19"/>
      <c r="N3199" s="19"/>
      <c r="O3199" s="19" t="n">
        <v>3</v>
      </c>
      <c r="P3199" s="19"/>
      <c r="Q3199" s="19"/>
      <c r="R3199" s="19"/>
      <c r="S3199" s="19"/>
      <c r="T3199" s="19"/>
      <c r="U3199" s="19"/>
      <c r="V3199" s="19" t="n">
        <v>9</v>
      </c>
      <c r="W3199" s="19"/>
      <c r="X3199" s="19" t="n">
        <v>11</v>
      </c>
      <c r="Y3199" s="19"/>
      <c r="Z3199" s="19"/>
      <c r="AA3199" s="19"/>
      <c r="AB3199" s="19"/>
      <c r="AC3199" s="19"/>
      <c r="AD3199" s="19"/>
      <c r="AE3199" s="19"/>
      <c r="AF3199" s="19"/>
      <c r="AG3199" s="19"/>
      <c r="AH3199" s="19" t="n">
        <v>191</v>
      </c>
      <c r="AI3199" s="19"/>
      <c r="AJ3199" s="19"/>
      <c r="AK3199" s="19"/>
      <c r="AL3199" s="19" t="n">
        <v>71</v>
      </c>
      <c r="AM3199" s="19" t="n">
        <v>41</v>
      </c>
      <c r="AN3199" s="19" t="n">
        <v>30</v>
      </c>
      <c r="AO3199" s="19" t="n">
        <v>39</v>
      </c>
      <c r="AP3199" s="19" t="n">
        <v>10</v>
      </c>
      <c r="AQ3199" s="19"/>
      <c r="AR3199" s="19"/>
      <c r="AS3199" s="20" t="str">
        <f aca="false">HYPERLINK("http://www.openstreetmap.org/?mlat=35.909&amp;mlon=44.9807&amp;zoom=12#map=12/35.909/44.9807","Maplink1")</f>
        <v>Maplink1</v>
      </c>
      <c r="AT3199" s="20" t="str">
        <f aca="false">HYPERLINK("https://www.google.iq/maps/search/+35.909,44.9807/@35.909,44.9807,14z?hl=en","Maplink2")</f>
        <v>Maplink2</v>
      </c>
      <c r="AU3199" s="20" t="str">
        <f aca="false">HYPERLINK("http://www.bing.com/maps/?lvl=14&amp;sty=h&amp;cp=35.909~44.9807&amp;sp=point.35.909_44.9807","Maplink3")</f>
        <v>Maplink3</v>
      </c>
    </row>
    <row r="3200" customFormat="false" ht="15" hidden="false" customHeight="true" outlineLevel="0" collapsed="false">
      <c r="A3200" s="15" t="n">
        <v>24213</v>
      </c>
      <c r="B3200" s="16" t="s">
        <v>30</v>
      </c>
      <c r="C3200" s="16" t="s">
        <v>6096</v>
      </c>
      <c r="D3200" s="16" t="s">
        <v>6090</v>
      </c>
      <c r="E3200" s="17" t="s">
        <v>6117</v>
      </c>
      <c r="F3200" s="16" t="n">
        <v>35.72600428</v>
      </c>
      <c r="G3200" s="16" t="n">
        <v>45.14791118</v>
      </c>
      <c r="H3200" s="18" t="n">
        <v>47</v>
      </c>
      <c r="I3200" s="18" t="n">
        <v>282</v>
      </c>
      <c r="J3200" s="19" t="n">
        <v>36</v>
      </c>
      <c r="K3200" s="19"/>
      <c r="L3200" s="19" t="n">
        <v>4</v>
      </c>
      <c r="M3200" s="19"/>
      <c r="N3200" s="19"/>
      <c r="O3200" s="19"/>
      <c r="P3200" s="19"/>
      <c r="Q3200" s="19"/>
      <c r="R3200" s="19"/>
      <c r="S3200" s="19"/>
      <c r="T3200" s="19"/>
      <c r="U3200" s="19"/>
      <c r="V3200" s="19" t="n">
        <v>7</v>
      </c>
      <c r="W3200" s="19"/>
      <c r="X3200" s="19"/>
      <c r="Y3200" s="19"/>
      <c r="Z3200" s="19"/>
      <c r="AA3200" s="19"/>
      <c r="AB3200" s="19"/>
      <c r="AC3200" s="19"/>
      <c r="AD3200" s="19"/>
      <c r="AE3200" s="19"/>
      <c r="AF3200" s="19"/>
      <c r="AG3200" s="19"/>
      <c r="AH3200" s="19" t="n">
        <v>47</v>
      </c>
      <c r="AI3200" s="19"/>
      <c r="AJ3200" s="19"/>
      <c r="AK3200" s="19"/>
      <c r="AL3200" s="19" t="n">
        <v>4</v>
      </c>
      <c r="AM3200" s="19" t="n">
        <v>9</v>
      </c>
      <c r="AN3200" s="19" t="n">
        <v>16</v>
      </c>
      <c r="AO3200" s="19" t="n">
        <v>10</v>
      </c>
      <c r="AP3200" s="19" t="n">
        <v>8</v>
      </c>
      <c r="AQ3200" s="19"/>
      <c r="AR3200" s="19"/>
      <c r="AS3200" s="20" t="str">
        <f aca="false">HYPERLINK("http://www.openstreetmap.org/?mlat=35.726&amp;mlon=45.1479&amp;zoom=12#map=12/35.726/45.1479","Maplink1")</f>
        <v>Maplink1</v>
      </c>
      <c r="AT3200" s="20" t="str">
        <f aca="false">HYPERLINK("https://www.google.iq/maps/search/+35.726,45.1479/@35.726,45.1479,14z?hl=en","Maplink2")</f>
        <v>Maplink2</v>
      </c>
      <c r="AU3200" s="20" t="str">
        <f aca="false">HYPERLINK("http://www.bing.com/maps/?lvl=14&amp;sty=h&amp;cp=35.726~45.1479&amp;sp=point.35.726_45.1479","Maplink3")</f>
        <v>Maplink3</v>
      </c>
    </row>
    <row r="3201" customFormat="false" ht="15" hidden="false" customHeight="true" outlineLevel="0" collapsed="false">
      <c r="A3201" s="15" t="n">
        <v>23923</v>
      </c>
      <c r="B3201" s="16" t="s">
        <v>30</v>
      </c>
      <c r="C3201" s="16" t="s">
        <v>6096</v>
      </c>
      <c r="D3201" s="16" t="s">
        <v>6118</v>
      </c>
      <c r="E3201" s="17" t="s">
        <v>6119</v>
      </c>
      <c r="F3201" s="16" t="n">
        <v>35.92809732</v>
      </c>
      <c r="G3201" s="16" t="n">
        <v>44.96175339</v>
      </c>
      <c r="H3201" s="18" t="n">
        <v>99</v>
      </c>
      <c r="I3201" s="18" t="n">
        <v>594</v>
      </c>
      <c r="J3201" s="19" t="n">
        <v>89</v>
      </c>
      <c r="K3201" s="19"/>
      <c r="L3201" s="19" t="n">
        <v>2</v>
      </c>
      <c r="M3201" s="19"/>
      <c r="N3201" s="19"/>
      <c r="O3201" s="19" t="n">
        <v>2</v>
      </c>
      <c r="P3201" s="19"/>
      <c r="Q3201" s="19"/>
      <c r="R3201" s="19"/>
      <c r="S3201" s="19"/>
      <c r="T3201" s="19"/>
      <c r="U3201" s="19"/>
      <c r="V3201" s="19" t="n">
        <v>6</v>
      </c>
      <c r="W3201" s="19"/>
      <c r="X3201" s="19"/>
      <c r="Y3201" s="19"/>
      <c r="Z3201" s="19"/>
      <c r="AA3201" s="19"/>
      <c r="AB3201" s="19"/>
      <c r="AC3201" s="19"/>
      <c r="AD3201" s="19"/>
      <c r="AE3201" s="19"/>
      <c r="AF3201" s="19"/>
      <c r="AG3201" s="19"/>
      <c r="AH3201" s="19" t="n">
        <v>95</v>
      </c>
      <c r="AI3201" s="19" t="n">
        <v>4</v>
      </c>
      <c r="AJ3201" s="19"/>
      <c r="AK3201" s="19"/>
      <c r="AL3201" s="19" t="n">
        <v>54</v>
      </c>
      <c r="AM3201" s="19" t="n">
        <v>4</v>
      </c>
      <c r="AN3201" s="19" t="n">
        <v>6</v>
      </c>
      <c r="AO3201" s="19" t="n">
        <v>20</v>
      </c>
      <c r="AP3201" s="19" t="n">
        <v>15</v>
      </c>
      <c r="AQ3201" s="19"/>
      <c r="AR3201" s="19"/>
      <c r="AS3201" s="20" t="str">
        <f aca="false">HYPERLINK("http://www.openstreetmap.org/?mlat=35.9281&amp;mlon=44.9618&amp;zoom=12#map=12/35.9281/44.9618","Maplink1")</f>
        <v>Maplink1</v>
      </c>
      <c r="AT3201" s="20" t="str">
        <f aca="false">HYPERLINK("https://www.google.iq/maps/search/+35.9281,44.9618/@35.9281,44.9618,14z?hl=en","Maplink2")</f>
        <v>Maplink2</v>
      </c>
      <c r="AU3201" s="20" t="str">
        <f aca="false">HYPERLINK("http://www.bing.com/maps/?lvl=14&amp;sty=h&amp;cp=35.9281~44.9618&amp;sp=point.35.9281_44.9618","Maplink3")</f>
        <v>Maplink3</v>
      </c>
    </row>
    <row r="3202" customFormat="false" ht="15" hidden="false" customHeight="true" outlineLevel="0" collapsed="false">
      <c r="A3202" s="15" t="n">
        <v>6305</v>
      </c>
      <c r="B3202" s="16" t="s">
        <v>30</v>
      </c>
      <c r="C3202" s="16" t="s">
        <v>6096</v>
      </c>
      <c r="D3202" s="16" t="s">
        <v>6120</v>
      </c>
      <c r="E3202" s="17" t="s">
        <v>2834</v>
      </c>
      <c r="F3202" s="16" t="n">
        <v>35.73504571</v>
      </c>
      <c r="G3202" s="16" t="n">
        <v>45.1366914</v>
      </c>
      <c r="H3202" s="18" t="n">
        <v>34</v>
      </c>
      <c r="I3202" s="18" t="n">
        <v>204</v>
      </c>
      <c r="J3202" s="19" t="n">
        <v>16</v>
      </c>
      <c r="K3202" s="19" t="n">
        <v>1</v>
      </c>
      <c r="L3202" s="19" t="n">
        <v>3</v>
      </c>
      <c r="M3202" s="19"/>
      <c r="N3202" s="19"/>
      <c r="O3202" s="19" t="n">
        <v>7</v>
      </c>
      <c r="P3202" s="19"/>
      <c r="Q3202" s="19"/>
      <c r="R3202" s="19"/>
      <c r="S3202" s="19"/>
      <c r="T3202" s="19"/>
      <c r="U3202" s="19"/>
      <c r="V3202" s="19" t="n">
        <v>4</v>
      </c>
      <c r="W3202" s="19"/>
      <c r="X3202" s="19" t="n">
        <v>3</v>
      </c>
      <c r="Y3202" s="19"/>
      <c r="Z3202" s="19"/>
      <c r="AA3202" s="19"/>
      <c r="AB3202" s="19"/>
      <c r="AC3202" s="19"/>
      <c r="AD3202" s="19"/>
      <c r="AE3202" s="19"/>
      <c r="AF3202" s="19"/>
      <c r="AG3202" s="19"/>
      <c r="AH3202" s="19" t="n">
        <v>34</v>
      </c>
      <c r="AI3202" s="19"/>
      <c r="AJ3202" s="19"/>
      <c r="AK3202" s="19"/>
      <c r="AL3202" s="19" t="n">
        <v>10</v>
      </c>
      <c r="AM3202" s="19" t="n">
        <v>3</v>
      </c>
      <c r="AN3202" s="19" t="n">
        <v>4</v>
      </c>
      <c r="AO3202" s="19" t="n">
        <v>10</v>
      </c>
      <c r="AP3202" s="19" t="n">
        <v>7</v>
      </c>
      <c r="AQ3202" s="19"/>
      <c r="AR3202" s="19"/>
      <c r="AS3202" s="20" t="str">
        <f aca="false">HYPERLINK("http://www.openstreetmap.org/?mlat=35.735&amp;mlon=45.1367&amp;zoom=12#map=12/35.735/45.1367","Maplink1")</f>
        <v>Maplink1</v>
      </c>
      <c r="AT3202" s="20" t="str">
        <f aca="false">HYPERLINK("https://www.google.iq/maps/search/+35.735,45.1367/@35.735,45.1367,14z?hl=en","Maplink2")</f>
        <v>Maplink2</v>
      </c>
      <c r="AU3202" s="20" t="str">
        <f aca="false">HYPERLINK("http://www.bing.com/maps/?lvl=14&amp;sty=h&amp;cp=35.735~45.1367&amp;sp=point.35.735_45.1367","Maplink3")</f>
        <v>Maplink3</v>
      </c>
    </row>
    <row r="3203" customFormat="false" ht="15" hidden="false" customHeight="true" outlineLevel="0" collapsed="false">
      <c r="A3203" s="15" t="n">
        <v>6306</v>
      </c>
      <c r="B3203" s="16" t="s">
        <v>30</v>
      </c>
      <c r="C3203" s="16" t="s">
        <v>6096</v>
      </c>
      <c r="D3203" s="16" t="s">
        <v>3574</v>
      </c>
      <c r="E3203" s="17" t="s">
        <v>6121</v>
      </c>
      <c r="F3203" s="16" t="n">
        <v>35.72923</v>
      </c>
      <c r="G3203" s="16" t="n">
        <v>45.14605</v>
      </c>
      <c r="H3203" s="18" t="n">
        <v>39</v>
      </c>
      <c r="I3203" s="18" t="n">
        <v>234</v>
      </c>
      <c r="J3203" s="19" t="n">
        <v>25</v>
      </c>
      <c r="K3203" s="19" t="n">
        <v>3</v>
      </c>
      <c r="L3203" s="19"/>
      <c r="M3203" s="19"/>
      <c r="N3203" s="19"/>
      <c r="O3203" s="19" t="n">
        <v>5</v>
      </c>
      <c r="P3203" s="19"/>
      <c r="Q3203" s="19"/>
      <c r="R3203" s="19"/>
      <c r="S3203" s="19"/>
      <c r="T3203" s="19"/>
      <c r="U3203" s="19"/>
      <c r="V3203" s="19" t="n">
        <v>3</v>
      </c>
      <c r="W3203" s="19"/>
      <c r="X3203" s="19" t="n">
        <v>3</v>
      </c>
      <c r="Y3203" s="19"/>
      <c r="Z3203" s="19"/>
      <c r="AA3203" s="19"/>
      <c r="AB3203" s="19"/>
      <c r="AC3203" s="19"/>
      <c r="AD3203" s="19"/>
      <c r="AE3203" s="19"/>
      <c r="AF3203" s="19"/>
      <c r="AG3203" s="19"/>
      <c r="AH3203" s="19" t="n">
        <v>39</v>
      </c>
      <c r="AI3203" s="19"/>
      <c r="AJ3203" s="19"/>
      <c r="AK3203" s="19"/>
      <c r="AL3203" s="19" t="n">
        <v>7</v>
      </c>
      <c r="AM3203" s="19" t="n">
        <v>6</v>
      </c>
      <c r="AN3203" s="19" t="n">
        <v>7</v>
      </c>
      <c r="AO3203" s="19" t="n">
        <v>15</v>
      </c>
      <c r="AP3203" s="19" t="n">
        <v>4</v>
      </c>
      <c r="AQ3203" s="19"/>
      <c r="AR3203" s="19"/>
      <c r="AS3203" s="20" t="str">
        <f aca="false">HYPERLINK("http://www.openstreetmap.org/?mlat=35.7292&amp;mlon=45.1461&amp;zoom=12#map=12/35.7292/45.1461","Maplink1")</f>
        <v>Maplink1</v>
      </c>
      <c r="AT3203" s="20" t="str">
        <f aca="false">HYPERLINK("https://www.google.iq/maps/search/+35.7292,45.1461/@35.7292,45.1461,14z?hl=en","Maplink2")</f>
        <v>Maplink2</v>
      </c>
      <c r="AU3203" s="20" t="str">
        <f aca="false">HYPERLINK("http://www.bing.com/maps/?lvl=14&amp;sty=h&amp;cp=35.7292~45.1461&amp;sp=point.35.7292_45.1461","Maplink3")</f>
        <v>Maplink3</v>
      </c>
    </row>
    <row r="3204" customFormat="false" ht="15" hidden="false" customHeight="true" outlineLevel="0" collapsed="false">
      <c r="A3204" s="15" t="n">
        <v>3605</v>
      </c>
      <c r="B3204" s="16" t="s">
        <v>30</v>
      </c>
      <c r="C3204" s="16" t="s">
        <v>6096</v>
      </c>
      <c r="D3204" s="16" t="s">
        <v>6122</v>
      </c>
      <c r="E3204" s="17" t="s">
        <v>6123</v>
      </c>
      <c r="F3204" s="16" t="n">
        <v>35.86233399</v>
      </c>
      <c r="G3204" s="16" t="n">
        <v>45.10528621</v>
      </c>
      <c r="H3204" s="18" t="n">
        <v>1</v>
      </c>
      <c r="I3204" s="18" t="n">
        <v>6</v>
      </c>
      <c r="J3204" s="19"/>
      <c r="K3204" s="19" t="n">
        <v>1</v>
      </c>
      <c r="L3204" s="19"/>
      <c r="M3204" s="19"/>
      <c r="N3204" s="19"/>
      <c r="O3204" s="19"/>
      <c r="P3204" s="19"/>
      <c r="Q3204" s="19"/>
      <c r="R3204" s="19"/>
      <c r="S3204" s="19"/>
      <c r="T3204" s="19"/>
      <c r="U3204" s="19"/>
      <c r="V3204" s="19"/>
      <c r="W3204" s="19"/>
      <c r="X3204" s="19"/>
      <c r="Y3204" s="19"/>
      <c r="Z3204" s="19"/>
      <c r="AA3204" s="19"/>
      <c r="AB3204" s="19"/>
      <c r="AC3204" s="19"/>
      <c r="AD3204" s="19"/>
      <c r="AE3204" s="19"/>
      <c r="AF3204" s="19"/>
      <c r="AG3204" s="19"/>
      <c r="AH3204" s="19" t="n">
        <v>1</v>
      </c>
      <c r="AI3204" s="19"/>
      <c r="AJ3204" s="19"/>
      <c r="AK3204" s="19"/>
      <c r="AL3204" s="19" t="n">
        <v>1</v>
      </c>
      <c r="AM3204" s="19"/>
      <c r="AN3204" s="19"/>
      <c r="AO3204" s="19"/>
      <c r="AP3204" s="19"/>
      <c r="AQ3204" s="19"/>
      <c r="AR3204" s="19"/>
      <c r="AS3204" s="20" t="str">
        <f aca="false">HYPERLINK("http://www.openstreetmap.org/?mlat=35.8623&amp;mlon=45.1053&amp;zoom=12#map=12/35.8623/45.1053","Maplink1")</f>
        <v>Maplink1</v>
      </c>
      <c r="AT3204" s="20" t="str">
        <f aca="false">HYPERLINK("https://www.google.iq/maps/search/+35.8623,45.1053/@35.8623,45.1053,14z?hl=en","Maplink2")</f>
        <v>Maplink2</v>
      </c>
      <c r="AU3204" s="20" t="str">
        <f aca="false">HYPERLINK("http://www.bing.com/maps/?lvl=14&amp;sty=h&amp;cp=35.8623~45.1053&amp;sp=point.35.8623_45.1053","Maplink3")</f>
        <v>Maplink3</v>
      </c>
    </row>
    <row r="3205" customFormat="false" ht="15" hidden="false" customHeight="true" outlineLevel="0" collapsed="false">
      <c r="A3205" s="15" t="n">
        <v>3593</v>
      </c>
      <c r="B3205" s="16" t="s">
        <v>30</v>
      </c>
      <c r="C3205" s="16" t="s">
        <v>6096</v>
      </c>
      <c r="D3205" s="16" t="s">
        <v>6124</v>
      </c>
      <c r="E3205" s="17" t="s">
        <v>6125</v>
      </c>
      <c r="F3205" s="16" t="n">
        <v>35.85999857</v>
      </c>
      <c r="G3205" s="16" t="n">
        <v>45.07974648</v>
      </c>
      <c r="H3205" s="18" t="n">
        <v>7</v>
      </c>
      <c r="I3205" s="18" t="n">
        <v>42</v>
      </c>
      <c r="J3205" s="19" t="n">
        <v>4</v>
      </c>
      <c r="K3205" s="19" t="n">
        <v>3</v>
      </c>
      <c r="L3205" s="19"/>
      <c r="M3205" s="19"/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/>
      <c r="AA3205" s="19"/>
      <c r="AB3205" s="19"/>
      <c r="AC3205" s="19"/>
      <c r="AD3205" s="19"/>
      <c r="AE3205" s="19"/>
      <c r="AF3205" s="19"/>
      <c r="AG3205" s="19"/>
      <c r="AH3205" s="19" t="n">
        <v>7</v>
      </c>
      <c r="AI3205" s="19"/>
      <c r="AJ3205" s="19"/>
      <c r="AK3205" s="19"/>
      <c r="AL3205" s="19" t="n">
        <v>4</v>
      </c>
      <c r="AM3205" s="19" t="n">
        <v>3</v>
      </c>
      <c r="AN3205" s="19"/>
      <c r="AO3205" s="19"/>
      <c r="AP3205" s="19"/>
      <c r="AQ3205" s="19"/>
      <c r="AR3205" s="19"/>
      <c r="AS3205" s="20" t="str">
        <f aca="false">HYPERLINK("http://www.openstreetmap.org/?mlat=35.86&amp;mlon=45.0797&amp;zoom=12#map=12/35.86/45.0797","Maplink1")</f>
        <v>Maplink1</v>
      </c>
      <c r="AT3205" s="20" t="str">
        <f aca="false">HYPERLINK("https://www.google.iq/maps/search/+35.86,45.0797/@35.86,45.0797,14z?hl=en","Maplink2")</f>
        <v>Maplink2</v>
      </c>
      <c r="AU3205" s="20" t="str">
        <f aca="false">HYPERLINK("http://www.bing.com/maps/?lvl=14&amp;sty=h&amp;cp=35.86~45.0797&amp;sp=point.35.86_45.0797","Maplink3")</f>
        <v>Maplink3</v>
      </c>
    </row>
    <row r="3206" customFormat="false" ht="15" hidden="false" customHeight="true" outlineLevel="0" collapsed="false">
      <c r="A3206" s="15" t="n">
        <v>24554</v>
      </c>
      <c r="B3206" s="16" t="s">
        <v>30</v>
      </c>
      <c r="C3206" s="16" t="s">
        <v>6096</v>
      </c>
      <c r="D3206" s="16" t="s">
        <v>6126</v>
      </c>
      <c r="E3206" s="17" t="s">
        <v>6127</v>
      </c>
      <c r="F3206" s="16" t="n">
        <v>35.72422453</v>
      </c>
      <c r="G3206" s="16" t="n">
        <v>45.14273149</v>
      </c>
      <c r="H3206" s="18" t="n">
        <v>41</v>
      </c>
      <c r="I3206" s="18" t="n">
        <v>246</v>
      </c>
      <c r="J3206" s="19" t="n">
        <v>7</v>
      </c>
      <c r="K3206" s="19" t="n">
        <v>18</v>
      </c>
      <c r="L3206" s="19" t="n">
        <v>3</v>
      </c>
      <c r="M3206" s="19"/>
      <c r="N3206" s="19"/>
      <c r="O3206" s="19" t="n">
        <v>4</v>
      </c>
      <c r="P3206" s="19"/>
      <c r="Q3206" s="19"/>
      <c r="R3206" s="19"/>
      <c r="S3206" s="19"/>
      <c r="T3206" s="19"/>
      <c r="U3206" s="19"/>
      <c r="V3206" s="19" t="n">
        <v>9</v>
      </c>
      <c r="W3206" s="19"/>
      <c r="X3206" s="19"/>
      <c r="Y3206" s="19"/>
      <c r="Z3206" s="19"/>
      <c r="AA3206" s="19"/>
      <c r="AB3206" s="19"/>
      <c r="AC3206" s="19"/>
      <c r="AD3206" s="19"/>
      <c r="AE3206" s="19"/>
      <c r="AF3206" s="19"/>
      <c r="AG3206" s="19"/>
      <c r="AH3206" s="19" t="n">
        <v>41</v>
      </c>
      <c r="AI3206" s="19"/>
      <c r="AJ3206" s="19"/>
      <c r="AK3206" s="19"/>
      <c r="AL3206" s="19" t="n">
        <v>1</v>
      </c>
      <c r="AM3206" s="19" t="n">
        <v>2</v>
      </c>
      <c r="AN3206" s="19" t="n">
        <v>9</v>
      </c>
      <c r="AO3206" s="19" t="n">
        <v>24</v>
      </c>
      <c r="AP3206" s="19" t="n">
        <v>5</v>
      </c>
      <c r="AQ3206" s="19"/>
      <c r="AR3206" s="19"/>
      <c r="AS3206" s="20" t="str">
        <f aca="false">HYPERLINK("http://www.openstreetmap.org/?mlat=35.7242&amp;mlon=45.1427&amp;zoom=12#map=12/35.7242/45.1427","Maplink1")</f>
        <v>Maplink1</v>
      </c>
      <c r="AT3206" s="20" t="str">
        <f aca="false">HYPERLINK("https://www.google.iq/maps/search/+35.7242,45.1427/@35.7242,45.1427,14z?hl=en","Maplink2")</f>
        <v>Maplink2</v>
      </c>
      <c r="AU3206" s="20" t="str">
        <f aca="false">HYPERLINK("http://www.bing.com/maps/?lvl=14&amp;sty=h&amp;cp=35.7242~45.1427&amp;sp=point.35.7242_45.1427","Maplink3")</f>
        <v>Maplink3</v>
      </c>
    </row>
    <row r="3207" customFormat="false" ht="15" hidden="false" customHeight="true" outlineLevel="0" collapsed="false">
      <c r="A3207" s="15" t="n">
        <v>5068</v>
      </c>
      <c r="B3207" s="16" t="s">
        <v>30</v>
      </c>
      <c r="C3207" s="16" t="s">
        <v>6096</v>
      </c>
      <c r="D3207" s="16" t="s">
        <v>6128</v>
      </c>
      <c r="E3207" s="17" t="s">
        <v>6129</v>
      </c>
      <c r="F3207" s="16" t="n">
        <v>35.95557774</v>
      </c>
      <c r="G3207" s="16" t="n">
        <v>44.98862648</v>
      </c>
      <c r="H3207" s="18" t="n">
        <v>67</v>
      </c>
      <c r="I3207" s="18" t="n">
        <v>402</v>
      </c>
      <c r="J3207" s="19" t="n">
        <v>60</v>
      </c>
      <c r="K3207" s="19" t="n">
        <v>7</v>
      </c>
      <c r="L3207" s="19"/>
      <c r="M3207" s="19"/>
      <c r="N3207" s="19"/>
      <c r="O3207" s="19"/>
      <c r="P3207" s="19"/>
      <c r="Q3207" s="19"/>
      <c r="R3207" s="19"/>
      <c r="S3207" s="19"/>
      <c r="T3207" s="19"/>
      <c r="U3207" s="19"/>
      <c r="V3207" s="19"/>
      <c r="W3207" s="19"/>
      <c r="X3207" s="19"/>
      <c r="Y3207" s="19"/>
      <c r="Z3207" s="19"/>
      <c r="AA3207" s="19"/>
      <c r="AB3207" s="19"/>
      <c r="AC3207" s="19"/>
      <c r="AD3207" s="19"/>
      <c r="AE3207" s="19"/>
      <c r="AF3207" s="19"/>
      <c r="AG3207" s="19"/>
      <c r="AH3207" s="19" t="n">
        <v>67</v>
      </c>
      <c r="AI3207" s="19"/>
      <c r="AJ3207" s="19"/>
      <c r="AK3207" s="19"/>
      <c r="AL3207" s="19" t="n">
        <v>25</v>
      </c>
      <c r="AM3207" s="19" t="n">
        <v>19</v>
      </c>
      <c r="AN3207" s="19"/>
      <c r="AO3207" s="19" t="n">
        <v>14</v>
      </c>
      <c r="AP3207" s="19" t="n">
        <v>9</v>
      </c>
      <c r="AQ3207" s="19"/>
      <c r="AR3207" s="19"/>
      <c r="AS3207" s="20" t="str">
        <f aca="false">HYPERLINK("http://www.openstreetmap.org/?mlat=35.9556&amp;mlon=44.9886&amp;zoom=12#map=12/35.9556/44.9886","Maplink1")</f>
        <v>Maplink1</v>
      </c>
      <c r="AT3207" s="20" t="str">
        <f aca="false">HYPERLINK("https://www.google.iq/maps/search/+35.9556,44.9886/@35.9556,44.9886,14z?hl=en","Maplink2")</f>
        <v>Maplink2</v>
      </c>
      <c r="AU3207" s="20" t="str">
        <f aca="false">HYPERLINK("http://www.bing.com/maps/?lvl=14&amp;sty=h&amp;cp=35.9556~44.9886&amp;sp=point.35.9556_44.9886","Maplink3")</f>
        <v>Maplink3</v>
      </c>
    </row>
    <row r="3208" customFormat="false" ht="15" hidden="false" customHeight="true" outlineLevel="0" collapsed="false">
      <c r="A3208" s="15" t="n">
        <v>22460</v>
      </c>
      <c r="B3208" s="16" t="s">
        <v>30</v>
      </c>
      <c r="C3208" s="16" t="s">
        <v>6130</v>
      </c>
      <c r="D3208" s="16" t="s">
        <v>6131</v>
      </c>
      <c r="E3208" s="17" t="s">
        <v>6132</v>
      </c>
      <c r="F3208" s="16" t="n">
        <v>35.29912624</v>
      </c>
      <c r="G3208" s="16" t="n">
        <v>46.03315807</v>
      </c>
      <c r="H3208" s="18" t="n">
        <v>20</v>
      </c>
      <c r="I3208" s="18" t="n">
        <v>120</v>
      </c>
      <c r="J3208" s="19" t="n">
        <v>19</v>
      </c>
      <c r="K3208" s="19"/>
      <c r="L3208" s="19"/>
      <c r="M3208" s="19"/>
      <c r="N3208" s="19"/>
      <c r="O3208" s="19" t="n">
        <v>1</v>
      </c>
      <c r="P3208" s="19"/>
      <c r="Q3208" s="19"/>
      <c r="R3208" s="19"/>
      <c r="S3208" s="19"/>
      <c r="T3208" s="19"/>
      <c r="U3208" s="19"/>
      <c r="V3208" s="19"/>
      <c r="W3208" s="19"/>
      <c r="X3208" s="19"/>
      <c r="Y3208" s="19"/>
      <c r="Z3208" s="19"/>
      <c r="AA3208" s="19"/>
      <c r="AB3208" s="19"/>
      <c r="AC3208" s="19"/>
      <c r="AD3208" s="19"/>
      <c r="AE3208" s="19"/>
      <c r="AF3208" s="19"/>
      <c r="AG3208" s="19"/>
      <c r="AH3208" s="19" t="n">
        <v>20</v>
      </c>
      <c r="AI3208" s="19"/>
      <c r="AJ3208" s="19"/>
      <c r="AK3208" s="19"/>
      <c r="AL3208" s="19"/>
      <c r="AM3208" s="19" t="n">
        <v>7</v>
      </c>
      <c r="AN3208" s="19"/>
      <c r="AO3208" s="19" t="n">
        <v>2</v>
      </c>
      <c r="AP3208" s="19" t="n">
        <v>10</v>
      </c>
      <c r="AQ3208" s="19" t="n">
        <v>1</v>
      </c>
      <c r="AR3208" s="19"/>
      <c r="AS3208" s="20" t="str">
        <f aca="false">HYPERLINK("http://www.openstreetmap.org/?mlat=35.2991&amp;mlon=46.0332&amp;zoom=12#map=12/35.2991/46.0332","Maplink1")</f>
        <v>Maplink1</v>
      </c>
      <c r="AT3208" s="20" t="str">
        <f aca="false">HYPERLINK("https://www.google.iq/maps/search/+35.2991,46.0332/@35.2991,46.0332,14z?hl=en","Maplink2")</f>
        <v>Maplink2</v>
      </c>
      <c r="AU3208" s="20" t="str">
        <f aca="false">HYPERLINK("http://www.bing.com/maps/?lvl=14&amp;sty=h&amp;cp=35.2991~46.0332&amp;sp=point.35.2991_46.0332","Maplink3")</f>
        <v>Maplink3</v>
      </c>
    </row>
    <row r="3209" customFormat="false" ht="15" hidden="false" customHeight="true" outlineLevel="0" collapsed="false">
      <c r="A3209" s="15" t="n">
        <v>3819</v>
      </c>
      <c r="B3209" s="16" t="s">
        <v>30</v>
      </c>
      <c r="C3209" s="16" t="s">
        <v>6130</v>
      </c>
      <c r="D3209" s="16" t="s">
        <v>2749</v>
      </c>
      <c r="E3209" s="17" t="s">
        <v>3410</v>
      </c>
      <c r="F3209" s="16" t="n">
        <v>35.30171602</v>
      </c>
      <c r="G3209" s="16" t="n">
        <v>46.03367764</v>
      </c>
      <c r="H3209" s="18" t="n">
        <v>17</v>
      </c>
      <c r="I3209" s="18" t="n">
        <v>102</v>
      </c>
      <c r="J3209" s="19" t="n">
        <v>17</v>
      </c>
      <c r="K3209" s="19"/>
      <c r="L3209" s="19"/>
      <c r="M3209" s="19"/>
      <c r="N3209" s="19"/>
      <c r="O3209" s="19"/>
      <c r="P3209" s="19"/>
      <c r="Q3209" s="19"/>
      <c r="R3209" s="19"/>
      <c r="S3209" s="19"/>
      <c r="T3209" s="19"/>
      <c r="U3209" s="19"/>
      <c r="V3209" s="19"/>
      <c r="W3209" s="19"/>
      <c r="X3209" s="19"/>
      <c r="Y3209" s="19"/>
      <c r="Z3209" s="19"/>
      <c r="AA3209" s="19"/>
      <c r="AB3209" s="19"/>
      <c r="AC3209" s="19"/>
      <c r="AD3209" s="19"/>
      <c r="AE3209" s="19"/>
      <c r="AF3209" s="19"/>
      <c r="AG3209" s="19"/>
      <c r="AH3209" s="19" t="n">
        <v>17</v>
      </c>
      <c r="AI3209" s="19"/>
      <c r="AJ3209" s="19"/>
      <c r="AK3209" s="19"/>
      <c r="AL3209" s="19"/>
      <c r="AM3209" s="19" t="n">
        <v>2</v>
      </c>
      <c r="AN3209" s="19"/>
      <c r="AO3209" s="19" t="n">
        <v>3</v>
      </c>
      <c r="AP3209" s="19" t="n">
        <v>9</v>
      </c>
      <c r="AQ3209" s="19" t="n">
        <v>3</v>
      </c>
      <c r="AR3209" s="19"/>
      <c r="AS3209" s="20" t="str">
        <f aca="false">HYPERLINK("http://www.openstreetmap.org/?mlat=35.3017&amp;mlon=46.0337&amp;zoom=12#map=12/35.3017/46.0337","Maplink1")</f>
        <v>Maplink1</v>
      </c>
      <c r="AT3209" s="20" t="str">
        <f aca="false">HYPERLINK("https://www.google.iq/maps/search/+35.3017,46.0337/@35.3017,46.0337,14z?hl=en","Maplink2")</f>
        <v>Maplink2</v>
      </c>
      <c r="AU3209" s="20" t="str">
        <f aca="false">HYPERLINK("http://www.bing.com/maps/?lvl=14&amp;sty=h&amp;cp=35.3017~46.0337&amp;sp=point.35.3017_46.0337","Maplink3")</f>
        <v>Maplink3</v>
      </c>
    </row>
    <row r="3210" customFormat="false" ht="15" hidden="false" customHeight="true" outlineLevel="0" collapsed="false">
      <c r="A3210" s="15" t="n">
        <v>25079</v>
      </c>
      <c r="B3210" s="16" t="s">
        <v>30</v>
      </c>
      <c r="C3210" s="16" t="s">
        <v>6130</v>
      </c>
      <c r="D3210" s="16" t="s">
        <v>2713</v>
      </c>
      <c r="E3210" s="17" t="s">
        <v>3613</v>
      </c>
      <c r="F3210" s="16" t="n">
        <v>35.31613937</v>
      </c>
      <c r="G3210" s="16" t="n">
        <v>45.68571933</v>
      </c>
      <c r="H3210" s="18" t="n">
        <v>36</v>
      </c>
      <c r="I3210" s="18" t="n">
        <v>216</v>
      </c>
      <c r="J3210" s="19" t="n">
        <v>28</v>
      </c>
      <c r="K3210" s="19"/>
      <c r="L3210" s="19" t="n">
        <v>4</v>
      </c>
      <c r="M3210" s="19"/>
      <c r="N3210" s="19"/>
      <c r="O3210" s="19" t="n">
        <v>2</v>
      </c>
      <c r="P3210" s="19"/>
      <c r="Q3210" s="19"/>
      <c r="R3210" s="19"/>
      <c r="S3210" s="19"/>
      <c r="T3210" s="19"/>
      <c r="U3210" s="19"/>
      <c r="V3210" s="19"/>
      <c r="W3210" s="19"/>
      <c r="X3210" s="19" t="n">
        <v>2</v>
      </c>
      <c r="Y3210" s="19"/>
      <c r="Z3210" s="19"/>
      <c r="AA3210" s="19"/>
      <c r="AB3210" s="19"/>
      <c r="AC3210" s="19"/>
      <c r="AD3210" s="19"/>
      <c r="AE3210" s="19"/>
      <c r="AF3210" s="19"/>
      <c r="AG3210" s="19"/>
      <c r="AH3210" s="19" t="n">
        <v>36</v>
      </c>
      <c r="AI3210" s="19"/>
      <c r="AJ3210" s="19"/>
      <c r="AK3210" s="19"/>
      <c r="AL3210" s="19" t="n">
        <v>3</v>
      </c>
      <c r="AM3210" s="19" t="n">
        <v>6</v>
      </c>
      <c r="AN3210" s="19" t="n">
        <v>2</v>
      </c>
      <c r="AO3210" s="19" t="n">
        <v>13</v>
      </c>
      <c r="AP3210" s="19" t="n">
        <v>10</v>
      </c>
      <c r="AQ3210" s="19" t="n">
        <v>2</v>
      </c>
      <c r="AR3210" s="19"/>
      <c r="AS3210" s="20" t="str">
        <f aca="false">HYPERLINK("http://www.openstreetmap.org/?mlat=35.3161&amp;mlon=45.6857&amp;zoom=12#map=12/35.3161/45.6857","Maplink1")</f>
        <v>Maplink1</v>
      </c>
      <c r="AT3210" s="20" t="str">
        <f aca="false">HYPERLINK("https://www.google.iq/maps/search/+35.3161,45.6857/@35.3161,45.6857,14z?hl=en","Maplink2")</f>
        <v>Maplink2</v>
      </c>
      <c r="AU3210" s="20" t="str">
        <f aca="false">HYPERLINK("http://www.bing.com/maps/?lvl=14&amp;sty=h&amp;cp=35.3161~45.6857&amp;sp=point.35.3161_45.6857","Maplink3")</f>
        <v>Maplink3</v>
      </c>
    </row>
    <row r="3211" customFormat="false" ht="15" hidden="false" customHeight="true" outlineLevel="0" collapsed="false">
      <c r="A3211" s="15" t="n">
        <v>23723</v>
      </c>
      <c r="B3211" s="16" t="s">
        <v>30</v>
      </c>
      <c r="C3211" s="16" t="s">
        <v>6130</v>
      </c>
      <c r="D3211" s="16" t="s">
        <v>6133</v>
      </c>
      <c r="E3211" s="17" t="s">
        <v>6134</v>
      </c>
      <c r="F3211" s="16" t="n">
        <v>35.32208588</v>
      </c>
      <c r="G3211" s="16" t="n">
        <v>45.68717886</v>
      </c>
      <c r="H3211" s="18" t="n">
        <v>93</v>
      </c>
      <c r="I3211" s="18" t="n">
        <v>558</v>
      </c>
      <c r="J3211" s="19" t="n">
        <v>83</v>
      </c>
      <c r="K3211" s="19"/>
      <c r="L3211" s="19" t="n">
        <v>6</v>
      </c>
      <c r="M3211" s="19"/>
      <c r="N3211" s="19"/>
      <c r="O3211" s="19" t="n">
        <v>4</v>
      </c>
      <c r="P3211" s="19"/>
      <c r="Q3211" s="19"/>
      <c r="R3211" s="19"/>
      <c r="S3211" s="19"/>
      <c r="T3211" s="19"/>
      <c r="U3211" s="19"/>
      <c r="V3211" s="19"/>
      <c r="W3211" s="19"/>
      <c r="X3211" s="19"/>
      <c r="Y3211" s="19"/>
      <c r="Z3211" s="19"/>
      <c r="AA3211" s="19"/>
      <c r="AB3211" s="19"/>
      <c r="AC3211" s="19"/>
      <c r="AD3211" s="19"/>
      <c r="AE3211" s="19"/>
      <c r="AF3211" s="19"/>
      <c r="AG3211" s="19"/>
      <c r="AH3211" s="19" t="n">
        <v>93</v>
      </c>
      <c r="AI3211" s="19"/>
      <c r="AJ3211" s="19"/>
      <c r="AK3211" s="19"/>
      <c r="AL3211" s="19" t="n">
        <v>14</v>
      </c>
      <c r="AM3211" s="19" t="n">
        <v>16</v>
      </c>
      <c r="AN3211" s="19"/>
      <c r="AO3211" s="19" t="n">
        <v>25</v>
      </c>
      <c r="AP3211" s="19" t="n">
        <v>29</v>
      </c>
      <c r="AQ3211" s="19" t="n">
        <v>9</v>
      </c>
      <c r="AR3211" s="19"/>
      <c r="AS3211" s="20" t="str">
        <f aca="false">HYPERLINK("http://www.openstreetmap.org/?mlat=35.3221&amp;mlon=45.6872&amp;zoom=12#map=12/35.3221/45.6872","Maplink1")</f>
        <v>Maplink1</v>
      </c>
      <c r="AT3211" s="20" t="str">
        <f aca="false">HYPERLINK("https://www.google.iq/maps/search/+35.3221,45.6872/@35.3221,45.6872,14z?hl=en","Maplink2")</f>
        <v>Maplink2</v>
      </c>
      <c r="AU3211" s="20" t="str">
        <f aca="false">HYPERLINK("http://www.bing.com/maps/?lvl=14&amp;sty=h&amp;cp=35.3221~45.6872&amp;sp=point.35.3221_45.6872","Maplink3")</f>
        <v>Maplink3</v>
      </c>
    </row>
    <row r="3212" customFormat="false" ht="15" hidden="false" customHeight="true" outlineLevel="0" collapsed="false">
      <c r="A3212" s="15" t="n">
        <v>24096</v>
      </c>
      <c r="B3212" s="16" t="s">
        <v>30</v>
      </c>
      <c r="C3212" s="16" t="s">
        <v>6130</v>
      </c>
      <c r="D3212" s="16" t="s">
        <v>6135</v>
      </c>
      <c r="E3212" s="17" t="s">
        <v>6136</v>
      </c>
      <c r="F3212" s="16" t="n">
        <v>35.3566359</v>
      </c>
      <c r="G3212" s="16" t="n">
        <v>45.8743798</v>
      </c>
      <c r="H3212" s="18" t="n">
        <v>85</v>
      </c>
      <c r="I3212" s="18" t="n">
        <v>510</v>
      </c>
      <c r="J3212" s="19" t="n">
        <v>70</v>
      </c>
      <c r="K3212" s="19"/>
      <c r="L3212" s="19" t="n">
        <v>13</v>
      </c>
      <c r="M3212" s="19"/>
      <c r="N3212" s="19"/>
      <c r="O3212" s="19"/>
      <c r="P3212" s="19"/>
      <c r="Q3212" s="19"/>
      <c r="R3212" s="19"/>
      <c r="S3212" s="19"/>
      <c r="T3212" s="19"/>
      <c r="U3212" s="19"/>
      <c r="V3212" s="19" t="n">
        <v>2</v>
      </c>
      <c r="W3212" s="19"/>
      <c r="X3212" s="19"/>
      <c r="Y3212" s="19"/>
      <c r="Z3212" s="19"/>
      <c r="AA3212" s="19"/>
      <c r="AB3212" s="19"/>
      <c r="AC3212" s="19"/>
      <c r="AD3212" s="19"/>
      <c r="AE3212" s="19"/>
      <c r="AF3212" s="19"/>
      <c r="AG3212" s="19"/>
      <c r="AH3212" s="19" t="n">
        <v>85</v>
      </c>
      <c r="AI3212" s="19"/>
      <c r="AJ3212" s="19"/>
      <c r="AK3212" s="19"/>
      <c r="AL3212" s="19" t="n">
        <v>19</v>
      </c>
      <c r="AM3212" s="19" t="n">
        <v>19</v>
      </c>
      <c r="AN3212" s="19" t="n">
        <v>4</v>
      </c>
      <c r="AO3212" s="19" t="n">
        <v>14</v>
      </c>
      <c r="AP3212" s="19" t="n">
        <v>25</v>
      </c>
      <c r="AQ3212" s="19" t="n">
        <v>4</v>
      </c>
      <c r="AR3212" s="19"/>
      <c r="AS3212" s="20" t="str">
        <f aca="false">HYPERLINK("http://www.openstreetmap.org/?mlat=35.3566&amp;mlon=45.8744&amp;zoom=12#map=12/35.3566/45.8744","Maplink1")</f>
        <v>Maplink1</v>
      </c>
      <c r="AT3212" s="20" t="str">
        <f aca="false">HYPERLINK("https://www.google.iq/maps/search/+35.3566,45.8744/@35.3566,45.8744,14z?hl=en","Maplink2")</f>
        <v>Maplink2</v>
      </c>
      <c r="AU3212" s="20" t="str">
        <f aca="false">HYPERLINK("http://www.bing.com/maps/?lvl=14&amp;sty=h&amp;cp=35.3566~45.8744&amp;sp=point.35.3566_45.8744","Maplink3")</f>
        <v>Maplink3</v>
      </c>
    </row>
    <row r="3213" customFormat="false" ht="15" hidden="false" customHeight="true" outlineLevel="0" collapsed="false">
      <c r="A3213" s="15" t="n">
        <v>27338</v>
      </c>
      <c r="B3213" s="16" t="s">
        <v>30</v>
      </c>
      <c r="C3213" s="16" t="s">
        <v>6130</v>
      </c>
      <c r="D3213" s="16" t="s">
        <v>6137</v>
      </c>
      <c r="E3213" s="17" t="s">
        <v>6138</v>
      </c>
      <c r="F3213" s="16" t="n">
        <v>35.52892995</v>
      </c>
      <c r="G3213" s="16" t="n">
        <v>45.67844641</v>
      </c>
      <c r="H3213" s="18" t="n">
        <v>28</v>
      </c>
      <c r="I3213" s="18" t="n">
        <v>168</v>
      </c>
      <c r="J3213" s="19" t="n">
        <v>28</v>
      </c>
      <c r="K3213" s="19"/>
      <c r="L3213" s="19"/>
      <c r="M3213" s="19"/>
      <c r="N3213" s="19"/>
      <c r="O3213" s="19"/>
      <c r="P3213" s="19"/>
      <c r="Q3213" s="19"/>
      <c r="R3213" s="19"/>
      <c r="S3213" s="19"/>
      <c r="T3213" s="19"/>
      <c r="U3213" s="19"/>
      <c r="V3213" s="19"/>
      <c r="W3213" s="19"/>
      <c r="X3213" s="19"/>
      <c r="Y3213" s="19"/>
      <c r="Z3213" s="19"/>
      <c r="AA3213" s="19"/>
      <c r="AB3213" s="19" t="n">
        <v>28</v>
      </c>
      <c r="AC3213" s="19"/>
      <c r="AD3213" s="19"/>
      <c r="AE3213" s="19"/>
      <c r="AF3213" s="19"/>
      <c r="AG3213" s="19"/>
      <c r="AH3213" s="19"/>
      <c r="AI3213" s="19"/>
      <c r="AJ3213" s="19"/>
      <c r="AK3213" s="19"/>
      <c r="AL3213" s="19"/>
      <c r="AM3213" s="19"/>
      <c r="AN3213" s="19"/>
      <c r="AO3213" s="19" t="n">
        <v>12</v>
      </c>
      <c r="AP3213" s="19" t="n">
        <v>16</v>
      </c>
      <c r="AQ3213" s="19"/>
      <c r="AR3213" s="19"/>
      <c r="AS3213" s="20" t="str">
        <f aca="false">HYPERLINK("http://www.openstreetmap.org/?mlat=35.5289&amp;mlon=45.6784&amp;zoom=12#map=12/35.5289/45.6784","Maplink1")</f>
        <v>Maplink1</v>
      </c>
      <c r="AT3213" s="20" t="str">
        <f aca="false">HYPERLINK("https://www.google.iq/maps/search/+35.5289,45.6784/@35.5289,45.6784,14z?hl=en","Maplink2")</f>
        <v>Maplink2</v>
      </c>
      <c r="AU3213" s="20" t="str">
        <f aca="false">HYPERLINK("http://www.bing.com/maps/?lvl=14&amp;sty=h&amp;cp=35.5289~45.6784&amp;sp=point.35.5289_45.6784","Maplink3")</f>
        <v>Maplink3</v>
      </c>
    </row>
    <row r="3214" customFormat="false" ht="15" hidden="false" customHeight="true" outlineLevel="0" collapsed="false">
      <c r="A3214" s="15" t="n">
        <v>24639</v>
      </c>
      <c r="B3214" s="16" t="s">
        <v>30</v>
      </c>
      <c r="C3214" s="16" t="s">
        <v>6130</v>
      </c>
      <c r="D3214" s="16" t="s">
        <v>6139</v>
      </c>
      <c r="E3214" s="17" t="s">
        <v>6140</v>
      </c>
      <c r="F3214" s="16" t="n">
        <v>35.29526502</v>
      </c>
      <c r="G3214" s="16" t="n">
        <v>46.03786246</v>
      </c>
      <c r="H3214" s="18" t="n">
        <v>60</v>
      </c>
      <c r="I3214" s="18" t="n">
        <v>360</v>
      </c>
      <c r="J3214" s="19" t="n">
        <v>45</v>
      </c>
      <c r="K3214" s="19" t="n">
        <v>8</v>
      </c>
      <c r="L3214" s="19" t="n">
        <v>1</v>
      </c>
      <c r="M3214" s="19"/>
      <c r="N3214" s="19"/>
      <c r="O3214" s="19" t="n">
        <v>4</v>
      </c>
      <c r="P3214" s="19"/>
      <c r="Q3214" s="19"/>
      <c r="R3214" s="19"/>
      <c r="S3214" s="19"/>
      <c r="T3214" s="19"/>
      <c r="U3214" s="19"/>
      <c r="V3214" s="19" t="n">
        <v>1</v>
      </c>
      <c r="W3214" s="19"/>
      <c r="X3214" s="19" t="n">
        <v>1</v>
      </c>
      <c r="Y3214" s="19"/>
      <c r="Z3214" s="19"/>
      <c r="AA3214" s="19"/>
      <c r="AB3214" s="19"/>
      <c r="AC3214" s="19"/>
      <c r="AD3214" s="19"/>
      <c r="AE3214" s="19"/>
      <c r="AF3214" s="19"/>
      <c r="AG3214" s="19"/>
      <c r="AH3214" s="19" t="n">
        <v>60</v>
      </c>
      <c r="AI3214" s="19"/>
      <c r="AJ3214" s="19"/>
      <c r="AK3214" s="19"/>
      <c r="AL3214" s="19" t="n">
        <v>5</v>
      </c>
      <c r="AM3214" s="19" t="n">
        <v>15</v>
      </c>
      <c r="AN3214" s="19" t="n">
        <v>14</v>
      </c>
      <c r="AO3214" s="19"/>
      <c r="AP3214" s="19" t="n">
        <v>21</v>
      </c>
      <c r="AQ3214" s="19" t="n">
        <v>5</v>
      </c>
      <c r="AR3214" s="19"/>
      <c r="AS3214" s="20" t="str">
        <f aca="false">HYPERLINK("http://www.openstreetmap.org/?mlat=35.2953&amp;mlon=46.0379&amp;zoom=12#map=12/35.2953/46.0379","Maplink1")</f>
        <v>Maplink1</v>
      </c>
      <c r="AT3214" s="20" t="str">
        <f aca="false">HYPERLINK("https://www.google.iq/maps/search/+35.2953,46.0379/@35.2953,46.0379,14z?hl=en","Maplink2")</f>
        <v>Maplink2</v>
      </c>
      <c r="AU3214" s="20" t="str">
        <f aca="false">HYPERLINK("http://www.bing.com/maps/?lvl=14&amp;sty=h&amp;cp=35.2953~46.0379&amp;sp=point.35.2953_46.0379","Maplink3")</f>
        <v>Maplink3</v>
      </c>
    </row>
    <row r="3215" customFormat="false" ht="15" hidden="false" customHeight="true" outlineLevel="0" collapsed="false">
      <c r="A3215" s="15" t="n">
        <v>25757</v>
      </c>
      <c r="B3215" s="16" t="s">
        <v>30</v>
      </c>
      <c r="C3215" s="16" t="s">
        <v>6130</v>
      </c>
      <c r="D3215" s="16" t="s">
        <v>6141</v>
      </c>
      <c r="E3215" s="17" t="s">
        <v>6142</v>
      </c>
      <c r="F3215" s="16" t="n">
        <v>35.18771478</v>
      </c>
      <c r="G3215" s="16" t="n">
        <v>45.97090299</v>
      </c>
      <c r="H3215" s="18" t="n">
        <v>27</v>
      </c>
      <c r="I3215" s="18" t="n">
        <v>162</v>
      </c>
      <c r="J3215" s="19" t="n">
        <v>14</v>
      </c>
      <c r="K3215" s="19" t="n">
        <v>2</v>
      </c>
      <c r="L3215" s="19" t="n">
        <v>7</v>
      </c>
      <c r="M3215" s="19"/>
      <c r="N3215" s="19"/>
      <c r="O3215" s="19" t="n">
        <v>2</v>
      </c>
      <c r="P3215" s="19"/>
      <c r="Q3215" s="19"/>
      <c r="R3215" s="19"/>
      <c r="S3215" s="19"/>
      <c r="T3215" s="19"/>
      <c r="U3215" s="19"/>
      <c r="V3215" s="19"/>
      <c r="W3215" s="19"/>
      <c r="X3215" s="19" t="n">
        <v>2</v>
      </c>
      <c r="Y3215" s="19"/>
      <c r="Z3215" s="19"/>
      <c r="AA3215" s="19"/>
      <c r="AB3215" s="19"/>
      <c r="AC3215" s="19"/>
      <c r="AD3215" s="19"/>
      <c r="AE3215" s="19"/>
      <c r="AF3215" s="19"/>
      <c r="AG3215" s="19"/>
      <c r="AH3215" s="19" t="n">
        <v>27</v>
      </c>
      <c r="AI3215" s="19"/>
      <c r="AJ3215" s="19"/>
      <c r="AK3215" s="19"/>
      <c r="AL3215" s="19" t="n">
        <v>10</v>
      </c>
      <c r="AM3215" s="19" t="n">
        <v>7</v>
      </c>
      <c r="AN3215" s="19"/>
      <c r="AO3215" s="19" t="n">
        <v>4</v>
      </c>
      <c r="AP3215" s="19" t="n">
        <v>6</v>
      </c>
      <c r="AQ3215" s="19"/>
      <c r="AR3215" s="19"/>
      <c r="AS3215" s="20" t="str">
        <f aca="false">HYPERLINK("http://www.openstreetmap.org/?mlat=35.1877&amp;mlon=45.9709&amp;zoom=12#map=12/35.1877/45.9709","Maplink1")</f>
        <v>Maplink1</v>
      </c>
      <c r="AT3215" s="20" t="str">
        <f aca="false">HYPERLINK("https://www.google.iq/maps/search/+35.1877,45.9709/@35.1877,45.9709,14z?hl=en","Maplink2")</f>
        <v>Maplink2</v>
      </c>
      <c r="AU3215" s="20" t="str">
        <f aca="false">HYPERLINK("http://www.bing.com/maps/?lvl=14&amp;sty=h&amp;cp=35.1877~45.9709&amp;sp=point.35.1877_45.9709","Maplink3")</f>
        <v>Maplink3</v>
      </c>
    </row>
    <row r="3216" customFormat="false" ht="15" hidden="false" customHeight="true" outlineLevel="0" collapsed="false">
      <c r="A3216" s="15" t="n">
        <v>21960</v>
      </c>
      <c r="B3216" s="16" t="s">
        <v>30</v>
      </c>
      <c r="C3216" s="16" t="s">
        <v>6130</v>
      </c>
      <c r="D3216" s="16" t="s">
        <v>6103</v>
      </c>
      <c r="E3216" s="17" t="s">
        <v>6104</v>
      </c>
      <c r="F3216" s="16" t="n">
        <v>35.18542791</v>
      </c>
      <c r="G3216" s="16" t="n">
        <v>45.97930156</v>
      </c>
      <c r="H3216" s="18" t="n">
        <v>18</v>
      </c>
      <c r="I3216" s="18" t="n">
        <v>108</v>
      </c>
      <c r="J3216" s="19" t="n">
        <v>13</v>
      </c>
      <c r="K3216" s="19"/>
      <c r="L3216" s="19" t="n">
        <v>3</v>
      </c>
      <c r="M3216" s="19"/>
      <c r="N3216" s="19"/>
      <c r="O3216" s="19"/>
      <c r="P3216" s="19"/>
      <c r="Q3216" s="19"/>
      <c r="R3216" s="19"/>
      <c r="S3216" s="19"/>
      <c r="T3216" s="19"/>
      <c r="U3216" s="19"/>
      <c r="V3216" s="19" t="n">
        <v>2</v>
      </c>
      <c r="W3216" s="19"/>
      <c r="X3216" s="19"/>
      <c r="Y3216" s="19"/>
      <c r="Z3216" s="19"/>
      <c r="AA3216" s="19"/>
      <c r="AB3216" s="19"/>
      <c r="AC3216" s="19"/>
      <c r="AD3216" s="19"/>
      <c r="AE3216" s="19"/>
      <c r="AF3216" s="19"/>
      <c r="AG3216" s="19"/>
      <c r="AH3216" s="19" t="n">
        <v>18</v>
      </c>
      <c r="AI3216" s="19"/>
      <c r="AJ3216" s="19"/>
      <c r="AK3216" s="19"/>
      <c r="AL3216" s="19" t="n">
        <v>5</v>
      </c>
      <c r="AM3216" s="19" t="n">
        <v>8</v>
      </c>
      <c r="AN3216" s="19"/>
      <c r="AO3216" s="19" t="n">
        <v>2</v>
      </c>
      <c r="AP3216" s="19" t="n">
        <v>2</v>
      </c>
      <c r="AQ3216" s="19" t="n">
        <v>1</v>
      </c>
      <c r="AR3216" s="19"/>
      <c r="AS3216" s="20" t="str">
        <f aca="false">HYPERLINK("http://www.openstreetmap.org/?mlat=35.1854&amp;mlon=45.9793&amp;zoom=12#map=12/35.1854/45.9793","Maplink1")</f>
        <v>Maplink1</v>
      </c>
      <c r="AT3216" s="20" t="str">
        <f aca="false">HYPERLINK("https://www.google.iq/maps/search/+35.1854,45.9793/@35.1854,45.9793,14z?hl=en","Maplink2")</f>
        <v>Maplink2</v>
      </c>
      <c r="AU3216" s="20" t="str">
        <f aca="false">HYPERLINK("http://www.bing.com/maps/?lvl=14&amp;sty=h&amp;cp=35.1854~45.9793&amp;sp=point.35.1854_45.9793","Maplink3")</f>
        <v>Maplink3</v>
      </c>
    </row>
    <row r="3217" customFormat="false" ht="15" hidden="false" customHeight="true" outlineLevel="0" collapsed="false">
      <c r="A3217" s="15" t="n">
        <v>6120</v>
      </c>
      <c r="B3217" s="16" t="s">
        <v>30</v>
      </c>
      <c r="C3217" s="16" t="s">
        <v>6130</v>
      </c>
      <c r="D3217" s="16" t="s">
        <v>6143</v>
      </c>
      <c r="E3217" s="17" t="s">
        <v>6144</v>
      </c>
      <c r="F3217" s="16" t="n">
        <v>35.35296821</v>
      </c>
      <c r="G3217" s="16" t="n">
        <v>45.90225211</v>
      </c>
      <c r="H3217" s="18" t="n">
        <v>11</v>
      </c>
      <c r="I3217" s="18" t="n">
        <v>66</v>
      </c>
      <c r="J3217" s="19" t="n">
        <v>1</v>
      </c>
      <c r="K3217" s="19"/>
      <c r="L3217" s="19"/>
      <c r="M3217" s="19"/>
      <c r="N3217" s="19"/>
      <c r="O3217" s="19" t="n">
        <v>10</v>
      </c>
      <c r="P3217" s="19"/>
      <c r="Q3217" s="19"/>
      <c r="R3217" s="19"/>
      <c r="S3217" s="19"/>
      <c r="T3217" s="19"/>
      <c r="U3217" s="19"/>
      <c r="V3217" s="19"/>
      <c r="W3217" s="19"/>
      <c r="X3217" s="19"/>
      <c r="Y3217" s="19"/>
      <c r="Z3217" s="19"/>
      <c r="AA3217" s="19"/>
      <c r="AB3217" s="19"/>
      <c r="AC3217" s="19"/>
      <c r="AD3217" s="19"/>
      <c r="AE3217" s="19"/>
      <c r="AF3217" s="19"/>
      <c r="AG3217" s="19"/>
      <c r="AH3217" s="19" t="n">
        <v>11</v>
      </c>
      <c r="AI3217" s="19"/>
      <c r="AJ3217" s="19"/>
      <c r="AK3217" s="19"/>
      <c r="AL3217" s="19"/>
      <c r="AM3217" s="19" t="n">
        <v>7</v>
      </c>
      <c r="AN3217" s="19"/>
      <c r="AO3217" s="19" t="n">
        <v>3</v>
      </c>
      <c r="AP3217" s="19" t="n">
        <v>1</v>
      </c>
      <c r="AQ3217" s="19"/>
      <c r="AR3217" s="19"/>
      <c r="AS3217" s="20" t="str">
        <f aca="false">HYPERLINK("http://www.openstreetmap.org/?mlat=35.353&amp;mlon=45.9023&amp;zoom=12#map=12/35.353/45.9023","Maplink1")</f>
        <v>Maplink1</v>
      </c>
      <c r="AT3217" s="20" t="str">
        <f aca="false">HYPERLINK("https://www.google.iq/maps/search/+35.353,45.9023/@35.353,45.9023,14z?hl=en","Maplink2")</f>
        <v>Maplink2</v>
      </c>
      <c r="AU3217" s="20" t="str">
        <f aca="false">HYPERLINK("http://www.bing.com/maps/?lvl=14&amp;sty=h&amp;cp=35.353~45.9023&amp;sp=point.35.353_45.9023","Maplink3")</f>
        <v>Maplink3</v>
      </c>
    </row>
    <row r="3218" customFormat="false" ht="15" hidden="false" customHeight="true" outlineLevel="0" collapsed="false">
      <c r="A3218" s="15" t="n">
        <v>22104</v>
      </c>
      <c r="B3218" s="16" t="s">
        <v>30</v>
      </c>
      <c r="C3218" s="16" t="s">
        <v>6130</v>
      </c>
      <c r="D3218" s="16" t="s">
        <v>6145</v>
      </c>
      <c r="E3218" s="17" t="s">
        <v>6146</v>
      </c>
      <c r="F3218" s="16" t="n">
        <v>35.18548882</v>
      </c>
      <c r="G3218" s="16" t="n">
        <v>46.01173031</v>
      </c>
      <c r="H3218" s="18" t="n">
        <v>24</v>
      </c>
      <c r="I3218" s="18" t="n">
        <v>144</v>
      </c>
      <c r="J3218" s="19" t="n">
        <v>24</v>
      </c>
      <c r="K3218" s="19"/>
      <c r="L3218" s="19"/>
      <c r="M3218" s="19"/>
      <c r="N3218" s="19"/>
      <c r="O3218" s="19"/>
      <c r="P3218" s="19"/>
      <c r="Q3218" s="19"/>
      <c r="R3218" s="19"/>
      <c r="S3218" s="19"/>
      <c r="T3218" s="19"/>
      <c r="U3218" s="19"/>
      <c r="V3218" s="19"/>
      <c r="W3218" s="19"/>
      <c r="X3218" s="19"/>
      <c r="Y3218" s="19"/>
      <c r="Z3218" s="19"/>
      <c r="AA3218" s="19"/>
      <c r="AB3218" s="19"/>
      <c r="AC3218" s="19"/>
      <c r="AD3218" s="19"/>
      <c r="AE3218" s="19"/>
      <c r="AF3218" s="19"/>
      <c r="AG3218" s="19"/>
      <c r="AH3218" s="19" t="n">
        <v>24</v>
      </c>
      <c r="AI3218" s="19"/>
      <c r="AJ3218" s="19"/>
      <c r="AK3218" s="19"/>
      <c r="AL3218" s="19" t="n">
        <v>5</v>
      </c>
      <c r="AM3218" s="19" t="n">
        <v>2</v>
      </c>
      <c r="AN3218" s="19" t="n">
        <v>2</v>
      </c>
      <c r="AO3218" s="19" t="n">
        <v>7</v>
      </c>
      <c r="AP3218" s="19" t="n">
        <v>8</v>
      </c>
      <c r="AQ3218" s="19"/>
      <c r="AR3218" s="19"/>
      <c r="AS3218" s="20" t="str">
        <f aca="false">HYPERLINK("http://www.openstreetmap.org/?mlat=35.1855&amp;mlon=46.0117&amp;zoom=12#map=12/35.1855/46.0117","Maplink1")</f>
        <v>Maplink1</v>
      </c>
      <c r="AT3218" s="20" t="str">
        <f aca="false">HYPERLINK("https://www.google.iq/maps/search/+35.1855,46.0117/@35.1855,46.0117,14z?hl=en","Maplink2")</f>
        <v>Maplink2</v>
      </c>
      <c r="AU3218" s="20" t="str">
        <f aca="false">HYPERLINK("http://www.bing.com/maps/?lvl=14&amp;sty=h&amp;cp=35.1855~46.0117&amp;sp=point.35.1855_46.0117","Maplink3")</f>
        <v>Maplink3</v>
      </c>
    </row>
    <row r="3219" customFormat="false" ht="15" hidden="false" customHeight="true" outlineLevel="0" collapsed="false">
      <c r="A3219" s="15" t="n">
        <v>25647</v>
      </c>
      <c r="B3219" s="16" t="s">
        <v>30</v>
      </c>
      <c r="C3219" s="16" t="s">
        <v>6130</v>
      </c>
      <c r="D3219" s="16" t="s">
        <v>6147</v>
      </c>
      <c r="E3219" s="17" t="s">
        <v>6148</v>
      </c>
      <c r="F3219" s="16" t="n">
        <v>35.34128666</v>
      </c>
      <c r="G3219" s="16" t="n">
        <v>45.9314879</v>
      </c>
      <c r="H3219" s="18" t="n">
        <v>4</v>
      </c>
      <c r="I3219" s="18" t="n">
        <v>24</v>
      </c>
      <c r="J3219" s="19" t="n">
        <v>4</v>
      </c>
      <c r="K3219" s="19"/>
      <c r="L3219" s="19"/>
      <c r="M3219" s="19"/>
      <c r="N3219" s="19"/>
      <c r="O3219" s="19"/>
      <c r="P3219" s="19"/>
      <c r="Q3219" s="19"/>
      <c r="R3219" s="19"/>
      <c r="S3219" s="19"/>
      <c r="T3219" s="19"/>
      <c r="U3219" s="19"/>
      <c r="V3219" s="19"/>
      <c r="W3219" s="19"/>
      <c r="X3219" s="19"/>
      <c r="Y3219" s="19"/>
      <c r="Z3219" s="19"/>
      <c r="AA3219" s="19"/>
      <c r="AB3219" s="19"/>
      <c r="AC3219" s="19"/>
      <c r="AD3219" s="19"/>
      <c r="AE3219" s="19"/>
      <c r="AF3219" s="19"/>
      <c r="AG3219" s="19"/>
      <c r="AH3219" s="19" t="n">
        <v>4</v>
      </c>
      <c r="AI3219" s="19"/>
      <c r="AJ3219" s="19"/>
      <c r="AK3219" s="19"/>
      <c r="AL3219" s="19" t="n">
        <v>4</v>
      </c>
      <c r="AM3219" s="19"/>
      <c r="AN3219" s="19"/>
      <c r="AO3219" s="19"/>
      <c r="AP3219" s="19"/>
      <c r="AQ3219" s="19"/>
      <c r="AR3219" s="19"/>
      <c r="AS3219" s="20" t="str">
        <f aca="false">HYPERLINK("http://www.openstreetmap.org/?mlat=35.3413&amp;mlon=45.9315&amp;zoom=12#map=12/35.3413/45.9315","Maplink1")</f>
        <v>Maplink1</v>
      </c>
      <c r="AT3219" s="20" t="str">
        <f aca="false">HYPERLINK("https://www.google.iq/maps/search/+35.3413,45.9315/@35.3413,45.9315,14z?hl=en","Maplink2")</f>
        <v>Maplink2</v>
      </c>
      <c r="AU3219" s="20" t="str">
        <f aca="false">HYPERLINK("http://www.bing.com/maps/?lvl=14&amp;sty=h&amp;cp=35.3413~45.9315&amp;sp=point.35.3413_45.9315","Maplink3")</f>
        <v>Maplink3</v>
      </c>
    </row>
    <row r="3220" customFormat="false" ht="15" hidden="false" customHeight="true" outlineLevel="0" collapsed="false">
      <c r="A3220" s="15" t="n">
        <v>3771</v>
      </c>
      <c r="B3220" s="16" t="s">
        <v>30</v>
      </c>
      <c r="C3220" s="16" t="s">
        <v>6130</v>
      </c>
      <c r="D3220" s="16" t="s">
        <v>6149</v>
      </c>
      <c r="E3220" s="17" t="s">
        <v>6150</v>
      </c>
      <c r="F3220" s="16" t="n">
        <v>35.39074955</v>
      </c>
      <c r="G3220" s="16" t="n">
        <v>45.73257726</v>
      </c>
      <c r="H3220" s="18" t="n">
        <v>5</v>
      </c>
      <c r="I3220" s="18" t="n">
        <v>30</v>
      </c>
      <c r="J3220" s="19" t="n">
        <v>5</v>
      </c>
      <c r="K3220" s="19"/>
      <c r="L3220" s="19"/>
      <c r="M3220" s="19"/>
      <c r="N3220" s="19"/>
      <c r="O3220" s="19"/>
      <c r="P3220" s="19"/>
      <c r="Q3220" s="19"/>
      <c r="R3220" s="19"/>
      <c r="S3220" s="19"/>
      <c r="T3220" s="19"/>
      <c r="U3220" s="19"/>
      <c r="V3220" s="19"/>
      <c r="W3220" s="19"/>
      <c r="X3220" s="19"/>
      <c r="Y3220" s="19"/>
      <c r="Z3220" s="19"/>
      <c r="AA3220" s="19"/>
      <c r="AB3220" s="19"/>
      <c r="AC3220" s="19"/>
      <c r="AD3220" s="19"/>
      <c r="AE3220" s="19"/>
      <c r="AF3220" s="19"/>
      <c r="AG3220" s="19"/>
      <c r="AH3220" s="19" t="n">
        <v>5</v>
      </c>
      <c r="AI3220" s="19"/>
      <c r="AJ3220" s="19"/>
      <c r="AK3220" s="19"/>
      <c r="AL3220" s="19" t="n">
        <v>2</v>
      </c>
      <c r="AM3220" s="19" t="n">
        <v>2</v>
      </c>
      <c r="AN3220" s="19"/>
      <c r="AO3220" s="19"/>
      <c r="AP3220" s="19" t="n">
        <v>1</v>
      </c>
      <c r="AQ3220" s="19"/>
      <c r="AR3220" s="19"/>
      <c r="AS3220" s="20" t="str">
        <f aca="false">HYPERLINK("http://www.openstreetmap.org/?mlat=35.3907&amp;mlon=45.7326&amp;zoom=12#map=12/35.3907/45.7326","Maplink1")</f>
        <v>Maplink1</v>
      </c>
      <c r="AT3220" s="20" t="str">
        <f aca="false">HYPERLINK("https://www.google.iq/maps/search/+35.3907,45.7326/@35.3907,45.7326,14z?hl=en","Maplink2")</f>
        <v>Maplink2</v>
      </c>
      <c r="AU3220" s="20" t="str">
        <f aca="false">HYPERLINK("http://www.bing.com/maps/?lvl=14&amp;sty=h&amp;cp=35.3907~45.7326&amp;sp=point.35.3907_45.7326","Maplink3")</f>
        <v>Maplink3</v>
      </c>
    </row>
    <row r="3221" customFormat="false" ht="15" hidden="false" customHeight="true" outlineLevel="0" collapsed="false">
      <c r="A3221" s="15" t="n">
        <v>21862</v>
      </c>
      <c r="B3221" s="16" t="s">
        <v>30</v>
      </c>
      <c r="C3221" s="16" t="s">
        <v>6130</v>
      </c>
      <c r="D3221" s="16" t="s">
        <v>3675</v>
      </c>
      <c r="E3221" s="17" t="s">
        <v>6151</v>
      </c>
      <c r="F3221" s="16" t="n">
        <v>35.17450277</v>
      </c>
      <c r="G3221" s="16" t="n">
        <v>45.98126338</v>
      </c>
      <c r="H3221" s="18" t="n">
        <v>40</v>
      </c>
      <c r="I3221" s="18" t="n">
        <v>240</v>
      </c>
      <c r="J3221" s="19" t="n">
        <v>29</v>
      </c>
      <c r="K3221" s="19"/>
      <c r="L3221" s="19" t="n">
        <v>4</v>
      </c>
      <c r="M3221" s="19"/>
      <c r="N3221" s="19"/>
      <c r="O3221" s="19" t="n">
        <v>2</v>
      </c>
      <c r="P3221" s="19"/>
      <c r="Q3221" s="19"/>
      <c r="R3221" s="19"/>
      <c r="S3221" s="19"/>
      <c r="T3221" s="19"/>
      <c r="U3221" s="19"/>
      <c r="V3221" s="19" t="n">
        <v>5</v>
      </c>
      <c r="W3221" s="19"/>
      <c r="X3221" s="19"/>
      <c r="Y3221" s="19"/>
      <c r="Z3221" s="19"/>
      <c r="AA3221" s="19"/>
      <c r="AB3221" s="19"/>
      <c r="AC3221" s="19"/>
      <c r="AD3221" s="19"/>
      <c r="AE3221" s="19"/>
      <c r="AF3221" s="19"/>
      <c r="AG3221" s="19"/>
      <c r="AH3221" s="19" t="n">
        <v>40</v>
      </c>
      <c r="AI3221" s="19"/>
      <c r="AJ3221" s="19"/>
      <c r="AK3221" s="19"/>
      <c r="AL3221" s="19" t="n">
        <v>3</v>
      </c>
      <c r="AM3221" s="19" t="n">
        <v>16</v>
      </c>
      <c r="AN3221" s="19" t="n">
        <v>6</v>
      </c>
      <c r="AO3221" s="19" t="n">
        <v>7</v>
      </c>
      <c r="AP3221" s="19" t="n">
        <v>8</v>
      </c>
      <c r="AQ3221" s="19"/>
      <c r="AR3221" s="19"/>
      <c r="AS3221" s="20" t="str">
        <f aca="false">HYPERLINK("http://www.openstreetmap.org/?mlat=35.1745&amp;mlon=45.9813&amp;zoom=12#map=12/35.1745/45.9813","Maplink1")</f>
        <v>Maplink1</v>
      </c>
      <c r="AT3221" s="20" t="str">
        <f aca="false">HYPERLINK("https://www.google.iq/maps/search/+35.1745,45.9813/@35.1745,45.9813,14z?hl=en","Maplink2")</f>
        <v>Maplink2</v>
      </c>
      <c r="AU3221" s="20" t="str">
        <f aca="false">HYPERLINK("http://www.bing.com/maps/?lvl=14&amp;sty=h&amp;cp=35.1745~45.9813&amp;sp=point.35.1745_45.9813","Maplink3")</f>
        <v>Maplink3</v>
      </c>
    </row>
    <row r="3222" customFormat="false" ht="15" hidden="false" customHeight="true" outlineLevel="0" collapsed="false">
      <c r="A3222" s="15" t="n">
        <v>22920</v>
      </c>
      <c r="B3222" s="16" t="s">
        <v>30</v>
      </c>
      <c r="C3222" s="16" t="s">
        <v>6130</v>
      </c>
      <c r="D3222" s="16" t="s">
        <v>6152</v>
      </c>
      <c r="E3222" s="17" t="s">
        <v>6153</v>
      </c>
      <c r="F3222" s="16" t="n">
        <v>35.3496488</v>
      </c>
      <c r="G3222" s="16" t="n">
        <v>45.87376076</v>
      </c>
      <c r="H3222" s="18" t="n">
        <v>37</v>
      </c>
      <c r="I3222" s="18" t="n">
        <v>222</v>
      </c>
      <c r="J3222" s="19" t="n">
        <v>26</v>
      </c>
      <c r="K3222" s="19"/>
      <c r="L3222" s="19" t="n">
        <v>9</v>
      </c>
      <c r="M3222" s="19"/>
      <c r="N3222" s="19"/>
      <c r="O3222" s="19" t="n">
        <v>2</v>
      </c>
      <c r="P3222" s="19"/>
      <c r="Q3222" s="19"/>
      <c r="R3222" s="19"/>
      <c r="S3222" s="19"/>
      <c r="T3222" s="19"/>
      <c r="U3222" s="19"/>
      <c r="V3222" s="19"/>
      <c r="W3222" s="19"/>
      <c r="X3222" s="19"/>
      <c r="Y3222" s="19"/>
      <c r="Z3222" s="19"/>
      <c r="AA3222" s="19"/>
      <c r="AB3222" s="19"/>
      <c r="AC3222" s="19"/>
      <c r="AD3222" s="19"/>
      <c r="AE3222" s="19"/>
      <c r="AF3222" s="19"/>
      <c r="AG3222" s="19"/>
      <c r="AH3222" s="19" t="n">
        <v>37</v>
      </c>
      <c r="AI3222" s="19"/>
      <c r="AJ3222" s="19"/>
      <c r="AK3222" s="19"/>
      <c r="AL3222" s="19"/>
      <c r="AM3222" s="19" t="n">
        <v>3</v>
      </c>
      <c r="AN3222" s="19"/>
      <c r="AO3222" s="19" t="n">
        <v>5</v>
      </c>
      <c r="AP3222" s="19" t="n">
        <v>19</v>
      </c>
      <c r="AQ3222" s="19" t="n">
        <v>10</v>
      </c>
      <c r="AR3222" s="19"/>
      <c r="AS3222" s="20" t="str">
        <f aca="false">HYPERLINK("http://www.openstreetmap.org/?mlat=35.3496&amp;mlon=45.8738&amp;zoom=12#map=12/35.3496/45.8738","Maplink1")</f>
        <v>Maplink1</v>
      </c>
      <c r="AT3222" s="20" t="str">
        <f aca="false">HYPERLINK("https://www.google.iq/maps/search/+35.3496,45.8738/@35.3496,45.8738,14z?hl=en","Maplink2")</f>
        <v>Maplink2</v>
      </c>
      <c r="AU3222" s="20" t="str">
        <f aca="false">HYPERLINK("http://www.bing.com/maps/?lvl=14&amp;sty=h&amp;cp=35.3496~45.8738&amp;sp=point.35.3496_45.8738","Maplink3")</f>
        <v>Maplink3</v>
      </c>
    </row>
    <row r="3223" customFormat="false" ht="15" hidden="false" customHeight="true" outlineLevel="0" collapsed="false">
      <c r="A3223" s="15" t="n">
        <v>22998</v>
      </c>
      <c r="B3223" s="16" t="s">
        <v>30</v>
      </c>
      <c r="C3223" s="16" t="s">
        <v>6130</v>
      </c>
      <c r="D3223" s="16" t="s">
        <v>6154</v>
      </c>
      <c r="E3223" s="17" t="s">
        <v>6155</v>
      </c>
      <c r="F3223" s="16" t="n">
        <v>35.32471625</v>
      </c>
      <c r="G3223" s="16" t="n">
        <v>45.68606375</v>
      </c>
      <c r="H3223" s="18" t="n">
        <v>83</v>
      </c>
      <c r="I3223" s="18" t="n">
        <v>498</v>
      </c>
      <c r="J3223" s="19" t="n">
        <v>73</v>
      </c>
      <c r="K3223" s="19"/>
      <c r="L3223" s="19" t="n">
        <v>5</v>
      </c>
      <c r="M3223" s="19"/>
      <c r="N3223" s="19"/>
      <c r="O3223" s="19" t="n">
        <v>2</v>
      </c>
      <c r="P3223" s="19"/>
      <c r="Q3223" s="19"/>
      <c r="R3223" s="19"/>
      <c r="S3223" s="19"/>
      <c r="T3223" s="19"/>
      <c r="U3223" s="19"/>
      <c r="V3223" s="19"/>
      <c r="W3223" s="19"/>
      <c r="X3223" s="19" t="n">
        <v>3</v>
      </c>
      <c r="Y3223" s="19"/>
      <c r="Z3223" s="19"/>
      <c r="AA3223" s="19"/>
      <c r="AB3223" s="19"/>
      <c r="AC3223" s="19"/>
      <c r="AD3223" s="19"/>
      <c r="AE3223" s="19"/>
      <c r="AF3223" s="19"/>
      <c r="AG3223" s="19"/>
      <c r="AH3223" s="19" t="n">
        <v>83</v>
      </c>
      <c r="AI3223" s="19"/>
      <c r="AJ3223" s="19"/>
      <c r="AK3223" s="19"/>
      <c r="AL3223" s="19" t="n">
        <v>10</v>
      </c>
      <c r="AM3223" s="19" t="n">
        <v>13</v>
      </c>
      <c r="AN3223" s="19"/>
      <c r="AO3223" s="19" t="n">
        <v>34</v>
      </c>
      <c r="AP3223" s="19" t="n">
        <v>24</v>
      </c>
      <c r="AQ3223" s="19" t="n">
        <v>2</v>
      </c>
      <c r="AR3223" s="19"/>
      <c r="AS3223" s="20" t="str">
        <f aca="false">HYPERLINK("http://www.openstreetmap.org/?mlat=35.3247&amp;mlon=45.6861&amp;zoom=12#map=12/35.3247/45.6861","Maplink1")</f>
        <v>Maplink1</v>
      </c>
      <c r="AT3223" s="20" t="str">
        <f aca="false">HYPERLINK("https://www.google.iq/maps/search/+35.3247,45.6861/@35.3247,45.6861,14z?hl=en","Maplink2")</f>
        <v>Maplink2</v>
      </c>
      <c r="AU3223" s="20" t="str">
        <f aca="false">HYPERLINK("http://www.bing.com/maps/?lvl=14&amp;sty=h&amp;cp=35.3247~45.6861&amp;sp=point.35.3247_45.6861","Maplink3")</f>
        <v>Maplink3</v>
      </c>
    </row>
    <row r="3224" customFormat="false" ht="15" hidden="false" customHeight="true" outlineLevel="0" collapsed="false">
      <c r="A3224" s="15" t="n">
        <v>29693</v>
      </c>
      <c r="B3224" s="16" t="s">
        <v>30</v>
      </c>
      <c r="C3224" s="16" t="s">
        <v>6130</v>
      </c>
      <c r="D3224" s="16" t="s">
        <v>6156</v>
      </c>
      <c r="E3224" s="17" t="s">
        <v>6157</v>
      </c>
      <c r="F3224" s="16" t="n">
        <v>35.31059</v>
      </c>
      <c r="G3224" s="16" t="n">
        <v>45.67533</v>
      </c>
      <c r="H3224" s="18" t="n">
        <v>45</v>
      </c>
      <c r="I3224" s="18" t="n">
        <v>270</v>
      </c>
      <c r="J3224" s="19" t="n">
        <v>24</v>
      </c>
      <c r="K3224" s="19"/>
      <c r="L3224" s="19" t="n">
        <v>16</v>
      </c>
      <c r="M3224" s="19"/>
      <c r="N3224" s="19"/>
      <c r="O3224" s="19" t="n">
        <v>4</v>
      </c>
      <c r="P3224" s="19"/>
      <c r="Q3224" s="19"/>
      <c r="R3224" s="19"/>
      <c r="S3224" s="19"/>
      <c r="T3224" s="19"/>
      <c r="U3224" s="19"/>
      <c r="V3224" s="19"/>
      <c r="W3224" s="19"/>
      <c r="X3224" s="19" t="n">
        <v>1</v>
      </c>
      <c r="Y3224" s="19"/>
      <c r="Z3224" s="19"/>
      <c r="AA3224" s="19"/>
      <c r="AB3224" s="19"/>
      <c r="AC3224" s="19"/>
      <c r="AD3224" s="19"/>
      <c r="AE3224" s="19"/>
      <c r="AF3224" s="19"/>
      <c r="AG3224" s="19"/>
      <c r="AH3224" s="19" t="n">
        <v>44</v>
      </c>
      <c r="AI3224" s="19"/>
      <c r="AJ3224" s="19" t="n">
        <v>1</v>
      </c>
      <c r="AK3224" s="19"/>
      <c r="AL3224" s="19" t="n">
        <v>21</v>
      </c>
      <c r="AM3224" s="19" t="n">
        <v>13</v>
      </c>
      <c r="AN3224" s="19" t="n">
        <v>8</v>
      </c>
      <c r="AO3224" s="19" t="n">
        <v>3</v>
      </c>
      <c r="AP3224" s="19"/>
      <c r="AQ3224" s="19"/>
      <c r="AR3224" s="19"/>
      <c r="AS3224" s="20" t="str">
        <f aca="false">HYPERLINK("http://www.openstreetmap.org/?mlat=35.3106&amp;mlon=45.6753&amp;zoom=12#map=12/35.3106/45.6753","Maplink1")</f>
        <v>Maplink1</v>
      </c>
      <c r="AT3224" s="20" t="str">
        <f aca="false">HYPERLINK("https://www.google.iq/maps/search/+35.3106,45.6753/@35.3106,45.6753,14z?hl=en","Maplink2")</f>
        <v>Maplink2</v>
      </c>
      <c r="AU3224" s="20" t="str">
        <f aca="false">HYPERLINK("http://www.bing.com/maps/?lvl=14&amp;sty=h&amp;cp=35.3106~45.6753&amp;sp=point.35.3106_45.6753","Maplink3")</f>
        <v>Maplink3</v>
      </c>
    </row>
    <row r="3225" customFormat="false" ht="15" hidden="false" customHeight="true" outlineLevel="0" collapsed="false">
      <c r="A3225" s="15" t="n">
        <v>25646</v>
      </c>
      <c r="B3225" s="16" t="s">
        <v>30</v>
      </c>
      <c r="C3225" s="16" t="s">
        <v>6130</v>
      </c>
      <c r="D3225" s="16" t="s">
        <v>6158</v>
      </c>
      <c r="E3225" s="17" t="s">
        <v>6159</v>
      </c>
      <c r="F3225" s="16" t="n">
        <v>35.37667814</v>
      </c>
      <c r="G3225" s="16" t="n">
        <v>45.71197482</v>
      </c>
      <c r="H3225" s="18" t="n">
        <v>16</v>
      </c>
      <c r="I3225" s="18" t="n">
        <v>96</v>
      </c>
      <c r="J3225" s="19" t="n">
        <v>5</v>
      </c>
      <c r="K3225" s="19"/>
      <c r="L3225" s="19" t="n">
        <v>1</v>
      </c>
      <c r="M3225" s="19"/>
      <c r="N3225" s="19"/>
      <c r="O3225" s="19" t="n">
        <v>3</v>
      </c>
      <c r="P3225" s="19"/>
      <c r="Q3225" s="19"/>
      <c r="R3225" s="19"/>
      <c r="S3225" s="19"/>
      <c r="T3225" s="19"/>
      <c r="U3225" s="19"/>
      <c r="V3225" s="19" t="n">
        <v>2</v>
      </c>
      <c r="W3225" s="19"/>
      <c r="X3225" s="19" t="n">
        <v>5</v>
      </c>
      <c r="Y3225" s="19"/>
      <c r="Z3225" s="19"/>
      <c r="AA3225" s="19"/>
      <c r="AB3225" s="19"/>
      <c r="AC3225" s="19"/>
      <c r="AD3225" s="19"/>
      <c r="AE3225" s="19"/>
      <c r="AF3225" s="19"/>
      <c r="AG3225" s="19"/>
      <c r="AH3225" s="19" t="n">
        <v>16</v>
      </c>
      <c r="AI3225" s="19"/>
      <c r="AJ3225" s="19"/>
      <c r="AK3225" s="19"/>
      <c r="AL3225" s="19"/>
      <c r="AM3225" s="19" t="n">
        <v>4</v>
      </c>
      <c r="AN3225" s="19" t="n">
        <v>4</v>
      </c>
      <c r="AO3225" s="19" t="n">
        <v>4</v>
      </c>
      <c r="AP3225" s="19" t="n">
        <v>4</v>
      </c>
      <c r="AQ3225" s="19"/>
      <c r="AR3225" s="19"/>
      <c r="AS3225" s="20" t="str">
        <f aca="false">HYPERLINK("http://www.openstreetmap.org/?mlat=35.3767&amp;mlon=45.712&amp;zoom=12#map=12/35.3767/45.712","Maplink1")</f>
        <v>Maplink1</v>
      </c>
      <c r="AT3225" s="20" t="str">
        <f aca="false">HYPERLINK("https://www.google.iq/maps/search/+35.3767,45.712/@35.3767,45.712,14z?hl=en","Maplink2")</f>
        <v>Maplink2</v>
      </c>
      <c r="AU3225" s="20" t="str">
        <f aca="false">HYPERLINK("http://www.bing.com/maps/?lvl=14&amp;sty=h&amp;cp=35.3767~45.712&amp;sp=point.35.3767_45.712","Maplink3")</f>
        <v>Maplink3</v>
      </c>
    </row>
    <row r="3226" customFormat="false" ht="15" hidden="false" customHeight="true" outlineLevel="0" collapsed="false">
      <c r="A3226" s="15" t="n">
        <v>22031</v>
      </c>
      <c r="B3226" s="16" t="s">
        <v>30</v>
      </c>
      <c r="C3226" s="16" t="s">
        <v>6130</v>
      </c>
      <c r="D3226" s="16" t="s">
        <v>6160</v>
      </c>
      <c r="E3226" s="17" t="s">
        <v>6161</v>
      </c>
      <c r="F3226" s="16" t="n">
        <v>35.18665925</v>
      </c>
      <c r="G3226" s="16" t="n">
        <v>45.99185578</v>
      </c>
      <c r="H3226" s="18" t="n">
        <v>28</v>
      </c>
      <c r="I3226" s="18" t="n">
        <v>168</v>
      </c>
      <c r="J3226" s="19" t="n">
        <v>17</v>
      </c>
      <c r="K3226" s="19"/>
      <c r="L3226" s="19" t="n">
        <v>7</v>
      </c>
      <c r="M3226" s="19"/>
      <c r="N3226" s="19"/>
      <c r="O3226" s="19"/>
      <c r="P3226" s="19"/>
      <c r="Q3226" s="19"/>
      <c r="R3226" s="19"/>
      <c r="S3226" s="19"/>
      <c r="T3226" s="19"/>
      <c r="U3226" s="19"/>
      <c r="V3226" s="19"/>
      <c r="W3226" s="19"/>
      <c r="X3226" s="19" t="n">
        <v>4</v>
      </c>
      <c r="Y3226" s="19"/>
      <c r="Z3226" s="19"/>
      <c r="AA3226" s="19"/>
      <c r="AB3226" s="19"/>
      <c r="AC3226" s="19"/>
      <c r="AD3226" s="19"/>
      <c r="AE3226" s="19"/>
      <c r="AF3226" s="19"/>
      <c r="AG3226" s="19"/>
      <c r="AH3226" s="19" t="n">
        <v>28</v>
      </c>
      <c r="AI3226" s="19"/>
      <c r="AJ3226" s="19"/>
      <c r="AK3226" s="19"/>
      <c r="AL3226" s="19" t="n">
        <v>6</v>
      </c>
      <c r="AM3226" s="19" t="n">
        <v>4</v>
      </c>
      <c r="AN3226" s="19"/>
      <c r="AO3226" s="19" t="n">
        <v>6</v>
      </c>
      <c r="AP3226" s="19" t="n">
        <v>11</v>
      </c>
      <c r="AQ3226" s="19" t="n">
        <v>1</v>
      </c>
      <c r="AR3226" s="19"/>
      <c r="AS3226" s="20" t="str">
        <f aca="false">HYPERLINK("http://www.openstreetmap.org/?mlat=35.1867&amp;mlon=45.9919&amp;zoom=12#map=12/35.1867/45.9919","Maplink1")</f>
        <v>Maplink1</v>
      </c>
      <c r="AT3226" s="20" t="str">
        <f aca="false">HYPERLINK("https://www.google.iq/maps/search/+35.1867,45.9919/@35.1867,45.9919,14z?hl=en","Maplink2")</f>
        <v>Maplink2</v>
      </c>
      <c r="AU3226" s="20" t="str">
        <f aca="false">HYPERLINK("http://www.bing.com/maps/?lvl=14&amp;sty=h&amp;cp=35.1867~45.9919&amp;sp=point.35.1867_45.9919","Maplink3")</f>
        <v>Maplink3</v>
      </c>
    </row>
    <row r="3227" customFormat="false" ht="15" hidden="false" customHeight="true" outlineLevel="0" collapsed="false">
      <c r="A3227" s="15" t="n">
        <v>21863</v>
      </c>
      <c r="B3227" s="16" t="s">
        <v>30</v>
      </c>
      <c r="C3227" s="16" t="s">
        <v>6130</v>
      </c>
      <c r="D3227" s="16" t="s">
        <v>6162</v>
      </c>
      <c r="E3227" s="17" t="s">
        <v>3366</v>
      </c>
      <c r="F3227" s="16" t="n">
        <v>35.18127688</v>
      </c>
      <c r="G3227" s="16" t="n">
        <v>45.99288063</v>
      </c>
      <c r="H3227" s="18" t="n">
        <v>29</v>
      </c>
      <c r="I3227" s="18" t="n">
        <v>174</v>
      </c>
      <c r="J3227" s="19" t="n">
        <v>14</v>
      </c>
      <c r="K3227" s="19"/>
      <c r="L3227" s="19" t="n">
        <v>6</v>
      </c>
      <c r="M3227" s="19"/>
      <c r="N3227" s="19"/>
      <c r="O3227" s="19" t="n">
        <v>5</v>
      </c>
      <c r="P3227" s="19"/>
      <c r="Q3227" s="19"/>
      <c r="R3227" s="19"/>
      <c r="S3227" s="19"/>
      <c r="T3227" s="19"/>
      <c r="U3227" s="19"/>
      <c r="V3227" s="19"/>
      <c r="W3227" s="19"/>
      <c r="X3227" s="19" t="n">
        <v>4</v>
      </c>
      <c r="Y3227" s="19"/>
      <c r="Z3227" s="19"/>
      <c r="AA3227" s="19"/>
      <c r="AB3227" s="19"/>
      <c r="AC3227" s="19"/>
      <c r="AD3227" s="19"/>
      <c r="AE3227" s="19"/>
      <c r="AF3227" s="19"/>
      <c r="AG3227" s="19"/>
      <c r="AH3227" s="19" t="n">
        <v>29</v>
      </c>
      <c r="AI3227" s="19"/>
      <c r="AJ3227" s="19"/>
      <c r="AK3227" s="19"/>
      <c r="AL3227" s="19" t="n">
        <v>7</v>
      </c>
      <c r="AM3227" s="19" t="n">
        <v>4</v>
      </c>
      <c r="AN3227" s="19"/>
      <c r="AO3227" s="19" t="n">
        <v>5</v>
      </c>
      <c r="AP3227" s="19" t="n">
        <v>11</v>
      </c>
      <c r="AQ3227" s="19" t="n">
        <v>2</v>
      </c>
      <c r="AR3227" s="19"/>
      <c r="AS3227" s="20" t="str">
        <f aca="false">HYPERLINK("http://www.openstreetmap.org/?mlat=35.1813&amp;mlon=45.9929&amp;zoom=12#map=12/35.1813/45.9929","Maplink1")</f>
        <v>Maplink1</v>
      </c>
      <c r="AT3227" s="20" t="str">
        <f aca="false">HYPERLINK("https://www.google.iq/maps/search/+35.1813,45.9929/@35.1813,45.9929,14z?hl=en","Maplink2")</f>
        <v>Maplink2</v>
      </c>
      <c r="AU3227" s="20" t="str">
        <f aca="false">HYPERLINK("http://www.bing.com/maps/?lvl=14&amp;sty=h&amp;cp=35.1813~45.9929&amp;sp=point.35.1813_45.9929","Maplink3")</f>
        <v>Maplink3</v>
      </c>
    </row>
    <row r="3228" customFormat="false" ht="15" hidden="false" customHeight="true" outlineLevel="0" collapsed="false">
      <c r="A3228" s="15" t="n">
        <v>22996</v>
      </c>
      <c r="B3228" s="16" t="s">
        <v>30</v>
      </c>
      <c r="C3228" s="16" t="s">
        <v>6130</v>
      </c>
      <c r="D3228" s="16" t="s">
        <v>3504</v>
      </c>
      <c r="E3228" s="17" t="s">
        <v>3366</v>
      </c>
      <c r="F3228" s="16" t="n">
        <v>35.32451604</v>
      </c>
      <c r="G3228" s="16" t="n">
        <v>45.689867</v>
      </c>
      <c r="H3228" s="18" t="n">
        <v>18</v>
      </c>
      <c r="I3228" s="18" t="n">
        <v>108</v>
      </c>
      <c r="J3228" s="19" t="n">
        <v>11</v>
      </c>
      <c r="K3228" s="19"/>
      <c r="L3228" s="19" t="n">
        <v>7</v>
      </c>
      <c r="M3228" s="19"/>
      <c r="N3228" s="19"/>
      <c r="O3228" s="19"/>
      <c r="P3228" s="19"/>
      <c r="Q3228" s="19"/>
      <c r="R3228" s="19"/>
      <c r="S3228" s="19"/>
      <c r="T3228" s="19"/>
      <c r="U3228" s="19"/>
      <c r="V3228" s="19"/>
      <c r="W3228" s="19"/>
      <c r="X3228" s="19"/>
      <c r="Y3228" s="19"/>
      <c r="Z3228" s="19"/>
      <c r="AA3228" s="19"/>
      <c r="AB3228" s="19"/>
      <c r="AC3228" s="19"/>
      <c r="AD3228" s="19"/>
      <c r="AE3228" s="19"/>
      <c r="AF3228" s="19"/>
      <c r="AG3228" s="19"/>
      <c r="AH3228" s="19" t="n">
        <v>18</v>
      </c>
      <c r="AI3228" s="19"/>
      <c r="AJ3228" s="19"/>
      <c r="AK3228" s="19"/>
      <c r="AL3228" s="19" t="n">
        <v>6</v>
      </c>
      <c r="AM3228" s="19" t="n">
        <v>2</v>
      </c>
      <c r="AN3228" s="19"/>
      <c r="AO3228" s="19" t="n">
        <v>4</v>
      </c>
      <c r="AP3228" s="19" t="n">
        <v>4</v>
      </c>
      <c r="AQ3228" s="19" t="n">
        <v>2</v>
      </c>
      <c r="AR3228" s="19"/>
      <c r="AS3228" s="20" t="str">
        <f aca="false">HYPERLINK("http://www.openstreetmap.org/?mlat=35.3245&amp;mlon=45.6899&amp;zoom=12#map=12/35.3245/45.6899","Maplink1")</f>
        <v>Maplink1</v>
      </c>
      <c r="AT3228" s="20" t="str">
        <f aca="false">HYPERLINK("https://www.google.iq/maps/search/+35.3245,45.6899/@35.3245,45.6899,14z?hl=en","Maplink2")</f>
        <v>Maplink2</v>
      </c>
      <c r="AU3228" s="20" t="str">
        <f aca="false">HYPERLINK("http://www.bing.com/maps/?lvl=14&amp;sty=h&amp;cp=35.3245~45.6899&amp;sp=point.35.3245_45.6899","Maplink3")</f>
        <v>Maplink3</v>
      </c>
    </row>
    <row r="3229" customFormat="false" ht="15" hidden="false" customHeight="true" outlineLevel="0" collapsed="false">
      <c r="A3229" s="15" t="n">
        <v>21962</v>
      </c>
      <c r="B3229" s="16" t="s">
        <v>30</v>
      </c>
      <c r="C3229" s="16" t="s">
        <v>6130</v>
      </c>
      <c r="D3229" s="16" t="s">
        <v>6163</v>
      </c>
      <c r="E3229" s="17" t="s">
        <v>6164</v>
      </c>
      <c r="F3229" s="16" t="n">
        <v>35.18327397</v>
      </c>
      <c r="G3229" s="16" t="n">
        <v>45.98436681</v>
      </c>
      <c r="H3229" s="18" t="n">
        <v>19</v>
      </c>
      <c r="I3229" s="18" t="n">
        <v>114</v>
      </c>
      <c r="J3229" s="19" t="n">
        <v>15</v>
      </c>
      <c r="K3229" s="19"/>
      <c r="L3229" s="19" t="n">
        <v>4</v>
      </c>
      <c r="M3229" s="19"/>
      <c r="N3229" s="19"/>
      <c r="O3229" s="19"/>
      <c r="P3229" s="19"/>
      <c r="Q3229" s="19"/>
      <c r="R3229" s="19"/>
      <c r="S3229" s="19"/>
      <c r="T3229" s="19"/>
      <c r="U3229" s="19"/>
      <c r="V3229" s="19"/>
      <c r="W3229" s="19"/>
      <c r="X3229" s="19"/>
      <c r="Y3229" s="19"/>
      <c r="Z3229" s="19"/>
      <c r="AA3229" s="19"/>
      <c r="AB3229" s="19"/>
      <c r="AC3229" s="19"/>
      <c r="AD3229" s="19"/>
      <c r="AE3229" s="19"/>
      <c r="AF3229" s="19"/>
      <c r="AG3229" s="19"/>
      <c r="AH3229" s="19" t="n">
        <v>19</v>
      </c>
      <c r="AI3229" s="19"/>
      <c r="AJ3229" s="19"/>
      <c r="AK3229" s="19"/>
      <c r="AL3229" s="19" t="n">
        <v>5</v>
      </c>
      <c r="AM3229" s="19" t="n">
        <v>4</v>
      </c>
      <c r="AN3229" s="19"/>
      <c r="AO3229" s="19"/>
      <c r="AP3229" s="19" t="n">
        <v>10</v>
      </c>
      <c r="AQ3229" s="19"/>
      <c r="AR3229" s="19"/>
      <c r="AS3229" s="20" t="str">
        <f aca="false">HYPERLINK("http://www.openstreetmap.org/?mlat=35.1833&amp;mlon=45.9844&amp;zoom=12#map=12/35.1833/45.9844","Maplink1")</f>
        <v>Maplink1</v>
      </c>
      <c r="AT3229" s="20" t="str">
        <f aca="false">HYPERLINK("https://www.google.iq/maps/search/+35.1833,45.9844/@35.1833,45.9844,14z?hl=en","Maplink2")</f>
        <v>Maplink2</v>
      </c>
      <c r="AU3229" s="20" t="str">
        <f aca="false">HYPERLINK("http://www.bing.com/maps/?lvl=14&amp;sty=h&amp;cp=35.1833~45.9844&amp;sp=point.35.1833_45.9844","Maplink3")</f>
        <v>Maplink3</v>
      </c>
    </row>
    <row r="3230" customFormat="false" ht="15" hidden="false" customHeight="true" outlineLevel="0" collapsed="false">
      <c r="A3230" s="15" t="n">
        <v>25759</v>
      </c>
      <c r="B3230" s="16" t="s">
        <v>30</v>
      </c>
      <c r="C3230" s="16" t="s">
        <v>6130</v>
      </c>
      <c r="D3230" s="16" t="s">
        <v>6165</v>
      </c>
      <c r="E3230" s="17" t="s">
        <v>6166</v>
      </c>
      <c r="F3230" s="16" t="n">
        <v>35.17282257</v>
      </c>
      <c r="G3230" s="16" t="n">
        <v>45.98833869</v>
      </c>
      <c r="H3230" s="18" t="n">
        <v>42</v>
      </c>
      <c r="I3230" s="18" t="n">
        <v>252</v>
      </c>
      <c r="J3230" s="19" t="n">
        <v>27</v>
      </c>
      <c r="K3230" s="19"/>
      <c r="L3230" s="19" t="n">
        <v>6</v>
      </c>
      <c r="M3230" s="19"/>
      <c r="N3230" s="19"/>
      <c r="O3230" s="19" t="n">
        <v>7</v>
      </c>
      <c r="P3230" s="19"/>
      <c r="Q3230" s="19"/>
      <c r="R3230" s="19"/>
      <c r="S3230" s="19"/>
      <c r="T3230" s="19"/>
      <c r="U3230" s="19"/>
      <c r="V3230" s="19"/>
      <c r="W3230" s="19"/>
      <c r="X3230" s="19" t="n">
        <v>2</v>
      </c>
      <c r="Y3230" s="19"/>
      <c r="Z3230" s="19"/>
      <c r="AA3230" s="19"/>
      <c r="AB3230" s="19"/>
      <c r="AC3230" s="19"/>
      <c r="AD3230" s="19"/>
      <c r="AE3230" s="19"/>
      <c r="AF3230" s="19"/>
      <c r="AG3230" s="19"/>
      <c r="AH3230" s="19" t="n">
        <v>42</v>
      </c>
      <c r="AI3230" s="19"/>
      <c r="AJ3230" s="19"/>
      <c r="AK3230" s="19"/>
      <c r="AL3230" s="19" t="n">
        <v>7</v>
      </c>
      <c r="AM3230" s="19" t="n">
        <v>13</v>
      </c>
      <c r="AN3230" s="19" t="n">
        <v>7</v>
      </c>
      <c r="AO3230" s="19" t="n">
        <v>5</v>
      </c>
      <c r="AP3230" s="19" t="n">
        <v>10</v>
      </c>
      <c r="AQ3230" s="19"/>
      <c r="AR3230" s="19"/>
      <c r="AS3230" s="20" t="str">
        <f aca="false">HYPERLINK("http://www.openstreetmap.org/?mlat=35.1728&amp;mlon=45.9883&amp;zoom=12#map=12/35.1728/45.9883","Maplink1")</f>
        <v>Maplink1</v>
      </c>
      <c r="AT3230" s="20" t="str">
        <f aca="false">HYPERLINK("https://www.google.iq/maps/search/+35.1728,45.9883/@35.1728,45.9883,14z?hl=en","Maplink2")</f>
        <v>Maplink2</v>
      </c>
      <c r="AU3230" s="20" t="str">
        <f aca="false">HYPERLINK("http://www.bing.com/maps/?lvl=14&amp;sty=h&amp;cp=35.1728~45.9883&amp;sp=point.35.1728_45.9883","Maplink3")</f>
        <v>Maplink3</v>
      </c>
    </row>
    <row r="3231" customFormat="false" ht="15" hidden="false" customHeight="true" outlineLevel="0" collapsed="false">
      <c r="A3231" s="15" t="n">
        <v>25645</v>
      </c>
      <c r="B3231" s="16" t="s">
        <v>30</v>
      </c>
      <c r="C3231" s="16" t="s">
        <v>6130</v>
      </c>
      <c r="D3231" s="16" t="s">
        <v>6167</v>
      </c>
      <c r="E3231" s="17" t="s">
        <v>6168</v>
      </c>
      <c r="F3231" s="16" t="n">
        <v>35.36659282</v>
      </c>
      <c r="G3231" s="16" t="n">
        <v>45.7188223</v>
      </c>
      <c r="H3231" s="18" t="n">
        <v>4</v>
      </c>
      <c r="I3231" s="18" t="n">
        <v>24</v>
      </c>
      <c r="J3231" s="19" t="n">
        <v>3</v>
      </c>
      <c r="K3231" s="19"/>
      <c r="L3231" s="19"/>
      <c r="M3231" s="19"/>
      <c r="N3231" s="19"/>
      <c r="O3231" s="19"/>
      <c r="P3231" s="19"/>
      <c r="Q3231" s="19"/>
      <c r="R3231" s="19"/>
      <c r="S3231" s="19"/>
      <c r="T3231" s="19"/>
      <c r="U3231" s="19"/>
      <c r="V3231" s="19" t="n">
        <v>1</v>
      </c>
      <c r="W3231" s="19"/>
      <c r="X3231" s="19"/>
      <c r="Y3231" s="19"/>
      <c r="Z3231" s="19"/>
      <c r="AA3231" s="19"/>
      <c r="AB3231" s="19"/>
      <c r="AC3231" s="19"/>
      <c r="AD3231" s="19"/>
      <c r="AE3231" s="19"/>
      <c r="AF3231" s="19"/>
      <c r="AG3231" s="19"/>
      <c r="AH3231" s="19" t="n">
        <v>4</v>
      </c>
      <c r="AI3231" s="19"/>
      <c r="AJ3231" s="19"/>
      <c r="AK3231" s="19"/>
      <c r="AL3231" s="19"/>
      <c r="AM3231" s="19"/>
      <c r="AN3231" s="19"/>
      <c r="AO3231" s="19" t="n">
        <v>2</v>
      </c>
      <c r="AP3231" s="19" t="n">
        <v>2</v>
      </c>
      <c r="AQ3231" s="19"/>
      <c r="AR3231" s="19"/>
      <c r="AS3231" s="20" t="str">
        <f aca="false">HYPERLINK("http://www.openstreetmap.org/?mlat=35.3666&amp;mlon=45.7188&amp;zoom=12#map=12/35.3666/45.7188","Maplink1")</f>
        <v>Maplink1</v>
      </c>
      <c r="AT3231" s="20" t="str">
        <f aca="false">HYPERLINK("https://www.google.iq/maps/search/+35.3666,45.7188/@35.3666,45.7188,14z?hl=en","Maplink2")</f>
        <v>Maplink2</v>
      </c>
      <c r="AU3231" s="20" t="str">
        <f aca="false">HYPERLINK("http://www.bing.com/maps/?lvl=14&amp;sty=h&amp;cp=35.3666~45.7188&amp;sp=point.35.3666_45.7188","Maplink3")</f>
        <v>Maplink3</v>
      </c>
    </row>
    <row r="3232" customFormat="false" ht="15" hidden="false" customHeight="true" outlineLevel="0" collapsed="false">
      <c r="A3232" s="15" t="n">
        <v>29691</v>
      </c>
      <c r="B3232" s="16" t="s">
        <v>30</v>
      </c>
      <c r="C3232" s="16" t="s">
        <v>6130</v>
      </c>
      <c r="D3232" s="16" t="s">
        <v>6169</v>
      </c>
      <c r="E3232" s="17" t="s">
        <v>6170</v>
      </c>
      <c r="F3232" s="16" t="n">
        <v>35.33402</v>
      </c>
      <c r="G3232" s="16" t="n">
        <v>45.63821</v>
      </c>
      <c r="H3232" s="18" t="n">
        <v>93</v>
      </c>
      <c r="I3232" s="18" t="n">
        <v>558</v>
      </c>
      <c r="J3232" s="19" t="n">
        <v>21</v>
      </c>
      <c r="K3232" s="19" t="n">
        <v>18</v>
      </c>
      <c r="L3232" s="19" t="n">
        <v>9</v>
      </c>
      <c r="M3232" s="19"/>
      <c r="N3232" s="19"/>
      <c r="O3232" s="19" t="n">
        <v>24</v>
      </c>
      <c r="P3232" s="19"/>
      <c r="Q3232" s="19"/>
      <c r="R3232" s="19"/>
      <c r="S3232" s="19"/>
      <c r="T3232" s="19"/>
      <c r="U3232" s="19"/>
      <c r="V3232" s="19"/>
      <c r="W3232" s="19"/>
      <c r="X3232" s="19" t="n">
        <v>21</v>
      </c>
      <c r="Y3232" s="19"/>
      <c r="Z3232" s="19"/>
      <c r="AA3232" s="19"/>
      <c r="AB3232" s="19"/>
      <c r="AC3232" s="19"/>
      <c r="AD3232" s="19"/>
      <c r="AE3232" s="19" t="n">
        <v>8</v>
      </c>
      <c r="AF3232" s="19"/>
      <c r="AG3232" s="19"/>
      <c r="AH3232" s="19" t="n">
        <v>84</v>
      </c>
      <c r="AI3232" s="19"/>
      <c r="AJ3232" s="19" t="n">
        <v>1</v>
      </c>
      <c r="AK3232" s="19"/>
      <c r="AL3232" s="19" t="n">
        <v>22</v>
      </c>
      <c r="AM3232" s="19" t="n">
        <v>34</v>
      </c>
      <c r="AN3232" s="19" t="n">
        <v>1</v>
      </c>
      <c r="AO3232" s="19" t="n">
        <v>35</v>
      </c>
      <c r="AP3232" s="19" t="n">
        <v>1</v>
      </c>
      <c r="AQ3232" s="19"/>
      <c r="AR3232" s="19"/>
      <c r="AS3232" s="20" t="str">
        <f aca="false">HYPERLINK("http://www.openstreetmap.org/?mlat=35.334&amp;mlon=45.6382&amp;zoom=12#map=12/35.334/45.6382","Maplink1")</f>
        <v>Maplink1</v>
      </c>
      <c r="AT3232" s="20" t="str">
        <f aca="false">HYPERLINK("https://www.google.iq/maps/search/+35.334,45.6382/@35.334,45.6382,14z?hl=en","Maplink2")</f>
        <v>Maplink2</v>
      </c>
      <c r="AU3232" s="20" t="str">
        <f aca="false">HYPERLINK("http://www.bing.com/maps/?lvl=14&amp;sty=h&amp;cp=35.334~45.6382&amp;sp=point.35.334_45.6382","Maplink3")</f>
        <v>Maplink3</v>
      </c>
    </row>
    <row r="3233" customFormat="false" ht="15" hidden="false" customHeight="true" outlineLevel="0" collapsed="false">
      <c r="A3233" s="15" t="n">
        <v>5299</v>
      </c>
      <c r="B3233" s="16" t="s">
        <v>30</v>
      </c>
      <c r="C3233" s="16" t="s">
        <v>6130</v>
      </c>
      <c r="D3233" s="16" t="s">
        <v>6171</v>
      </c>
      <c r="E3233" s="17" t="s">
        <v>6172</v>
      </c>
      <c r="F3233" s="16" t="n">
        <v>35.33761777</v>
      </c>
      <c r="G3233" s="16" t="n">
        <v>45.95100891</v>
      </c>
      <c r="H3233" s="18" t="n">
        <v>8</v>
      </c>
      <c r="I3233" s="18" t="n">
        <v>48</v>
      </c>
      <c r="J3233" s="19" t="n">
        <v>3</v>
      </c>
      <c r="K3233" s="19" t="n">
        <v>2</v>
      </c>
      <c r="L3233" s="19" t="n">
        <v>3</v>
      </c>
      <c r="M3233" s="19"/>
      <c r="N3233" s="19"/>
      <c r="O3233" s="19"/>
      <c r="P3233" s="19"/>
      <c r="Q3233" s="19"/>
      <c r="R3233" s="19"/>
      <c r="S3233" s="19"/>
      <c r="T3233" s="19"/>
      <c r="U3233" s="19"/>
      <c r="V3233" s="19"/>
      <c r="W3233" s="19"/>
      <c r="X3233" s="19"/>
      <c r="Y3233" s="19"/>
      <c r="Z3233" s="19"/>
      <c r="AA3233" s="19"/>
      <c r="AB3233" s="19"/>
      <c r="AC3233" s="19"/>
      <c r="AD3233" s="19"/>
      <c r="AE3233" s="19"/>
      <c r="AF3233" s="19"/>
      <c r="AG3233" s="19"/>
      <c r="AH3233" s="19" t="n">
        <v>8</v>
      </c>
      <c r="AI3233" s="19"/>
      <c r="AJ3233" s="19"/>
      <c r="AK3233" s="19"/>
      <c r="AL3233" s="19" t="n">
        <v>5</v>
      </c>
      <c r="AM3233" s="19" t="n">
        <v>1</v>
      </c>
      <c r="AN3233" s="19" t="n">
        <v>2</v>
      </c>
      <c r="AO3233" s="19"/>
      <c r="AP3233" s="19"/>
      <c r="AQ3233" s="19"/>
      <c r="AR3233" s="19"/>
      <c r="AS3233" s="20" t="str">
        <f aca="false">HYPERLINK("http://www.openstreetmap.org/?mlat=35.3376&amp;mlon=45.951&amp;zoom=12#map=12/35.3376/45.951","Maplink1")</f>
        <v>Maplink1</v>
      </c>
      <c r="AT3233" s="20" t="str">
        <f aca="false">HYPERLINK("https://www.google.iq/maps/search/+35.3376,45.951/@35.3376,45.951,14z?hl=en","Maplink2")</f>
        <v>Maplink2</v>
      </c>
      <c r="AU3233" s="20" t="str">
        <f aca="false">HYPERLINK("http://www.bing.com/maps/?lvl=14&amp;sty=h&amp;cp=35.3376~45.951&amp;sp=point.35.3376_45.951","Maplink3")</f>
        <v>Maplink3</v>
      </c>
    </row>
    <row r="3234" customFormat="false" ht="15" hidden="false" customHeight="true" outlineLevel="0" collapsed="false">
      <c r="A3234" s="15" t="n">
        <v>22462</v>
      </c>
      <c r="B3234" s="16" t="s">
        <v>30</v>
      </c>
      <c r="C3234" s="16" t="s">
        <v>6130</v>
      </c>
      <c r="D3234" s="16" t="s">
        <v>6173</v>
      </c>
      <c r="E3234" s="17" t="s">
        <v>6174</v>
      </c>
      <c r="F3234" s="16" t="n">
        <v>35.29666178</v>
      </c>
      <c r="G3234" s="16" t="n">
        <v>46.04306922</v>
      </c>
      <c r="H3234" s="18" t="n">
        <v>24</v>
      </c>
      <c r="I3234" s="18" t="n">
        <v>144</v>
      </c>
      <c r="J3234" s="19" t="n">
        <v>19</v>
      </c>
      <c r="K3234" s="19"/>
      <c r="L3234" s="19" t="n">
        <v>3</v>
      </c>
      <c r="M3234" s="19"/>
      <c r="N3234" s="19"/>
      <c r="O3234" s="19" t="n">
        <v>2</v>
      </c>
      <c r="P3234" s="19"/>
      <c r="Q3234" s="19"/>
      <c r="R3234" s="19"/>
      <c r="S3234" s="19"/>
      <c r="T3234" s="19"/>
      <c r="U3234" s="19"/>
      <c r="V3234" s="19"/>
      <c r="W3234" s="19"/>
      <c r="X3234" s="19"/>
      <c r="Y3234" s="19"/>
      <c r="Z3234" s="19"/>
      <c r="AA3234" s="19"/>
      <c r="AB3234" s="19"/>
      <c r="AC3234" s="19"/>
      <c r="AD3234" s="19"/>
      <c r="AE3234" s="19"/>
      <c r="AF3234" s="19"/>
      <c r="AG3234" s="19"/>
      <c r="AH3234" s="19" t="n">
        <v>24</v>
      </c>
      <c r="AI3234" s="19"/>
      <c r="AJ3234" s="19"/>
      <c r="AK3234" s="19"/>
      <c r="AL3234" s="19"/>
      <c r="AM3234" s="19" t="n">
        <v>4</v>
      </c>
      <c r="AN3234" s="19" t="n">
        <v>2</v>
      </c>
      <c r="AO3234" s="19" t="n">
        <v>4</v>
      </c>
      <c r="AP3234" s="19" t="n">
        <v>11</v>
      </c>
      <c r="AQ3234" s="19" t="n">
        <v>3</v>
      </c>
      <c r="AR3234" s="19"/>
      <c r="AS3234" s="20" t="str">
        <f aca="false">HYPERLINK("http://www.openstreetmap.org/?mlat=35.2967&amp;mlon=46.0431&amp;zoom=12#map=12/35.2967/46.0431","Maplink1")</f>
        <v>Maplink1</v>
      </c>
      <c r="AT3234" s="20" t="str">
        <f aca="false">HYPERLINK("https://www.google.iq/maps/search/+35.2967,46.0431/@35.2967,46.0431,14z?hl=en","Maplink2")</f>
        <v>Maplink2</v>
      </c>
      <c r="AU3234" s="20" t="str">
        <f aca="false">HYPERLINK("http://www.bing.com/maps/?lvl=14&amp;sty=h&amp;cp=35.2967~46.0431&amp;sp=point.35.2967_46.0431","Maplink3")</f>
        <v>Maplink3</v>
      </c>
    </row>
    <row r="3235" customFormat="false" ht="15" hidden="false" customHeight="true" outlineLevel="0" collapsed="false">
      <c r="A3235" s="15" t="n">
        <v>29692</v>
      </c>
      <c r="B3235" s="16" t="s">
        <v>30</v>
      </c>
      <c r="C3235" s="16" t="s">
        <v>6130</v>
      </c>
      <c r="D3235" s="16" t="s">
        <v>6175</v>
      </c>
      <c r="E3235" s="17" t="s">
        <v>6176</v>
      </c>
      <c r="F3235" s="16" t="n">
        <v>35.35603</v>
      </c>
      <c r="G3235" s="16" t="n">
        <v>45.62956</v>
      </c>
      <c r="H3235" s="18" t="n">
        <v>15</v>
      </c>
      <c r="I3235" s="18" t="n">
        <v>90</v>
      </c>
      <c r="J3235" s="19" t="n">
        <v>2</v>
      </c>
      <c r="K3235" s="19"/>
      <c r="L3235" s="19"/>
      <c r="M3235" s="19"/>
      <c r="N3235" s="19"/>
      <c r="O3235" s="19" t="n">
        <v>8</v>
      </c>
      <c r="P3235" s="19"/>
      <c r="Q3235" s="19"/>
      <c r="R3235" s="19"/>
      <c r="S3235" s="19"/>
      <c r="T3235" s="19"/>
      <c r="U3235" s="19"/>
      <c r="V3235" s="19"/>
      <c r="W3235" s="19"/>
      <c r="X3235" s="19" t="n">
        <v>5</v>
      </c>
      <c r="Y3235" s="19"/>
      <c r="Z3235" s="19"/>
      <c r="AA3235" s="19"/>
      <c r="AB3235" s="19"/>
      <c r="AC3235" s="19"/>
      <c r="AD3235" s="19"/>
      <c r="AE3235" s="19" t="n">
        <v>2</v>
      </c>
      <c r="AF3235" s="19"/>
      <c r="AG3235" s="19"/>
      <c r="AH3235" s="19" t="n">
        <v>13</v>
      </c>
      <c r="AI3235" s="19"/>
      <c r="AJ3235" s="19"/>
      <c r="AK3235" s="19"/>
      <c r="AL3235" s="19" t="n">
        <v>1</v>
      </c>
      <c r="AM3235" s="19" t="n">
        <v>5</v>
      </c>
      <c r="AN3235" s="19" t="n">
        <v>5</v>
      </c>
      <c r="AO3235" s="19" t="n">
        <v>4</v>
      </c>
      <c r="AP3235" s="19"/>
      <c r="AQ3235" s="19"/>
      <c r="AR3235" s="19"/>
      <c r="AS3235" s="20" t="str">
        <f aca="false">HYPERLINK("http://www.openstreetmap.org/?mlat=35.356&amp;mlon=45.6296&amp;zoom=12#map=12/35.356/45.6296","Maplink1")</f>
        <v>Maplink1</v>
      </c>
      <c r="AT3235" s="20" t="str">
        <f aca="false">HYPERLINK("https://www.google.iq/maps/search/+35.356,45.6296/@35.356,45.6296,14z?hl=en","Maplink2")</f>
        <v>Maplink2</v>
      </c>
      <c r="AU3235" s="20" t="str">
        <f aca="false">HYPERLINK("http://www.bing.com/maps/?lvl=14&amp;sty=h&amp;cp=35.356~45.6296&amp;sp=point.35.356_45.6296","Maplink3")</f>
        <v>Maplink3</v>
      </c>
    </row>
    <row r="3236" customFormat="false" ht="15" hidden="false" customHeight="true" outlineLevel="0" collapsed="false">
      <c r="A3236" s="15" t="n">
        <v>25648</v>
      </c>
      <c r="B3236" s="16" t="s">
        <v>30</v>
      </c>
      <c r="C3236" s="16" t="s">
        <v>6130</v>
      </c>
      <c r="D3236" s="16" t="s">
        <v>6177</v>
      </c>
      <c r="E3236" s="17" t="s">
        <v>6178</v>
      </c>
      <c r="F3236" s="16" t="n">
        <v>35.3703712</v>
      </c>
      <c r="G3236" s="16" t="n">
        <v>45.71267389</v>
      </c>
      <c r="H3236" s="18" t="n">
        <v>6</v>
      </c>
      <c r="I3236" s="18" t="n">
        <v>36</v>
      </c>
      <c r="J3236" s="19" t="n">
        <v>5</v>
      </c>
      <c r="K3236" s="19"/>
      <c r="L3236" s="19"/>
      <c r="M3236" s="19"/>
      <c r="N3236" s="19"/>
      <c r="O3236" s="19"/>
      <c r="P3236" s="19"/>
      <c r="Q3236" s="19"/>
      <c r="R3236" s="19"/>
      <c r="S3236" s="19"/>
      <c r="T3236" s="19"/>
      <c r="U3236" s="19"/>
      <c r="V3236" s="19"/>
      <c r="W3236" s="19"/>
      <c r="X3236" s="19" t="n">
        <v>1</v>
      </c>
      <c r="Y3236" s="19"/>
      <c r="Z3236" s="19"/>
      <c r="AA3236" s="19"/>
      <c r="AB3236" s="19"/>
      <c r="AC3236" s="19"/>
      <c r="AD3236" s="19"/>
      <c r="AE3236" s="19"/>
      <c r="AF3236" s="19"/>
      <c r="AG3236" s="19"/>
      <c r="AH3236" s="19" t="n">
        <v>6</v>
      </c>
      <c r="AI3236" s="19"/>
      <c r="AJ3236" s="19"/>
      <c r="AK3236" s="19"/>
      <c r="AL3236" s="19" t="n">
        <v>5</v>
      </c>
      <c r="AM3236" s="19"/>
      <c r="AN3236" s="19" t="n">
        <v>1</v>
      </c>
      <c r="AO3236" s="19"/>
      <c r="AP3236" s="19"/>
      <c r="AQ3236" s="19"/>
      <c r="AR3236" s="19"/>
      <c r="AS3236" s="20" t="str">
        <f aca="false">HYPERLINK("http://www.openstreetmap.org/?mlat=35.3704&amp;mlon=45.7127&amp;zoom=12#map=12/35.3704/45.7127","Maplink1")</f>
        <v>Maplink1</v>
      </c>
      <c r="AT3236" s="20" t="str">
        <f aca="false">HYPERLINK("https://www.google.iq/maps/search/+35.3704,45.7127/@35.3704,45.7127,14z?hl=en","Maplink2")</f>
        <v>Maplink2</v>
      </c>
      <c r="AU3236" s="20" t="str">
        <f aca="false">HYPERLINK("http://www.bing.com/maps/?lvl=14&amp;sty=h&amp;cp=35.3704~45.7127&amp;sp=point.35.3704_45.7127","Maplink3")</f>
        <v>Maplink3</v>
      </c>
    </row>
    <row r="3237" customFormat="false" ht="15" hidden="false" customHeight="true" outlineLevel="0" collapsed="false">
      <c r="A3237" s="15" t="n">
        <v>23078</v>
      </c>
      <c r="B3237" s="16" t="s">
        <v>30</v>
      </c>
      <c r="C3237" s="16" t="s">
        <v>6130</v>
      </c>
      <c r="D3237" s="16" t="s">
        <v>6179</v>
      </c>
      <c r="E3237" s="17" t="s">
        <v>6180</v>
      </c>
      <c r="F3237" s="16" t="n">
        <v>35.32108613</v>
      </c>
      <c r="G3237" s="16" t="n">
        <v>45.67982558</v>
      </c>
      <c r="H3237" s="18" t="n">
        <v>56</v>
      </c>
      <c r="I3237" s="18" t="n">
        <v>336</v>
      </c>
      <c r="J3237" s="19" t="n">
        <v>46</v>
      </c>
      <c r="K3237" s="19"/>
      <c r="L3237" s="19" t="n">
        <v>7</v>
      </c>
      <c r="M3237" s="19"/>
      <c r="N3237" s="19"/>
      <c r="O3237" s="19" t="n">
        <v>3</v>
      </c>
      <c r="P3237" s="19"/>
      <c r="Q3237" s="19"/>
      <c r="R3237" s="19"/>
      <c r="S3237" s="19"/>
      <c r="T3237" s="19"/>
      <c r="U3237" s="19"/>
      <c r="V3237" s="19"/>
      <c r="W3237" s="19"/>
      <c r="X3237" s="19"/>
      <c r="Y3237" s="19"/>
      <c r="Z3237" s="19"/>
      <c r="AA3237" s="19"/>
      <c r="AB3237" s="19"/>
      <c r="AC3237" s="19"/>
      <c r="AD3237" s="19"/>
      <c r="AE3237" s="19"/>
      <c r="AF3237" s="19"/>
      <c r="AG3237" s="19"/>
      <c r="AH3237" s="19" t="n">
        <v>56</v>
      </c>
      <c r="AI3237" s="19"/>
      <c r="AJ3237" s="19"/>
      <c r="AK3237" s="19"/>
      <c r="AL3237" s="19" t="n">
        <v>7</v>
      </c>
      <c r="AM3237" s="19" t="n">
        <v>12</v>
      </c>
      <c r="AN3237" s="19"/>
      <c r="AO3237" s="19" t="n">
        <v>17</v>
      </c>
      <c r="AP3237" s="19" t="n">
        <v>14</v>
      </c>
      <c r="AQ3237" s="19" t="n">
        <v>6</v>
      </c>
      <c r="AR3237" s="19"/>
      <c r="AS3237" s="20" t="str">
        <f aca="false">HYPERLINK("http://www.openstreetmap.org/?mlat=35.3211&amp;mlon=45.6798&amp;zoom=12#map=12/35.3211/45.6798","Maplink1")</f>
        <v>Maplink1</v>
      </c>
      <c r="AT3237" s="20" t="str">
        <f aca="false">HYPERLINK("https://www.google.iq/maps/search/+35.3211,45.6798/@35.3211,45.6798,14z?hl=en","Maplink2")</f>
        <v>Maplink2</v>
      </c>
      <c r="AU3237" s="20" t="str">
        <f aca="false">HYPERLINK("http://www.bing.com/maps/?lvl=14&amp;sty=h&amp;cp=35.3211~45.6798&amp;sp=point.35.3211_45.6798","Maplink3")</f>
        <v>Maplink3</v>
      </c>
    </row>
    <row r="3238" customFormat="false" ht="15" hidden="false" customHeight="true" outlineLevel="0" collapsed="false">
      <c r="A3238" s="15" t="n">
        <v>25081</v>
      </c>
      <c r="B3238" s="16" t="s">
        <v>30</v>
      </c>
      <c r="C3238" s="16" t="s">
        <v>6130</v>
      </c>
      <c r="D3238" s="16" t="s">
        <v>6090</v>
      </c>
      <c r="E3238" s="17" t="s">
        <v>6091</v>
      </c>
      <c r="F3238" s="16" t="n">
        <v>35.35111064</v>
      </c>
      <c r="G3238" s="16" t="n">
        <v>45.86350806</v>
      </c>
      <c r="H3238" s="18" t="n">
        <v>44</v>
      </c>
      <c r="I3238" s="18" t="n">
        <v>264</v>
      </c>
      <c r="J3238" s="19" t="n">
        <v>38</v>
      </c>
      <c r="K3238" s="19"/>
      <c r="L3238" s="19"/>
      <c r="M3238" s="19"/>
      <c r="N3238" s="19"/>
      <c r="O3238" s="19"/>
      <c r="P3238" s="19"/>
      <c r="Q3238" s="19"/>
      <c r="R3238" s="19"/>
      <c r="S3238" s="19"/>
      <c r="T3238" s="19"/>
      <c r="U3238" s="19"/>
      <c r="V3238" s="19" t="n">
        <v>4</v>
      </c>
      <c r="W3238" s="19"/>
      <c r="X3238" s="19" t="n">
        <v>2</v>
      </c>
      <c r="Y3238" s="19"/>
      <c r="Z3238" s="19"/>
      <c r="AA3238" s="19"/>
      <c r="AB3238" s="19"/>
      <c r="AC3238" s="19"/>
      <c r="AD3238" s="19"/>
      <c r="AE3238" s="19"/>
      <c r="AF3238" s="19"/>
      <c r="AG3238" s="19"/>
      <c r="AH3238" s="19" t="n">
        <v>44</v>
      </c>
      <c r="AI3238" s="19"/>
      <c r="AJ3238" s="19"/>
      <c r="AK3238" s="19"/>
      <c r="AL3238" s="19" t="n">
        <v>5</v>
      </c>
      <c r="AM3238" s="19" t="n">
        <v>8</v>
      </c>
      <c r="AN3238" s="19" t="n">
        <v>17</v>
      </c>
      <c r="AO3238" s="19" t="n">
        <v>9</v>
      </c>
      <c r="AP3238" s="19" t="n">
        <v>5</v>
      </c>
      <c r="AQ3238" s="19"/>
      <c r="AR3238" s="19"/>
      <c r="AS3238" s="20" t="str">
        <f aca="false">HYPERLINK("http://www.openstreetmap.org/?mlat=35.3511&amp;mlon=45.8635&amp;zoom=12#map=12/35.3511/45.8635","Maplink1")</f>
        <v>Maplink1</v>
      </c>
      <c r="AT3238" s="20" t="str">
        <f aca="false">HYPERLINK("https://www.google.iq/maps/search/+35.3511,45.8635/@35.3511,45.8635,14z?hl=en","Maplink2")</f>
        <v>Maplink2</v>
      </c>
      <c r="AU3238" s="20" t="str">
        <f aca="false">HYPERLINK("http://www.bing.com/maps/?lvl=14&amp;sty=h&amp;cp=35.3511~45.8635&amp;sp=point.35.3511_45.8635","Maplink3")</f>
        <v>Maplink3</v>
      </c>
    </row>
    <row r="3239" customFormat="false" ht="15" hidden="false" customHeight="true" outlineLevel="0" collapsed="false">
      <c r="A3239" s="15" t="n">
        <v>4603</v>
      </c>
      <c r="B3239" s="16" t="s">
        <v>30</v>
      </c>
      <c r="C3239" s="16" t="s">
        <v>6130</v>
      </c>
      <c r="D3239" s="16" t="s">
        <v>6181</v>
      </c>
      <c r="E3239" s="17" t="s">
        <v>6182</v>
      </c>
      <c r="F3239" s="16" t="n">
        <v>35.3701901</v>
      </c>
      <c r="G3239" s="16" t="n">
        <v>45.82681201</v>
      </c>
      <c r="H3239" s="18" t="n">
        <v>13</v>
      </c>
      <c r="I3239" s="18" t="n">
        <v>78</v>
      </c>
      <c r="J3239" s="19" t="n">
        <v>10</v>
      </c>
      <c r="K3239" s="19"/>
      <c r="L3239" s="19" t="n">
        <v>2</v>
      </c>
      <c r="M3239" s="19"/>
      <c r="N3239" s="19"/>
      <c r="O3239" s="19"/>
      <c r="P3239" s="19"/>
      <c r="Q3239" s="19"/>
      <c r="R3239" s="19"/>
      <c r="S3239" s="19"/>
      <c r="T3239" s="19"/>
      <c r="U3239" s="19"/>
      <c r="V3239" s="19"/>
      <c r="W3239" s="19"/>
      <c r="X3239" s="19" t="n">
        <v>1</v>
      </c>
      <c r="Y3239" s="19"/>
      <c r="Z3239" s="19"/>
      <c r="AA3239" s="19"/>
      <c r="AB3239" s="19"/>
      <c r="AC3239" s="19"/>
      <c r="AD3239" s="19"/>
      <c r="AE3239" s="19"/>
      <c r="AF3239" s="19"/>
      <c r="AG3239" s="19"/>
      <c r="AH3239" s="19" t="n">
        <v>13</v>
      </c>
      <c r="AI3239" s="19"/>
      <c r="AJ3239" s="19"/>
      <c r="AK3239" s="19"/>
      <c r="AL3239" s="19"/>
      <c r="AM3239" s="19" t="n">
        <v>7</v>
      </c>
      <c r="AN3239" s="19"/>
      <c r="AO3239" s="19" t="n">
        <v>4</v>
      </c>
      <c r="AP3239" s="19" t="n">
        <v>2</v>
      </c>
      <c r="AQ3239" s="19"/>
      <c r="AR3239" s="19"/>
      <c r="AS3239" s="20" t="str">
        <f aca="false">HYPERLINK("http://www.openstreetmap.org/?mlat=35.3702&amp;mlon=45.8268&amp;zoom=12#map=12/35.3702/45.8268","Maplink1")</f>
        <v>Maplink1</v>
      </c>
      <c r="AT3239" s="20" t="str">
        <f aca="false">HYPERLINK("https://www.google.iq/maps/search/+35.3702,45.8268/@35.3702,45.8268,14z?hl=en","Maplink2")</f>
        <v>Maplink2</v>
      </c>
      <c r="AU3239" s="20" t="str">
        <f aca="false">HYPERLINK("http://www.bing.com/maps/?lvl=14&amp;sty=h&amp;cp=35.3702~45.8268&amp;sp=point.35.3702_45.8268","Maplink3")</f>
        <v>Maplink3</v>
      </c>
    </row>
    <row r="3240" customFormat="false" ht="15" hidden="false" customHeight="true" outlineLevel="0" collapsed="false">
      <c r="A3240" s="15" t="n">
        <v>22994</v>
      </c>
      <c r="B3240" s="16" t="s">
        <v>30</v>
      </c>
      <c r="C3240" s="16" t="s">
        <v>6130</v>
      </c>
      <c r="D3240" s="16" t="s">
        <v>6183</v>
      </c>
      <c r="E3240" s="17" t="s">
        <v>6184</v>
      </c>
      <c r="F3240" s="16" t="n">
        <v>35.17066335</v>
      </c>
      <c r="G3240" s="16" t="n">
        <v>45.99614249</v>
      </c>
      <c r="H3240" s="18" t="n">
        <v>16</v>
      </c>
      <c r="I3240" s="18" t="n">
        <v>96</v>
      </c>
      <c r="J3240" s="19" t="n">
        <v>8</v>
      </c>
      <c r="K3240" s="19"/>
      <c r="L3240" s="19" t="n">
        <v>3</v>
      </c>
      <c r="M3240" s="19"/>
      <c r="N3240" s="19"/>
      <c r="O3240" s="19" t="n">
        <v>5</v>
      </c>
      <c r="P3240" s="19"/>
      <c r="Q3240" s="19"/>
      <c r="R3240" s="19"/>
      <c r="S3240" s="19"/>
      <c r="T3240" s="19"/>
      <c r="U3240" s="19"/>
      <c r="V3240" s="19"/>
      <c r="W3240" s="19"/>
      <c r="X3240" s="19"/>
      <c r="Y3240" s="19"/>
      <c r="Z3240" s="19"/>
      <c r="AA3240" s="19"/>
      <c r="AB3240" s="19"/>
      <c r="AC3240" s="19"/>
      <c r="AD3240" s="19"/>
      <c r="AE3240" s="19"/>
      <c r="AF3240" s="19"/>
      <c r="AG3240" s="19"/>
      <c r="AH3240" s="19" t="n">
        <v>16</v>
      </c>
      <c r="AI3240" s="19"/>
      <c r="AJ3240" s="19"/>
      <c r="AK3240" s="19"/>
      <c r="AL3240" s="19" t="n">
        <v>4</v>
      </c>
      <c r="AM3240" s="19" t="n">
        <v>2</v>
      </c>
      <c r="AN3240" s="19" t="n">
        <v>4</v>
      </c>
      <c r="AO3240" s="19"/>
      <c r="AP3240" s="19" t="n">
        <v>6</v>
      </c>
      <c r="AQ3240" s="19"/>
      <c r="AR3240" s="19"/>
      <c r="AS3240" s="20" t="str">
        <f aca="false">HYPERLINK("http://www.openstreetmap.org/?mlat=35.1707&amp;mlon=45.9961&amp;zoom=12#map=12/35.1707/45.9961","Maplink1")</f>
        <v>Maplink1</v>
      </c>
      <c r="AT3240" s="20" t="str">
        <f aca="false">HYPERLINK("https://www.google.iq/maps/search/+35.1707,45.9961/@35.1707,45.9961,14z?hl=en","Maplink2")</f>
        <v>Maplink2</v>
      </c>
      <c r="AU3240" s="20" t="str">
        <f aca="false">HYPERLINK("http://www.bing.com/maps/?lvl=14&amp;sty=h&amp;cp=35.1707~45.9961&amp;sp=point.35.1707_45.9961","Maplink3")</f>
        <v>Maplink3</v>
      </c>
    </row>
    <row r="3241" customFormat="false" ht="15" hidden="false" customHeight="true" outlineLevel="0" collapsed="false">
      <c r="A3241" s="15" t="n">
        <v>21858</v>
      </c>
      <c r="B3241" s="16" t="s">
        <v>30</v>
      </c>
      <c r="C3241" s="16" t="s">
        <v>6130</v>
      </c>
      <c r="D3241" s="16" t="s">
        <v>2833</v>
      </c>
      <c r="E3241" s="17" t="s">
        <v>2834</v>
      </c>
      <c r="F3241" s="16" t="n">
        <v>35.17949685</v>
      </c>
      <c r="G3241" s="16" t="n">
        <v>45.99011256</v>
      </c>
      <c r="H3241" s="18" t="n">
        <v>21</v>
      </c>
      <c r="I3241" s="18" t="n">
        <v>126</v>
      </c>
      <c r="J3241" s="19" t="n">
        <v>12</v>
      </c>
      <c r="K3241" s="19"/>
      <c r="L3241" s="19" t="n">
        <v>3</v>
      </c>
      <c r="M3241" s="19"/>
      <c r="N3241" s="19"/>
      <c r="O3241" s="19" t="n">
        <v>4</v>
      </c>
      <c r="P3241" s="19"/>
      <c r="Q3241" s="19"/>
      <c r="R3241" s="19"/>
      <c r="S3241" s="19"/>
      <c r="T3241" s="19"/>
      <c r="U3241" s="19"/>
      <c r="V3241" s="19"/>
      <c r="W3241" s="19"/>
      <c r="X3241" s="19" t="n">
        <v>2</v>
      </c>
      <c r="Y3241" s="19"/>
      <c r="Z3241" s="19"/>
      <c r="AA3241" s="19"/>
      <c r="AB3241" s="19"/>
      <c r="AC3241" s="19"/>
      <c r="AD3241" s="19"/>
      <c r="AE3241" s="19"/>
      <c r="AF3241" s="19"/>
      <c r="AG3241" s="19"/>
      <c r="AH3241" s="19" t="n">
        <v>21</v>
      </c>
      <c r="AI3241" s="19"/>
      <c r="AJ3241" s="19"/>
      <c r="AK3241" s="19"/>
      <c r="AL3241" s="19" t="n">
        <v>2</v>
      </c>
      <c r="AM3241" s="19" t="n">
        <v>8</v>
      </c>
      <c r="AN3241" s="19"/>
      <c r="AO3241" s="19" t="n">
        <v>3</v>
      </c>
      <c r="AP3241" s="19" t="n">
        <v>7</v>
      </c>
      <c r="AQ3241" s="19" t="n">
        <v>1</v>
      </c>
      <c r="AR3241" s="19"/>
      <c r="AS3241" s="20" t="str">
        <f aca="false">HYPERLINK("http://www.openstreetmap.org/?mlat=35.1795&amp;mlon=45.9901&amp;zoom=12#map=12/35.1795/45.9901","Maplink1")</f>
        <v>Maplink1</v>
      </c>
      <c r="AT3241" s="20" t="str">
        <f aca="false">HYPERLINK("https://www.google.iq/maps/search/+35.1795,45.9901/@35.1795,45.9901,14z?hl=en","Maplink2")</f>
        <v>Maplink2</v>
      </c>
      <c r="AU3241" s="20" t="str">
        <f aca="false">HYPERLINK("http://www.bing.com/maps/?lvl=14&amp;sty=h&amp;cp=35.1795~45.9901&amp;sp=point.35.1795_45.9901","Maplink3")</f>
        <v>Maplink3</v>
      </c>
    </row>
    <row r="3242" customFormat="false" ht="15" hidden="false" customHeight="true" outlineLevel="0" collapsed="false">
      <c r="A3242" s="15" t="n">
        <v>25080</v>
      </c>
      <c r="B3242" s="16" t="s">
        <v>30</v>
      </c>
      <c r="C3242" s="16" t="s">
        <v>6130</v>
      </c>
      <c r="D3242" s="16" t="s">
        <v>6185</v>
      </c>
      <c r="E3242" s="17" t="s">
        <v>6186</v>
      </c>
      <c r="F3242" s="16" t="n">
        <v>35.32449636</v>
      </c>
      <c r="G3242" s="16" t="n">
        <v>45.69780184</v>
      </c>
      <c r="H3242" s="18" t="n">
        <v>75</v>
      </c>
      <c r="I3242" s="18" t="n">
        <v>450</v>
      </c>
      <c r="J3242" s="19" t="n">
        <v>65</v>
      </c>
      <c r="K3242" s="19"/>
      <c r="L3242" s="19" t="n">
        <v>9</v>
      </c>
      <c r="M3242" s="19"/>
      <c r="N3242" s="19"/>
      <c r="O3242" s="19" t="n">
        <v>1</v>
      </c>
      <c r="P3242" s="19"/>
      <c r="Q3242" s="19"/>
      <c r="R3242" s="19"/>
      <c r="S3242" s="19"/>
      <c r="T3242" s="19"/>
      <c r="U3242" s="19"/>
      <c r="V3242" s="19"/>
      <c r="W3242" s="19"/>
      <c r="X3242" s="19"/>
      <c r="Y3242" s="19"/>
      <c r="Z3242" s="19"/>
      <c r="AA3242" s="19"/>
      <c r="AB3242" s="19"/>
      <c r="AC3242" s="19"/>
      <c r="AD3242" s="19"/>
      <c r="AE3242" s="19"/>
      <c r="AF3242" s="19"/>
      <c r="AG3242" s="19"/>
      <c r="AH3242" s="19" t="n">
        <v>75</v>
      </c>
      <c r="AI3242" s="19"/>
      <c r="AJ3242" s="19"/>
      <c r="AK3242" s="19"/>
      <c r="AL3242" s="19" t="n">
        <v>15</v>
      </c>
      <c r="AM3242" s="19" t="n">
        <v>15</v>
      </c>
      <c r="AN3242" s="19"/>
      <c r="AO3242" s="19" t="n">
        <v>25</v>
      </c>
      <c r="AP3242" s="19" t="n">
        <v>19</v>
      </c>
      <c r="AQ3242" s="19" t="n">
        <v>1</v>
      </c>
      <c r="AR3242" s="19"/>
      <c r="AS3242" s="20" t="str">
        <f aca="false">HYPERLINK("http://www.openstreetmap.org/?mlat=35.3245&amp;mlon=45.6978&amp;zoom=12#map=12/35.3245/45.6978","Maplink1")</f>
        <v>Maplink1</v>
      </c>
      <c r="AT3242" s="20" t="str">
        <f aca="false">HYPERLINK("https://www.google.iq/maps/search/+35.3245,45.6978/@35.3245,45.6978,14z?hl=en","Maplink2")</f>
        <v>Maplink2</v>
      </c>
      <c r="AU3242" s="20" t="str">
        <f aca="false">HYPERLINK("http://www.bing.com/maps/?lvl=14&amp;sty=h&amp;cp=35.3245~45.6978&amp;sp=point.35.3245_45.6978","Maplink3")</f>
        <v>Maplink3</v>
      </c>
    </row>
    <row r="3243" customFormat="false" ht="15" hidden="false" customHeight="true" outlineLevel="0" collapsed="false">
      <c r="A3243" s="15" t="n">
        <v>23077</v>
      </c>
      <c r="B3243" s="16" t="s">
        <v>30</v>
      </c>
      <c r="C3243" s="16" t="s">
        <v>6130</v>
      </c>
      <c r="D3243" s="16" t="s">
        <v>6092</v>
      </c>
      <c r="E3243" s="17" t="s">
        <v>3575</v>
      </c>
      <c r="F3243" s="16" t="n">
        <v>35.31353383</v>
      </c>
      <c r="G3243" s="16" t="n">
        <v>45.69204056</v>
      </c>
      <c r="H3243" s="18" t="n">
        <v>47</v>
      </c>
      <c r="I3243" s="18" t="n">
        <v>282</v>
      </c>
      <c r="J3243" s="19" t="n">
        <v>39</v>
      </c>
      <c r="K3243" s="19"/>
      <c r="L3243" s="19" t="n">
        <v>4</v>
      </c>
      <c r="M3243" s="19"/>
      <c r="N3243" s="19"/>
      <c r="O3243" s="19" t="n">
        <v>4</v>
      </c>
      <c r="P3243" s="19"/>
      <c r="Q3243" s="19"/>
      <c r="R3243" s="19"/>
      <c r="S3243" s="19"/>
      <c r="T3243" s="19"/>
      <c r="U3243" s="19"/>
      <c r="V3243" s="19"/>
      <c r="W3243" s="19"/>
      <c r="X3243" s="19"/>
      <c r="Y3243" s="19"/>
      <c r="Z3243" s="19"/>
      <c r="AA3243" s="19"/>
      <c r="AB3243" s="19"/>
      <c r="AC3243" s="19"/>
      <c r="AD3243" s="19"/>
      <c r="AE3243" s="19"/>
      <c r="AF3243" s="19"/>
      <c r="AG3243" s="19"/>
      <c r="AH3243" s="19" t="n">
        <v>47</v>
      </c>
      <c r="AI3243" s="19"/>
      <c r="AJ3243" s="19"/>
      <c r="AK3243" s="19"/>
      <c r="AL3243" s="19" t="n">
        <v>20</v>
      </c>
      <c r="AM3243" s="19" t="n">
        <v>5</v>
      </c>
      <c r="AN3243" s="19"/>
      <c r="AO3243" s="19" t="n">
        <v>9</v>
      </c>
      <c r="AP3243" s="19" t="n">
        <v>12</v>
      </c>
      <c r="AQ3243" s="19" t="n">
        <v>1</v>
      </c>
      <c r="AR3243" s="19"/>
      <c r="AS3243" s="20" t="str">
        <f aca="false">HYPERLINK("http://www.openstreetmap.org/?mlat=35.3135&amp;mlon=45.692&amp;zoom=12#map=12/35.3135/45.692","Maplink1")</f>
        <v>Maplink1</v>
      </c>
      <c r="AT3243" s="20" t="str">
        <f aca="false">HYPERLINK("https://www.google.iq/maps/search/+35.3135,45.692/@35.3135,45.692,14z?hl=en","Maplink2")</f>
        <v>Maplink2</v>
      </c>
      <c r="AU3243" s="20" t="str">
        <f aca="false">HYPERLINK("http://www.bing.com/maps/?lvl=14&amp;sty=h&amp;cp=35.3135~45.692&amp;sp=point.35.3135_45.692","Maplink3")</f>
        <v>Maplink3</v>
      </c>
    </row>
    <row r="3244" customFormat="false" ht="15" hidden="false" customHeight="true" outlineLevel="0" collapsed="false">
      <c r="A3244" s="15" t="n">
        <v>21857</v>
      </c>
      <c r="B3244" s="16" t="s">
        <v>30</v>
      </c>
      <c r="C3244" s="16" t="s">
        <v>6130</v>
      </c>
      <c r="D3244" s="16" t="s">
        <v>6092</v>
      </c>
      <c r="E3244" s="17" t="s">
        <v>3575</v>
      </c>
      <c r="F3244" s="16" t="n">
        <v>35.18989143</v>
      </c>
      <c r="G3244" s="16" t="n">
        <v>45.99382831</v>
      </c>
      <c r="H3244" s="18" t="n">
        <v>33</v>
      </c>
      <c r="I3244" s="18" t="n">
        <v>198</v>
      </c>
      <c r="J3244" s="19" t="n">
        <v>18</v>
      </c>
      <c r="K3244" s="19" t="n">
        <v>1</v>
      </c>
      <c r="L3244" s="19" t="n">
        <v>5</v>
      </c>
      <c r="M3244" s="19"/>
      <c r="N3244" s="19"/>
      <c r="O3244" s="19" t="n">
        <v>5</v>
      </c>
      <c r="P3244" s="19"/>
      <c r="Q3244" s="19"/>
      <c r="R3244" s="19"/>
      <c r="S3244" s="19"/>
      <c r="T3244" s="19"/>
      <c r="U3244" s="19"/>
      <c r="V3244" s="19" t="n">
        <v>2</v>
      </c>
      <c r="W3244" s="19"/>
      <c r="X3244" s="19" t="n">
        <v>2</v>
      </c>
      <c r="Y3244" s="19"/>
      <c r="Z3244" s="19"/>
      <c r="AA3244" s="19"/>
      <c r="AB3244" s="19"/>
      <c r="AC3244" s="19"/>
      <c r="AD3244" s="19"/>
      <c r="AE3244" s="19"/>
      <c r="AF3244" s="19"/>
      <c r="AG3244" s="19"/>
      <c r="AH3244" s="19" t="n">
        <v>33</v>
      </c>
      <c r="AI3244" s="19"/>
      <c r="AJ3244" s="19"/>
      <c r="AK3244" s="19"/>
      <c r="AL3244" s="19" t="n">
        <v>4</v>
      </c>
      <c r="AM3244" s="19" t="n">
        <v>14</v>
      </c>
      <c r="AN3244" s="19"/>
      <c r="AO3244" s="19" t="n">
        <v>7</v>
      </c>
      <c r="AP3244" s="19" t="n">
        <v>6</v>
      </c>
      <c r="AQ3244" s="19" t="n">
        <v>2</v>
      </c>
      <c r="AR3244" s="19"/>
      <c r="AS3244" s="20" t="str">
        <f aca="false">HYPERLINK("http://www.openstreetmap.org/?mlat=35.1899&amp;mlon=45.9938&amp;zoom=12#map=12/35.1899/45.9938","Maplink1")</f>
        <v>Maplink1</v>
      </c>
      <c r="AT3244" s="20" t="str">
        <f aca="false">HYPERLINK("https://www.google.iq/maps/search/+35.1899,45.9938/@35.1899,45.9938,14z?hl=en","Maplink2")</f>
        <v>Maplink2</v>
      </c>
      <c r="AU3244" s="20" t="str">
        <f aca="false">HYPERLINK("http://www.bing.com/maps/?lvl=14&amp;sty=h&amp;cp=35.1899~45.9938&amp;sp=point.35.1899_45.9938","Maplink3")</f>
        <v>Maplink3</v>
      </c>
    </row>
    <row r="3245" customFormat="false" ht="15" hidden="false" customHeight="true" outlineLevel="0" collapsed="false">
      <c r="A3245" s="15" t="n">
        <v>22995</v>
      </c>
      <c r="B3245" s="16" t="s">
        <v>30</v>
      </c>
      <c r="C3245" s="16" t="s">
        <v>6130</v>
      </c>
      <c r="D3245" s="16" t="s">
        <v>6187</v>
      </c>
      <c r="E3245" s="17" t="s">
        <v>5003</v>
      </c>
      <c r="F3245" s="16" t="n">
        <v>35.35793323</v>
      </c>
      <c r="G3245" s="16" t="n">
        <v>45.86353276</v>
      </c>
      <c r="H3245" s="18" t="n">
        <v>52</v>
      </c>
      <c r="I3245" s="18" t="n">
        <v>312</v>
      </c>
      <c r="J3245" s="19" t="n">
        <v>38</v>
      </c>
      <c r="K3245" s="19" t="n">
        <v>1</v>
      </c>
      <c r="L3245" s="19" t="n">
        <v>2</v>
      </c>
      <c r="M3245" s="19"/>
      <c r="N3245" s="19"/>
      <c r="O3245" s="19"/>
      <c r="P3245" s="19"/>
      <c r="Q3245" s="19"/>
      <c r="R3245" s="19"/>
      <c r="S3245" s="19"/>
      <c r="T3245" s="19"/>
      <c r="U3245" s="19"/>
      <c r="V3245" s="19" t="n">
        <v>11</v>
      </c>
      <c r="W3245" s="19"/>
      <c r="X3245" s="19"/>
      <c r="Y3245" s="19"/>
      <c r="Z3245" s="19"/>
      <c r="AA3245" s="19"/>
      <c r="AB3245" s="19"/>
      <c r="AC3245" s="19"/>
      <c r="AD3245" s="19"/>
      <c r="AE3245" s="19"/>
      <c r="AF3245" s="19"/>
      <c r="AG3245" s="19"/>
      <c r="AH3245" s="19" t="n">
        <v>52</v>
      </c>
      <c r="AI3245" s="19"/>
      <c r="AJ3245" s="19"/>
      <c r="AK3245" s="19"/>
      <c r="AL3245" s="19" t="n">
        <v>12</v>
      </c>
      <c r="AM3245" s="19" t="n">
        <v>12</v>
      </c>
      <c r="AN3245" s="19" t="n">
        <v>11</v>
      </c>
      <c r="AO3245" s="19" t="n">
        <v>17</v>
      </c>
      <c r="AP3245" s="19"/>
      <c r="AQ3245" s="19"/>
      <c r="AR3245" s="19"/>
      <c r="AS3245" s="20" t="str">
        <f aca="false">HYPERLINK("http://www.openstreetmap.org/?mlat=35.3579&amp;mlon=45.8635&amp;zoom=12#map=12/35.3579/45.8635","Maplink1")</f>
        <v>Maplink1</v>
      </c>
      <c r="AT3245" s="20" t="str">
        <f aca="false">HYPERLINK("https://www.google.iq/maps/search/+35.3579,45.8635/@35.3579,45.8635,14z?hl=en","Maplink2")</f>
        <v>Maplink2</v>
      </c>
      <c r="AU3245" s="20" t="str">
        <f aca="false">HYPERLINK("http://www.bing.com/maps/?lvl=14&amp;sty=h&amp;cp=35.3579~45.8635&amp;sp=point.35.3579_45.8635","Maplink3")</f>
        <v>Maplink3</v>
      </c>
    </row>
    <row r="3246" customFormat="false" ht="15" hidden="false" customHeight="true" outlineLevel="0" collapsed="false">
      <c r="A3246" s="15" t="n">
        <v>6209</v>
      </c>
      <c r="B3246" s="16" t="s">
        <v>30</v>
      </c>
      <c r="C3246" s="16" t="s">
        <v>6130</v>
      </c>
      <c r="D3246" s="16" t="s">
        <v>6188</v>
      </c>
      <c r="E3246" s="17" t="s">
        <v>6189</v>
      </c>
      <c r="F3246" s="16" t="n">
        <v>35.24732289</v>
      </c>
      <c r="G3246" s="16" t="n">
        <v>45.94390419</v>
      </c>
      <c r="H3246" s="18" t="n">
        <v>131</v>
      </c>
      <c r="I3246" s="18" t="n">
        <v>786</v>
      </c>
      <c r="J3246" s="19" t="n">
        <v>21</v>
      </c>
      <c r="K3246" s="19" t="n">
        <v>14</v>
      </c>
      <c r="L3246" s="19" t="n">
        <v>36</v>
      </c>
      <c r="M3246" s="19"/>
      <c r="N3246" s="19"/>
      <c r="O3246" s="19" t="n">
        <v>44</v>
      </c>
      <c r="P3246" s="19"/>
      <c r="Q3246" s="19"/>
      <c r="R3246" s="19"/>
      <c r="S3246" s="19"/>
      <c r="T3246" s="19"/>
      <c r="U3246" s="19"/>
      <c r="V3246" s="19"/>
      <c r="W3246" s="19"/>
      <c r="X3246" s="19" t="n">
        <v>16</v>
      </c>
      <c r="Y3246" s="19"/>
      <c r="Z3246" s="19"/>
      <c r="AA3246" s="19"/>
      <c r="AB3246" s="19"/>
      <c r="AC3246" s="19"/>
      <c r="AD3246" s="19"/>
      <c r="AE3246" s="19"/>
      <c r="AF3246" s="19"/>
      <c r="AG3246" s="19"/>
      <c r="AH3246" s="19" t="n">
        <v>131</v>
      </c>
      <c r="AI3246" s="19"/>
      <c r="AJ3246" s="19"/>
      <c r="AK3246" s="19"/>
      <c r="AL3246" s="19" t="n">
        <v>24</v>
      </c>
      <c r="AM3246" s="19" t="n">
        <v>28</v>
      </c>
      <c r="AN3246" s="19" t="n">
        <v>18</v>
      </c>
      <c r="AO3246" s="19" t="n">
        <v>28</v>
      </c>
      <c r="AP3246" s="19" t="n">
        <v>32</v>
      </c>
      <c r="AQ3246" s="19" t="n">
        <v>1</v>
      </c>
      <c r="AR3246" s="19"/>
      <c r="AS3246" s="20" t="str">
        <f aca="false">HYPERLINK("http://www.openstreetmap.org/?mlat=35.2473&amp;mlon=45.9439&amp;zoom=12#map=12/35.2473/45.9439","Maplink1")</f>
        <v>Maplink1</v>
      </c>
      <c r="AT3246" s="20" t="str">
        <f aca="false">HYPERLINK("https://www.google.iq/maps/search/+35.2473,45.9439/@35.2473,45.9439,14z?hl=en","Maplink2")</f>
        <v>Maplink2</v>
      </c>
      <c r="AU3246" s="20" t="str">
        <f aca="false">HYPERLINK("http://www.bing.com/maps/?lvl=14&amp;sty=h&amp;cp=35.2473~45.9439&amp;sp=point.35.2473_45.9439","Maplink3")</f>
        <v>Maplink3</v>
      </c>
    </row>
    <row r="3247" customFormat="false" ht="15" hidden="false" customHeight="true" outlineLevel="0" collapsed="false">
      <c r="A3247" s="15" t="n">
        <v>23079</v>
      </c>
      <c r="B3247" s="16" t="s">
        <v>30</v>
      </c>
      <c r="C3247" s="16" t="s">
        <v>6130</v>
      </c>
      <c r="D3247" s="16" t="s">
        <v>6190</v>
      </c>
      <c r="E3247" s="17" t="s">
        <v>6191</v>
      </c>
      <c r="F3247" s="16" t="n">
        <v>35.32167312</v>
      </c>
      <c r="G3247" s="16" t="n">
        <v>45.70061699</v>
      </c>
      <c r="H3247" s="18" t="n">
        <v>72</v>
      </c>
      <c r="I3247" s="18" t="n">
        <v>432</v>
      </c>
      <c r="J3247" s="19" t="n">
        <v>64</v>
      </c>
      <c r="K3247" s="19"/>
      <c r="L3247" s="19" t="n">
        <v>5</v>
      </c>
      <c r="M3247" s="19"/>
      <c r="N3247" s="19"/>
      <c r="O3247" s="19" t="n">
        <v>3</v>
      </c>
      <c r="P3247" s="19"/>
      <c r="Q3247" s="19"/>
      <c r="R3247" s="19"/>
      <c r="S3247" s="19"/>
      <c r="T3247" s="19"/>
      <c r="U3247" s="19"/>
      <c r="V3247" s="19"/>
      <c r="W3247" s="19"/>
      <c r="X3247" s="19"/>
      <c r="Y3247" s="19"/>
      <c r="Z3247" s="19"/>
      <c r="AA3247" s="19"/>
      <c r="AB3247" s="19"/>
      <c r="AC3247" s="19"/>
      <c r="AD3247" s="19"/>
      <c r="AE3247" s="19"/>
      <c r="AF3247" s="19"/>
      <c r="AG3247" s="19"/>
      <c r="AH3247" s="19" t="n">
        <v>72</v>
      </c>
      <c r="AI3247" s="19"/>
      <c r="AJ3247" s="19"/>
      <c r="AK3247" s="19"/>
      <c r="AL3247" s="19" t="n">
        <v>14</v>
      </c>
      <c r="AM3247" s="19" t="n">
        <v>11</v>
      </c>
      <c r="AN3247" s="19"/>
      <c r="AO3247" s="19" t="n">
        <v>20</v>
      </c>
      <c r="AP3247" s="19" t="n">
        <v>24</v>
      </c>
      <c r="AQ3247" s="19" t="n">
        <v>3</v>
      </c>
      <c r="AR3247" s="19"/>
      <c r="AS3247" s="20" t="str">
        <f aca="false">HYPERLINK("http://www.openstreetmap.org/?mlat=35.3217&amp;mlon=45.7006&amp;zoom=12#map=12/35.3217/45.7006","Maplink1")</f>
        <v>Maplink1</v>
      </c>
      <c r="AT3247" s="20" t="str">
        <f aca="false">HYPERLINK("https://www.google.iq/maps/search/+35.3217,45.7006/@35.3217,45.7006,14z?hl=en","Maplink2")</f>
        <v>Maplink2</v>
      </c>
      <c r="AU3247" s="20" t="str">
        <f aca="false">HYPERLINK("http://www.bing.com/maps/?lvl=14&amp;sty=h&amp;cp=35.3217~45.7006&amp;sp=point.35.3217_45.7006","Maplink3")</f>
        <v>Maplink3</v>
      </c>
    </row>
    <row r="3248" customFormat="false" ht="15" hidden="false" customHeight="true" outlineLevel="0" collapsed="false">
      <c r="A3248" s="15" t="n">
        <v>29689</v>
      </c>
      <c r="B3248" s="16" t="s">
        <v>30</v>
      </c>
      <c r="C3248" s="16" t="s">
        <v>6192</v>
      </c>
      <c r="D3248" s="16" t="s">
        <v>6193</v>
      </c>
      <c r="E3248" s="17" t="s">
        <v>6194</v>
      </c>
      <c r="F3248" s="16" t="n">
        <v>34.53981</v>
      </c>
      <c r="G3248" s="16" t="n">
        <v>45.03893</v>
      </c>
      <c r="H3248" s="18" t="n">
        <v>115</v>
      </c>
      <c r="I3248" s="18" t="n">
        <v>690</v>
      </c>
      <c r="J3248" s="19"/>
      <c r="K3248" s="19"/>
      <c r="L3248" s="19"/>
      <c r="M3248" s="19"/>
      <c r="N3248" s="19"/>
      <c r="O3248" s="19" t="n">
        <v>115</v>
      </c>
      <c r="P3248" s="19"/>
      <c r="Q3248" s="19"/>
      <c r="R3248" s="19"/>
      <c r="S3248" s="19"/>
      <c r="T3248" s="19"/>
      <c r="U3248" s="19"/>
      <c r="V3248" s="19"/>
      <c r="W3248" s="19"/>
      <c r="X3248" s="19"/>
      <c r="Y3248" s="19"/>
      <c r="Z3248" s="19"/>
      <c r="AA3248" s="19"/>
      <c r="AB3248" s="19"/>
      <c r="AC3248" s="19" t="n">
        <v>115</v>
      </c>
      <c r="AD3248" s="19"/>
      <c r="AE3248" s="19"/>
      <c r="AF3248" s="19"/>
      <c r="AG3248" s="19"/>
      <c r="AH3248" s="19"/>
      <c r="AI3248" s="19"/>
      <c r="AJ3248" s="19"/>
      <c r="AK3248" s="19"/>
      <c r="AL3248" s="19"/>
      <c r="AM3248" s="19" t="n">
        <v>115</v>
      </c>
      <c r="AN3248" s="19"/>
      <c r="AO3248" s="19"/>
      <c r="AP3248" s="19"/>
      <c r="AQ3248" s="19"/>
      <c r="AR3248" s="19"/>
      <c r="AS3248" s="20" t="str">
        <f aca="false">HYPERLINK("http://www.openstreetmap.org/?mlat=34.5398&amp;mlon=45.0389&amp;zoom=12#map=12/34.5398/45.0389","Maplink1")</f>
        <v>Maplink1</v>
      </c>
      <c r="AT3248" s="20" t="str">
        <f aca="false">HYPERLINK("https://www.google.iq/maps/search/+34.5398,45.0389/@34.5398,45.0389,14z?hl=en","Maplink2")</f>
        <v>Maplink2</v>
      </c>
      <c r="AU3248" s="20" t="str">
        <f aca="false">HYPERLINK("http://www.bing.com/maps/?lvl=14&amp;sty=h&amp;cp=34.5398~45.0389&amp;sp=point.34.5398_45.0389","Maplink3")</f>
        <v>Maplink3</v>
      </c>
    </row>
    <row r="3249" customFormat="false" ht="15" hidden="false" customHeight="true" outlineLevel="0" collapsed="false">
      <c r="A3249" s="15" t="n">
        <v>29697</v>
      </c>
      <c r="B3249" s="16" t="s">
        <v>30</v>
      </c>
      <c r="C3249" s="16" t="s">
        <v>6192</v>
      </c>
      <c r="D3249" s="16" t="s">
        <v>6195</v>
      </c>
      <c r="E3249" s="17" t="s">
        <v>6196</v>
      </c>
      <c r="F3249" s="16" t="n">
        <v>34.52164</v>
      </c>
      <c r="G3249" s="16" t="n">
        <v>45.15683</v>
      </c>
      <c r="H3249" s="18" t="n">
        <v>12</v>
      </c>
      <c r="I3249" s="18" t="n">
        <v>72</v>
      </c>
      <c r="J3249" s="19"/>
      <c r="K3249" s="19"/>
      <c r="L3249" s="19"/>
      <c r="M3249" s="19"/>
      <c r="N3249" s="19"/>
      <c r="O3249" s="19" t="n">
        <v>12</v>
      </c>
      <c r="P3249" s="19"/>
      <c r="Q3249" s="19"/>
      <c r="R3249" s="19"/>
      <c r="S3249" s="19"/>
      <c r="T3249" s="19"/>
      <c r="U3249" s="19"/>
      <c r="V3249" s="19"/>
      <c r="W3249" s="19"/>
      <c r="X3249" s="19"/>
      <c r="Y3249" s="19"/>
      <c r="Z3249" s="19"/>
      <c r="AA3249" s="19"/>
      <c r="AB3249" s="19"/>
      <c r="AC3249" s="19"/>
      <c r="AD3249" s="19"/>
      <c r="AE3249" s="19"/>
      <c r="AF3249" s="19"/>
      <c r="AG3249" s="19"/>
      <c r="AH3249" s="19" t="n">
        <v>12</v>
      </c>
      <c r="AI3249" s="19"/>
      <c r="AJ3249" s="19"/>
      <c r="AK3249" s="19"/>
      <c r="AL3249" s="19"/>
      <c r="AM3249" s="19" t="n">
        <v>12</v>
      </c>
      <c r="AN3249" s="19"/>
      <c r="AO3249" s="19"/>
      <c r="AP3249" s="19"/>
      <c r="AQ3249" s="19"/>
      <c r="AR3249" s="19"/>
      <c r="AS3249" s="20" t="str">
        <f aca="false">HYPERLINK("http://www.openstreetmap.org/?mlat=34.5216&amp;mlon=45.1568&amp;zoom=12#map=12/34.5216/45.1568","Maplink1")</f>
        <v>Maplink1</v>
      </c>
      <c r="AT3249" s="20" t="str">
        <f aca="false">HYPERLINK("https://www.google.iq/maps/search/+34.5216,45.1568/@34.5216,45.1568,14z?hl=en","Maplink2")</f>
        <v>Maplink2</v>
      </c>
      <c r="AU3249" s="20" t="str">
        <f aca="false">HYPERLINK("http://www.bing.com/maps/?lvl=14&amp;sty=h&amp;cp=34.5216~45.1568&amp;sp=point.34.5216_45.1568","Maplink3")</f>
        <v>Maplink3</v>
      </c>
    </row>
    <row r="3250" customFormat="false" ht="15" hidden="false" customHeight="true" outlineLevel="0" collapsed="false">
      <c r="A3250" s="15" t="n">
        <v>24891</v>
      </c>
      <c r="B3250" s="16" t="s">
        <v>30</v>
      </c>
      <c r="C3250" s="16" t="s">
        <v>6192</v>
      </c>
      <c r="D3250" s="16" t="s">
        <v>2713</v>
      </c>
      <c r="E3250" s="17" t="s">
        <v>3613</v>
      </c>
      <c r="F3250" s="16" t="n">
        <v>34.63005712</v>
      </c>
      <c r="G3250" s="16" t="n">
        <v>45.34025469</v>
      </c>
      <c r="H3250" s="18" t="n">
        <v>52</v>
      </c>
      <c r="I3250" s="18" t="n">
        <v>312</v>
      </c>
      <c r="J3250" s="19" t="n">
        <v>24</v>
      </c>
      <c r="K3250" s="19"/>
      <c r="L3250" s="19"/>
      <c r="M3250" s="19"/>
      <c r="N3250" s="19"/>
      <c r="O3250" s="19" t="n">
        <v>28</v>
      </c>
      <c r="P3250" s="19"/>
      <c r="Q3250" s="19"/>
      <c r="R3250" s="19"/>
      <c r="S3250" s="19"/>
      <c r="T3250" s="19"/>
      <c r="U3250" s="19"/>
      <c r="V3250" s="19"/>
      <c r="W3250" s="19"/>
      <c r="X3250" s="19"/>
      <c r="Y3250" s="19"/>
      <c r="Z3250" s="19"/>
      <c r="AA3250" s="19"/>
      <c r="AB3250" s="19"/>
      <c r="AC3250" s="19"/>
      <c r="AD3250" s="19"/>
      <c r="AE3250" s="19"/>
      <c r="AF3250" s="19"/>
      <c r="AG3250" s="19"/>
      <c r="AH3250" s="19" t="n">
        <v>52</v>
      </c>
      <c r="AI3250" s="19"/>
      <c r="AJ3250" s="19"/>
      <c r="AK3250" s="19"/>
      <c r="AL3250" s="19" t="n">
        <v>6</v>
      </c>
      <c r="AM3250" s="19" t="n">
        <v>29</v>
      </c>
      <c r="AN3250" s="19" t="n">
        <v>4</v>
      </c>
      <c r="AO3250" s="19" t="n">
        <v>5</v>
      </c>
      <c r="AP3250" s="19" t="n">
        <v>5</v>
      </c>
      <c r="AQ3250" s="19" t="n">
        <v>3</v>
      </c>
      <c r="AR3250" s="19"/>
      <c r="AS3250" s="20" t="str">
        <f aca="false">HYPERLINK("http://www.openstreetmap.org/?mlat=34.6301&amp;mlon=45.3403&amp;zoom=12#map=12/34.6301/45.3403","Maplink1")</f>
        <v>Maplink1</v>
      </c>
      <c r="AT3250" s="20" t="str">
        <f aca="false">HYPERLINK("https://www.google.iq/maps/search/+34.6301,45.3403/@34.6301,45.3403,14z?hl=en","Maplink2")</f>
        <v>Maplink2</v>
      </c>
      <c r="AU3250" s="20" t="str">
        <f aca="false">HYPERLINK("http://www.bing.com/maps/?lvl=14&amp;sty=h&amp;cp=34.6301~45.3403&amp;sp=point.34.6301_45.3403","Maplink3")</f>
        <v>Maplink3</v>
      </c>
    </row>
    <row r="3251" customFormat="false" ht="15" hidden="false" customHeight="true" outlineLevel="0" collapsed="false">
      <c r="A3251" s="15" t="n">
        <v>24886</v>
      </c>
      <c r="B3251" s="16" t="s">
        <v>30</v>
      </c>
      <c r="C3251" s="16" t="s">
        <v>6192</v>
      </c>
      <c r="D3251" s="16" t="s">
        <v>6197</v>
      </c>
      <c r="E3251" s="17" t="s">
        <v>6198</v>
      </c>
      <c r="F3251" s="16" t="n">
        <v>34.52214168</v>
      </c>
      <c r="G3251" s="16" t="n">
        <v>45.2164279</v>
      </c>
      <c r="H3251" s="18" t="n">
        <v>47</v>
      </c>
      <c r="I3251" s="18" t="n">
        <v>282</v>
      </c>
      <c r="J3251" s="19"/>
      <c r="K3251" s="19"/>
      <c r="L3251" s="19"/>
      <c r="M3251" s="19"/>
      <c r="N3251" s="19"/>
      <c r="O3251" s="19" t="n">
        <v>47</v>
      </c>
      <c r="P3251" s="19"/>
      <c r="Q3251" s="19"/>
      <c r="R3251" s="19"/>
      <c r="S3251" s="19"/>
      <c r="T3251" s="19"/>
      <c r="U3251" s="19"/>
      <c r="V3251" s="19"/>
      <c r="W3251" s="19"/>
      <c r="X3251" s="19"/>
      <c r="Y3251" s="19"/>
      <c r="Z3251" s="19"/>
      <c r="AA3251" s="19"/>
      <c r="AB3251" s="19"/>
      <c r="AC3251" s="19"/>
      <c r="AD3251" s="19"/>
      <c r="AE3251" s="19"/>
      <c r="AF3251" s="19"/>
      <c r="AG3251" s="19"/>
      <c r="AH3251" s="19" t="n">
        <v>47</v>
      </c>
      <c r="AI3251" s="19"/>
      <c r="AJ3251" s="19"/>
      <c r="AK3251" s="19"/>
      <c r="AL3251" s="19"/>
      <c r="AM3251" s="19" t="n">
        <v>40</v>
      </c>
      <c r="AN3251" s="19"/>
      <c r="AO3251" s="19" t="n">
        <v>7</v>
      </c>
      <c r="AP3251" s="19"/>
      <c r="AQ3251" s="19"/>
      <c r="AR3251" s="19"/>
      <c r="AS3251" s="20" t="str">
        <f aca="false">HYPERLINK("http://www.openstreetmap.org/?mlat=34.5221&amp;mlon=45.2164&amp;zoom=12#map=12/34.5221/45.2164","Maplink1")</f>
        <v>Maplink1</v>
      </c>
      <c r="AT3251" s="20" t="str">
        <f aca="false">HYPERLINK("https://www.google.iq/maps/search/+34.5221,45.2164/@34.5221,45.2164,14z?hl=en","Maplink2")</f>
        <v>Maplink2</v>
      </c>
      <c r="AU3251" s="20" t="str">
        <f aca="false">HYPERLINK("http://www.bing.com/maps/?lvl=14&amp;sty=h&amp;cp=34.5221~45.2164&amp;sp=point.34.5221_45.2164","Maplink3")</f>
        <v>Maplink3</v>
      </c>
    </row>
    <row r="3252" customFormat="false" ht="15" hidden="false" customHeight="true" outlineLevel="0" collapsed="false">
      <c r="A3252" s="15" t="n">
        <v>29696</v>
      </c>
      <c r="B3252" s="16" t="s">
        <v>30</v>
      </c>
      <c r="C3252" s="16" t="s">
        <v>6192</v>
      </c>
      <c r="D3252" s="16" t="s">
        <v>6199</v>
      </c>
      <c r="E3252" s="17" t="s">
        <v>6200</v>
      </c>
      <c r="F3252" s="16" t="n">
        <v>34.47796</v>
      </c>
      <c r="G3252" s="16" t="n">
        <v>45.14314</v>
      </c>
      <c r="H3252" s="18" t="n">
        <v>21</v>
      </c>
      <c r="I3252" s="18" t="n">
        <v>126</v>
      </c>
      <c r="J3252" s="19"/>
      <c r="K3252" s="19"/>
      <c r="L3252" s="19"/>
      <c r="M3252" s="19"/>
      <c r="N3252" s="19"/>
      <c r="O3252" s="19" t="n">
        <v>21</v>
      </c>
      <c r="P3252" s="19"/>
      <c r="Q3252" s="19"/>
      <c r="R3252" s="19"/>
      <c r="S3252" s="19"/>
      <c r="T3252" s="19"/>
      <c r="U3252" s="19"/>
      <c r="V3252" s="19"/>
      <c r="W3252" s="19"/>
      <c r="X3252" s="19"/>
      <c r="Y3252" s="19"/>
      <c r="Z3252" s="19"/>
      <c r="AA3252" s="19"/>
      <c r="AB3252" s="19"/>
      <c r="AC3252" s="19" t="n">
        <v>19</v>
      </c>
      <c r="AD3252" s="19"/>
      <c r="AE3252" s="19"/>
      <c r="AF3252" s="19"/>
      <c r="AG3252" s="19"/>
      <c r="AH3252" s="19" t="n">
        <v>2</v>
      </c>
      <c r="AI3252" s="19"/>
      <c r="AJ3252" s="19"/>
      <c r="AK3252" s="19"/>
      <c r="AL3252" s="19"/>
      <c r="AM3252" s="19" t="n">
        <v>21</v>
      </c>
      <c r="AN3252" s="19"/>
      <c r="AO3252" s="19"/>
      <c r="AP3252" s="19"/>
      <c r="AQ3252" s="19"/>
      <c r="AR3252" s="19"/>
      <c r="AS3252" s="20" t="str">
        <f aca="false">HYPERLINK("http://www.openstreetmap.org/?mlat=34.478&amp;mlon=45.1431&amp;zoom=12#map=12/34.478/45.1431","Maplink1")</f>
        <v>Maplink1</v>
      </c>
      <c r="AT3252" s="20" t="str">
        <f aca="false">HYPERLINK("https://www.google.iq/maps/search/+34.478,45.1431/@34.478,45.1431,14z?hl=en","Maplink2")</f>
        <v>Maplink2</v>
      </c>
      <c r="AU3252" s="20" t="str">
        <f aca="false">HYPERLINK("http://www.bing.com/maps/?lvl=14&amp;sty=h&amp;cp=34.478~45.1431&amp;sp=point.34.478_45.1431","Maplink3")</f>
        <v>Maplink3</v>
      </c>
    </row>
    <row r="3253" customFormat="false" ht="15" hidden="false" customHeight="true" outlineLevel="0" collapsed="false">
      <c r="A3253" s="15" t="n">
        <v>3939</v>
      </c>
      <c r="B3253" s="16" t="s">
        <v>30</v>
      </c>
      <c r="C3253" s="16" t="s">
        <v>6192</v>
      </c>
      <c r="D3253" s="16" t="s">
        <v>6201</v>
      </c>
      <c r="E3253" s="17" t="s">
        <v>6202</v>
      </c>
      <c r="F3253" s="16" t="n">
        <v>34.6427638</v>
      </c>
      <c r="G3253" s="16" t="n">
        <v>45.34786583</v>
      </c>
      <c r="H3253" s="18" t="n">
        <v>39</v>
      </c>
      <c r="I3253" s="18" t="n">
        <v>234</v>
      </c>
      <c r="J3253" s="19" t="n">
        <v>18</v>
      </c>
      <c r="K3253" s="19"/>
      <c r="L3253" s="19"/>
      <c r="M3253" s="19"/>
      <c r="N3253" s="19"/>
      <c r="O3253" s="19" t="n">
        <v>21</v>
      </c>
      <c r="P3253" s="19"/>
      <c r="Q3253" s="19"/>
      <c r="R3253" s="19"/>
      <c r="S3253" s="19"/>
      <c r="T3253" s="19"/>
      <c r="U3253" s="19"/>
      <c r="V3253" s="19"/>
      <c r="W3253" s="19"/>
      <c r="X3253" s="19"/>
      <c r="Y3253" s="19"/>
      <c r="Z3253" s="19"/>
      <c r="AA3253" s="19"/>
      <c r="AB3253" s="19"/>
      <c r="AC3253" s="19"/>
      <c r="AD3253" s="19"/>
      <c r="AE3253" s="19"/>
      <c r="AF3253" s="19"/>
      <c r="AG3253" s="19"/>
      <c r="AH3253" s="19" t="n">
        <v>39</v>
      </c>
      <c r="AI3253" s="19"/>
      <c r="AJ3253" s="19"/>
      <c r="AK3253" s="19"/>
      <c r="AL3253" s="19" t="n">
        <v>4</v>
      </c>
      <c r="AM3253" s="19" t="n">
        <v>21</v>
      </c>
      <c r="AN3253" s="19" t="n">
        <v>4</v>
      </c>
      <c r="AO3253" s="19" t="n">
        <v>4</v>
      </c>
      <c r="AP3253" s="19" t="n">
        <v>6</v>
      </c>
      <c r="AQ3253" s="19"/>
      <c r="AR3253" s="19"/>
      <c r="AS3253" s="20" t="str">
        <f aca="false">HYPERLINK("http://www.openstreetmap.org/?mlat=34.6428&amp;mlon=45.3479&amp;zoom=12#map=12/34.6428/45.3479","Maplink1")</f>
        <v>Maplink1</v>
      </c>
      <c r="AT3253" s="20" t="str">
        <f aca="false">HYPERLINK("https://www.google.iq/maps/search/+34.6428,45.3479/@34.6428,45.3479,14z?hl=en","Maplink2")</f>
        <v>Maplink2</v>
      </c>
      <c r="AU3253" s="20" t="str">
        <f aca="false">HYPERLINK("http://www.bing.com/maps/?lvl=14&amp;sty=h&amp;cp=34.6428~45.3479&amp;sp=point.34.6428_45.3479","Maplink3")</f>
        <v>Maplink3</v>
      </c>
    </row>
    <row r="3254" customFormat="false" ht="15" hidden="false" customHeight="true" outlineLevel="0" collapsed="false">
      <c r="A3254" s="15" t="n">
        <v>23768</v>
      </c>
      <c r="B3254" s="16" t="s">
        <v>30</v>
      </c>
      <c r="C3254" s="16" t="s">
        <v>6192</v>
      </c>
      <c r="D3254" s="16" t="s">
        <v>6203</v>
      </c>
      <c r="E3254" s="17" t="s">
        <v>6204</v>
      </c>
      <c r="F3254" s="16" t="n">
        <v>34.61378714</v>
      </c>
      <c r="G3254" s="16" t="n">
        <v>45.3148835</v>
      </c>
      <c r="H3254" s="18" t="n">
        <v>135</v>
      </c>
      <c r="I3254" s="18" t="n">
        <v>810</v>
      </c>
      <c r="J3254" s="19" t="n">
        <v>71</v>
      </c>
      <c r="K3254" s="19"/>
      <c r="L3254" s="19"/>
      <c r="M3254" s="19"/>
      <c r="N3254" s="19"/>
      <c r="O3254" s="19" t="n">
        <v>64</v>
      </c>
      <c r="P3254" s="19"/>
      <c r="Q3254" s="19"/>
      <c r="R3254" s="19"/>
      <c r="S3254" s="19"/>
      <c r="T3254" s="19"/>
      <c r="U3254" s="19"/>
      <c r="V3254" s="19"/>
      <c r="W3254" s="19"/>
      <c r="X3254" s="19"/>
      <c r="Y3254" s="19"/>
      <c r="Z3254" s="19"/>
      <c r="AA3254" s="19"/>
      <c r="AB3254" s="19"/>
      <c r="AC3254" s="19"/>
      <c r="AD3254" s="19"/>
      <c r="AE3254" s="19"/>
      <c r="AF3254" s="19"/>
      <c r="AG3254" s="19"/>
      <c r="AH3254" s="19" t="n">
        <v>135</v>
      </c>
      <c r="AI3254" s="19"/>
      <c r="AJ3254" s="19"/>
      <c r="AK3254" s="19"/>
      <c r="AL3254" s="19" t="n">
        <v>37</v>
      </c>
      <c r="AM3254" s="19"/>
      <c r="AN3254" s="19"/>
      <c r="AO3254" s="19" t="n">
        <v>84</v>
      </c>
      <c r="AP3254" s="19" t="n">
        <v>14</v>
      </c>
      <c r="AQ3254" s="19"/>
      <c r="AR3254" s="19"/>
      <c r="AS3254" s="20" t="str">
        <f aca="false">HYPERLINK("http://www.openstreetmap.org/?mlat=34.6138&amp;mlon=45.3149&amp;zoom=12#map=12/34.6138/45.3149","Maplink1")</f>
        <v>Maplink1</v>
      </c>
      <c r="AT3254" s="20" t="str">
        <f aca="false">HYPERLINK("https://www.google.iq/maps/search/+34.6138,45.3149/@34.6138,45.3149,14z?hl=en","Maplink2")</f>
        <v>Maplink2</v>
      </c>
      <c r="AU3254" s="20" t="str">
        <f aca="false">HYPERLINK("http://www.bing.com/maps/?lvl=14&amp;sty=h&amp;cp=34.6138~45.3149&amp;sp=point.34.6138_45.3149","Maplink3")</f>
        <v>Maplink3</v>
      </c>
    </row>
    <row r="3255" customFormat="false" ht="15" hidden="false" customHeight="true" outlineLevel="0" collapsed="false">
      <c r="A3255" s="15" t="n">
        <v>6285</v>
      </c>
      <c r="B3255" s="16" t="s">
        <v>30</v>
      </c>
      <c r="C3255" s="16" t="s">
        <v>6192</v>
      </c>
      <c r="D3255" s="16" t="s">
        <v>6103</v>
      </c>
      <c r="E3255" s="17" t="s">
        <v>6104</v>
      </c>
      <c r="F3255" s="16" t="n">
        <v>34.61979081</v>
      </c>
      <c r="G3255" s="16" t="n">
        <v>45.31843391</v>
      </c>
      <c r="H3255" s="18" t="n">
        <v>126</v>
      </c>
      <c r="I3255" s="18" t="n">
        <v>756</v>
      </c>
      <c r="J3255" s="19" t="n">
        <v>45</v>
      </c>
      <c r="K3255" s="19"/>
      <c r="L3255" s="19"/>
      <c r="M3255" s="19"/>
      <c r="N3255" s="19"/>
      <c r="O3255" s="19" t="n">
        <v>81</v>
      </c>
      <c r="P3255" s="19"/>
      <c r="Q3255" s="19"/>
      <c r="R3255" s="19"/>
      <c r="S3255" s="19"/>
      <c r="T3255" s="19"/>
      <c r="U3255" s="19"/>
      <c r="V3255" s="19"/>
      <c r="W3255" s="19"/>
      <c r="X3255" s="19"/>
      <c r="Y3255" s="19"/>
      <c r="Z3255" s="19"/>
      <c r="AA3255" s="19"/>
      <c r="AB3255" s="19"/>
      <c r="AC3255" s="19"/>
      <c r="AD3255" s="19"/>
      <c r="AE3255" s="19"/>
      <c r="AF3255" s="19"/>
      <c r="AG3255" s="19"/>
      <c r="AH3255" s="19" t="n">
        <v>126</v>
      </c>
      <c r="AI3255" s="19"/>
      <c r="AJ3255" s="19"/>
      <c r="AK3255" s="19"/>
      <c r="AL3255" s="19" t="n">
        <v>2</v>
      </c>
      <c r="AM3255" s="19" t="n">
        <v>39</v>
      </c>
      <c r="AN3255" s="19"/>
      <c r="AO3255" s="19" t="n">
        <v>60</v>
      </c>
      <c r="AP3255" s="19" t="n">
        <v>23</v>
      </c>
      <c r="AQ3255" s="19" t="n">
        <v>2</v>
      </c>
      <c r="AR3255" s="19"/>
      <c r="AS3255" s="20" t="str">
        <f aca="false">HYPERLINK("http://www.openstreetmap.org/?mlat=34.6198&amp;mlon=45.3184&amp;zoom=12#map=12/34.6198/45.3184","Maplink1")</f>
        <v>Maplink1</v>
      </c>
      <c r="AT3255" s="20" t="str">
        <f aca="false">HYPERLINK("https://www.google.iq/maps/search/+34.6198,45.3184/@34.6198,45.3184,14z?hl=en","Maplink2")</f>
        <v>Maplink2</v>
      </c>
      <c r="AU3255" s="20" t="str">
        <f aca="false">HYPERLINK("http://www.bing.com/maps/?lvl=14&amp;sty=h&amp;cp=34.6198~45.3184&amp;sp=point.34.6198_45.3184","Maplink3")</f>
        <v>Maplink3</v>
      </c>
    </row>
    <row r="3256" customFormat="false" ht="15" hidden="false" customHeight="true" outlineLevel="0" collapsed="false">
      <c r="A3256" s="15" t="n">
        <v>23767</v>
      </c>
      <c r="B3256" s="16" t="s">
        <v>30</v>
      </c>
      <c r="C3256" s="16" t="s">
        <v>6192</v>
      </c>
      <c r="D3256" s="16" t="s">
        <v>6205</v>
      </c>
      <c r="E3256" s="17" t="s">
        <v>6206</v>
      </c>
      <c r="F3256" s="16" t="n">
        <v>34.63537988</v>
      </c>
      <c r="G3256" s="16" t="n">
        <v>45.33813189</v>
      </c>
      <c r="H3256" s="18" t="n">
        <v>37</v>
      </c>
      <c r="I3256" s="18" t="n">
        <v>222</v>
      </c>
      <c r="J3256" s="19" t="n">
        <v>16</v>
      </c>
      <c r="K3256" s="19"/>
      <c r="L3256" s="19"/>
      <c r="M3256" s="19"/>
      <c r="N3256" s="19"/>
      <c r="O3256" s="19" t="n">
        <v>21</v>
      </c>
      <c r="P3256" s="19"/>
      <c r="Q3256" s="19"/>
      <c r="R3256" s="19"/>
      <c r="S3256" s="19"/>
      <c r="T3256" s="19"/>
      <c r="U3256" s="19"/>
      <c r="V3256" s="19"/>
      <c r="W3256" s="19"/>
      <c r="X3256" s="19"/>
      <c r="Y3256" s="19"/>
      <c r="Z3256" s="19"/>
      <c r="AA3256" s="19"/>
      <c r="AB3256" s="19"/>
      <c r="AC3256" s="19"/>
      <c r="AD3256" s="19"/>
      <c r="AE3256" s="19"/>
      <c r="AF3256" s="19"/>
      <c r="AG3256" s="19"/>
      <c r="AH3256" s="19" t="n">
        <v>37</v>
      </c>
      <c r="AI3256" s="19"/>
      <c r="AJ3256" s="19"/>
      <c r="AK3256" s="19"/>
      <c r="AL3256" s="19" t="n">
        <v>15</v>
      </c>
      <c r="AM3256" s="19" t="n">
        <v>12</v>
      </c>
      <c r="AN3256" s="19" t="n">
        <v>3</v>
      </c>
      <c r="AO3256" s="19" t="n">
        <v>3</v>
      </c>
      <c r="AP3256" s="19" t="n">
        <v>4</v>
      </c>
      <c r="AQ3256" s="19"/>
      <c r="AR3256" s="19"/>
      <c r="AS3256" s="20" t="str">
        <f aca="false">HYPERLINK("http://www.openstreetmap.org/?mlat=34.6354&amp;mlon=45.3381&amp;zoom=12#map=12/34.6354/45.3381","Maplink1")</f>
        <v>Maplink1</v>
      </c>
      <c r="AT3256" s="20" t="str">
        <f aca="false">HYPERLINK("https://www.google.iq/maps/search/+34.6354,45.3381/@34.6354,45.3381,14z?hl=en","Maplink2")</f>
        <v>Maplink2</v>
      </c>
      <c r="AU3256" s="20" t="str">
        <f aca="false">HYPERLINK("http://www.bing.com/maps/?lvl=14&amp;sty=h&amp;cp=34.6354~45.3381&amp;sp=point.34.6354_45.3381","Maplink3")</f>
        <v>Maplink3</v>
      </c>
    </row>
    <row r="3257" customFormat="false" ht="15" hidden="false" customHeight="true" outlineLevel="0" collapsed="false">
      <c r="A3257" s="15" t="n">
        <v>5849</v>
      </c>
      <c r="B3257" s="16" t="s">
        <v>30</v>
      </c>
      <c r="C3257" s="16" t="s">
        <v>6192</v>
      </c>
      <c r="D3257" s="16" t="s">
        <v>6207</v>
      </c>
      <c r="E3257" s="17" t="s">
        <v>6208</v>
      </c>
      <c r="F3257" s="16" t="n">
        <v>34.56097</v>
      </c>
      <c r="G3257" s="16" t="n">
        <v>45.16331</v>
      </c>
      <c r="H3257" s="18" t="n">
        <v>13</v>
      </c>
      <c r="I3257" s="18" t="n">
        <v>78</v>
      </c>
      <c r="J3257" s="19"/>
      <c r="K3257" s="19"/>
      <c r="L3257" s="19"/>
      <c r="M3257" s="19"/>
      <c r="N3257" s="19"/>
      <c r="O3257" s="19" t="n">
        <v>13</v>
      </c>
      <c r="P3257" s="19"/>
      <c r="Q3257" s="19"/>
      <c r="R3257" s="19"/>
      <c r="S3257" s="19"/>
      <c r="T3257" s="19"/>
      <c r="U3257" s="19"/>
      <c r="V3257" s="19"/>
      <c r="W3257" s="19"/>
      <c r="X3257" s="19"/>
      <c r="Y3257" s="19"/>
      <c r="Z3257" s="19"/>
      <c r="AA3257" s="19"/>
      <c r="AB3257" s="19"/>
      <c r="AC3257" s="19"/>
      <c r="AD3257" s="19"/>
      <c r="AE3257" s="19"/>
      <c r="AF3257" s="19"/>
      <c r="AG3257" s="19"/>
      <c r="AH3257" s="19" t="n">
        <v>13</v>
      </c>
      <c r="AI3257" s="19"/>
      <c r="AJ3257" s="19"/>
      <c r="AK3257" s="19"/>
      <c r="AL3257" s="19"/>
      <c r="AM3257" s="19" t="n">
        <v>13</v>
      </c>
      <c r="AN3257" s="19"/>
      <c r="AO3257" s="19"/>
      <c r="AP3257" s="19"/>
      <c r="AQ3257" s="19"/>
      <c r="AR3257" s="19"/>
      <c r="AS3257" s="20" t="str">
        <f aca="false">HYPERLINK("http://www.openstreetmap.org/?mlat=34.561&amp;mlon=45.1633&amp;zoom=12#map=12/34.561/45.1633","Maplink1")</f>
        <v>Maplink1</v>
      </c>
      <c r="AT3257" s="20" t="str">
        <f aca="false">HYPERLINK("https://www.google.iq/maps/search/+34.561,45.1633/@34.561,45.1633,14z?hl=en","Maplink2")</f>
        <v>Maplink2</v>
      </c>
      <c r="AU3257" s="20" t="str">
        <f aca="false">HYPERLINK("http://www.bing.com/maps/?lvl=14&amp;sty=h&amp;cp=34.561~45.1633&amp;sp=point.34.561_45.1633","Maplink3")</f>
        <v>Maplink3</v>
      </c>
    </row>
    <row r="3258" customFormat="false" ht="15" hidden="false" customHeight="true" outlineLevel="0" collapsed="false">
      <c r="A3258" s="15" t="n">
        <v>5995</v>
      </c>
      <c r="B3258" s="16" t="s">
        <v>30</v>
      </c>
      <c r="C3258" s="16" t="s">
        <v>6192</v>
      </c>
      <c r="D3258" s="16" t="s">
        <v>6209</v>
      </c>
      <c r="E3258" s="17" t="s">
        <v>6210</v>
      </c>
      <c r="F3258" s="16" t="n">
        <v>34.58919585</v>
      </c>
      <c r="G3258" s="16" t="n">
        <v>45.28769451</v>
      </c>
      <c r="H3258" s="18" t="n">
        <v>42</v>
      </c>
      <c r="I3258" s="18" t="n">
        <v>252</v>
      </c>
      <c r="J3258" s="19" t="n">
        <v>9</v>
      </c>
      <c r="K3258" s="19"/>
      <c r="L3258" s="19"/>
      <c r="M3258" s="19"/>
      <c r="N3258" s="19"/>
      <c r="O3258" s="19" t="n">
        <v>31</v>
      </c>
      <c r="P3258" s="19"/>
      <c r="Q3258" s="19"/>
      <c r="R3258" s="19"/>
      <c r="S3258" s="19"/>
      <c r="T3258" s="19"/>
      <c r="U3258" s="19"/>
      <c r="V3258" s="19"/>
      <c r="W3258" s="19"/>
      <c r="X3258" s="19" t="n">
        <v>2</v>
      </c>
      <c r="Y3258" s="19"/>
      <c r="Z3258" s="19"/>
      <c r="AA3258" s="19"/>
      <c r="AB3258" s="19"/>
      <c r="AC3258" s="19"/>
      <c r="AD3258" s="19"/>
      <c r="AE3258" s="19"/>
      <c r="AF3258" s="19"/>
      <c r="AG3258" s="19"/>
      <c r="AH3258" s="19" t="n">
        <v>42</v>
      </c>
      <c r="AI3258" s="19"/>
      <c r="AJ3258" s="19"/>
      <c r="AK3258" s="19"/>
      <c r="AL3258" s="19" t="n">
        <v>2</v>
      </c>
      <c r="AM3258" s="19" t="n">
        <v>20</v>
      </c>
      <c r="AN3258" s="19" t="n">
        <v>9</v>
      </c>
      <c r="AO3258" s="19" t="n">
        <v>4</v>
      </c>
      <c r="AP3258" s="19" t="n">
        <v>7</v>
      </c>
      <c r="AQ3258" s="19"/>
      <c r="AR3258" s="19"/>
      <c r="AS3258" s="20" t="str">
        <f aca="false">HYPERLINK("http://www.openstreetmap.org/?mlat=34.5892&amp;mlon=45.2877&amp;zoom=12#map=12/34.5892/45.2877","Maplink1")</f>
        <v>Maplink1</v>
      </c>
      <c r="AT3258" s="20" t="str">
        <f aca="false">HYPERLINK("https://www.google.iq/maps/search/+34.5892,45.2877/@34.5892,45.2877,14z?hl=en","Maplink2")</f>
        <v>Maplink2</v>
      </c>
      <c r="AU3258" s="20" t="str">
        <f aca="false">HYPERLINK("http://www.bing.com/maps/?lvl=14&amp;sty=h&amp;cp=34.5892~45.2877&amp;sp=point.34.5892_45.2877","Maplink3")</f>
        <v>Maplink3</v>
      </c>
    </row>
    <row r="3259" customFormat="false" ht="15" hidden="false" customHeight="true" outlineLevel="0" collapsed="false">
      <c r="A3259" s="15" t="n">
        <v>24892</v>
      </c>
      <c r="B3259" s="16" t="s">
        <v>30</v>
      </c>
      <c r="C3259" s="16" t="s">
        <v>6192</v>
      </c>
      <c r="D3259" s="16" t="s">
        <v>6211</v>
      </c>
      <c r="E3259" s="17" t="s">
        <v>6212</v>
      </c>
      <c r="F3259" s="16" t="n">
        <v>34.61574724</v>
      </c>
      <c r="G3259" s="16" t="n">
        <v>45.3079752</v>
      </c>
      <c r="H3259" s="18" t="n">
        <v>47</v>
      </c>
      <c r="I3259" s="18" t="n">
        <v>282</v>
      </c>
      <c r="J3259" s="19" t="n">
        <v>8</v>
      </c>
      <c r="K3259" s="19"/>
      <c r="L3259" s="19"/>
      <c r="M3259" s="19"/>
      <c r="N3259" s="19"/>
      <c r="O3259" s="19" t="n">
        <v>39</v>
      </c>
      <c r="P3259" s="19"/>
      <c r="Q3259" s="19"/>
      <c r="R3259" s="19"/>
      <c r="S3259" s="19"/>
      <c r="T3259" s="19"/>
      <c r="U3259" s="19"/>
      <c r="V3259" s="19"/>
      <c r="W3259" s="19"/>
      <c r="X3259" s="19"/>
      <c r="Y3259" s="19"/>
      <c r="Z3259" s="19"/>
      <c r="AA3259" s="19"/>
      <c r="AB3259" s="19"/>
      <c r="AC3259" s="19"/>
      <c r="AD3259" s="19"/>
      <c r="AE3259" s="19"/>
      <c r="AF3259" s="19"/>
      <c r="AG3259" s="19"/>
      <c r="AH3259" s="19" t="n">
        <v>47</v>
      </c>
      <c r="AI3259" s="19"/>
      <c r="AJ3259" s="19"/>
      <c r="AK3259" s="19"/>
      <c r="AL3259" s="19"/>
      <c r="AM3259" s="19" t="n">
        <v>42</v>
      </c>
      <c r="AN3259" s="19"/>
      <c r="AO3259" s="19" t="n">
        <v>5</v>
      </c>
      <c r="AP3259" s="19"/>
      <c r="AQ3259" s="19"/>
      <c r="AR3259" s="19"/>
      <c r="AS3259" s="20" t="str">
        <f aca="false">HYPERLINK("http://www.openstreetmap.org/?mlat=34.6157&amp;mlon=45.308&amp;zoom=12#map=12/34.6157/45.308","Maplink1")</f>
        <v>Maplink1</v>
      </c>
      <c r="AT3259" s="20" t="str">
        <f aca="false">HYPERLINK("https://www.google.iq/maps/search/+34.6157,45.308/@34.6157,45.308,14z?hl=en","Maplink2")</f>
        <v>Maplink2</v>
      </c>
      <c r="AU3259" s="20" t="str">
        <f aca="false">HYPERLINK("http://www.bing.com/maps/?lvl=14&amp;sty=h&amp;cp=34.6157~45.308&amp;sp=point.34.6157_45.308","Maplink3")</f>
        <v>Maplink3</v>
      </c>
    </row>
    <row r="3260" customFormat="false" ht="15" hidden="false" customHeight="true" outlineLevel="0" collapsed="false">
      <c r="A3260" s="15" t="n">
        <v>6286</v>
      </c>
      <c r="B3260" s="16" t="s">
        <v>30</v>
      </c>
      <c r="C3260" s="16" t="s">
        <v>6192</v>
      </c>
      <c r="D3260" s="16" t="s">
        <v>6213</v>
      </c>
      <c r="E3260" s="17" t="s">
        <v>6214</v>
      </c>
      <c r="F3260" s="16" t="n">
        <v>34.63720662</v>
      </c>
      <c r="G3260" s="16" t="n">
        <v>45.30235361</v>
      </c>
      <c r="H3260" s="18" t="n">
        <v>151</v>
      </c>
      <c r="I3260" s="18" t="n">
        <v>906</v>
      </c>
      <c r="J3260" s="19" t="n">
        <v>29</v>
      </c>
      <c r="K3260" s="19"/>
      <c r="L3260" s="19"/>
      <c r="M3260" s="19"/>
      <c r="N3260" s="19"/>
      <c r="O3260" s="19" t="n">
        <v>116</v>
      </c>
      <c r="P3260" s="19"/>
      <c r="Q3260" s="19"/>
      <c r="R3260" s="19"/>
      <c r="S3260" s="19"/>
      <c r="T3260" s="19"/>
      <c r="U3260" s="19"/>
      <c r="V3260" s="19" t="n">
        <v>6</v>
      </c>
      <c r="W3260" s="19"/>
      <c r="X3260" s="19"/>
      <c r="Y3260" s="19"/>
      <c r="Z3260" s="19"/>
      <c r="AA3260" s="19"/>
      <c r="AB3260" s="19"/>
      <c r="AC3260" s="19"/>
      <c r="AD3260" s="19"/>
      <c r="AE3260" s="19"/>
      <c r="AF3260" s="19"/>
      <c r="AG3260" s="19"/>
      <c r="AH3260" s="19" t="n">
        <v>151</v>
      </c>
      <c r="AI3260" s="19"/>
      <c r="AJ3260" s="19"/>
      <c r="AK3260" s="19"/>
      <c r="AL3260" s="19" t="n">
        <v>20</v>
      </c>
      <c r="AM3260" s="19" t="n">
        <v>61</v>
      </c>
      <c r="AN3260" s="19" t="n">
        <v>47</v>
      </c>
      <c r="AO3260" s="19" t="n">
        <v>15</v>
      </c>
      <c r="AP3260" s="19" t="n">
        <v>8</v>
      </c>
      <c r="AQ3260" s="19"/>
      <c r="AR3260" s="19"/>
      <c r="AS3260" s="20" t="str">
        <f aca="false">HYPERLINK("http://www.openstreetmap.org/?mlat=34.6372&amp;mlon=45.3024&amp;zoom=12#map=12/34.6372/45.3024","Maplink1")</f>
        <v>Maplink1</v>
      </c>
      <c r="AT3260" s="20" t="str">
        <f aca="false">HYPERLINK("https://www.google.iq/maps/search/+34.6372,45.3024/@34.6372,45.3024,14z?hl=en","Maplink2")</f>
        <v>Maplink2</v>
      </c>
      <c r="AU3260" s="20" t="str">
        <f aca="false">HYPERLINK("http://www.bing.com/maps/?lvl=14&amp;sty=h&amp;cp=34.6372~45.3024&amp;sp=point.34.6372_45.3024","Maplink3")</f>
        <v>Maplink3</v>
      </c>
    </row>
    <row r="3261" customFormat="false" ht="15" hidden="false" customHeight="true" outlineLevel="0" collapsed="false">
      <c r="A3261" s="15" t="n">
        <v>24887</v>
      </c>
      <c r="B3261" s="16" t="s">
        <v>30</v>
      </c>
      <c r="C3261" s="16" t="s">
        <v>6192</v>
      </c>
      <c r="D3261" s="16" t="s">
        <v>6215</v>
      </c>
      <c r="E3261" s="17" t="s">
        <v>6216</v>
      </c>
      <c r="F3261" s="16" t="n">
        <v>34.66264315</v>
      </c>
      <c r="G3261" s="16" t="n">
        <v>45.24424307</v>
      </c>
      <c r="H3261" s="18" t="n">
        <v>825</v>
      </c>
      <c r="I3261" s="18" t="n">
        <v>4950</v>
      </c>
      <c r="J3261" s="19" t="n">
        <v>83</v>
      </c>
      <c r="K3261" s="19" t="n">
        <v>170</v>
      </c>
      <c r="L3261" s="19" t="n">
        <v>24</v>
      </c>
      <c r="M3261" s="19"/>
      <c r="N3261" s="19"/>
      <c r="O3261" s="19" t="n">
        <v>511</v>
      </c>
      <c r="P3261" s="19"/>
      <c r="Q3261" s="19"/>
      <c r="R3261" s="19"/>
      <c r="S3261" s="19"/>
      <c r="T3261" s="19"/>
      <c r="U3261" s="19"/>
      <c r="V3261" s="19" t="n">
        <v>5</v>
      </c>
      <c r="W3261" s="19"/>
      <c r="X3261" s="19" t="n">
        <v>32</v>
      </c>
      <c r="Y3261" s="19"/>
      <c r="Z3261" s="19"/>
      <c r="AA3261" s="19"/>
      <c r="AB3261" s="19"/>
      <c r="AC3261" s="19"/>
      <c r="AD3261" s="19"/>
      <c r="AE3261" s="19"/>
      <c r="AF3261" s="19" t="n">
        <v>21</v>
      </c>
      <c r="AG3261" s="19"/>
      <c r="AH3261" s="19" t="n">
        <v>804</v>
      </c>
      <c r="AI3261" s="19"/>
      <c r="AJ3261" s="19"/>
      <c r="AK3261" s="19"/>
      <c r="AL3261" s="19" t="n">
        <v>18</v>
      </c>
      <c r="AM3261" s="19" t="n">
        <v>363</v>
      </c>
      <c r="AN3261" s="19" t="n">
        <v>328</v>
      </c>
      <c r="AO3261" s="19" t="n">
        <v>73</v>
      </c>
      <c r="AP3261" s="19" t="n">
        <v>36</v>
      </c>
      <c r="AQ3261" s="19" t="n">
        <v>7</v>
      </c>
      <c r="AR3261" s="19"/>
      <c r="AS3261" s="20" t="str">
        <f aca="false">HYPERLINK("http://www.openstreetmap.org/?mlat=34.6626&amp;mlon=45.2442&amp;zoom=12#map=12/34.6626/45.2442","Maplink1")</f>
        <v>Maplink1</v>
      </c>
      <c r="AT3261" s="20" t="str">
        <f aca="false">HYPERLINK("https://www.google.iq/maps/search/+34.6626,45.2442/@34.6626,45.2442,14z?hl=en","Maplink2")</f>
        <v>Maplink2</v>
      </c>
      <c r="AU3261" s="20" t="str">
        <f aca="false">HYPERLINK("http://www.bing.com/maps/?lvl=14&amp;sty=h&amp;cp=34.6626~45.2442&amp;sp=point.34.6626_45.2442","Maplink3")</f>
        <v>Maplink3</v>
      </c>
    </row>
    <row r="3262" customFormat="false" ht="15" hidden="false" customHeight="true" outlineLevel="0" collapsed="false">
      <c r="A3262" s="15" t="n">
        <v>24893</v>
      </c>
      <c r="B3262" s="16" t="s">
        <v>30</v>
      </c>
      <c r="C3262" s="16" t="s">
        <v>6192</v>
      </c>
      <c r="D3262" s="16" t="s">
        <v>6217</v>
      </c>
      <c r="E3262" s="17" t="s">
        <v>6218</v>
      </c>
      <c r="F3262" s="16" t="n">
        <v>34.64067579</v>
      </c>
      <c r="G3262" s="16" t="n">
        <v>45.30898866</v>
      </c>
      <c r="H3262" s="18" t="n">
        <v>81</v>
      </c>
      <c r="I3262" s="18" t="n">
        <v>486</v>
      </c>
      <c r="J3262" s="19" t="n">
        <v>13</v>
      </c>
      <c r="K3262" s="19"/>
      <c r="L3262" s="19" t="n">
        <v>5</v>
      </c>
      <c r="M3262" s="19"/>
      <c r="N3262" s="19"/>
      <c r="O3262" s="19" t="n">
        <v>63</v>
      </c>
      <c r="P3262" s="19"/>
      <c r="Q3262" s="19"/>
      <c r="R3262" s="19"/>
      <c r="S3262" s="19"/>
      <c r="T3262" s="19"/>
      <c r="U3262" s="19"/>
      <c r="V3262" s="19"/>
      <c r="W3262" s="19"/>
      <c r="X3262" s="19"/>
      <c r="Y3262" s="19"/>
      <c r="Z3262" s="19"/>
      <c r="AA3262" s="19"/>
      <c r="AB3262" s="19"/>
      <c r="AC3262" s="19"/>
      <c r="AD3262" s="19"/>
      <c r="AE3262" s="19"/>
      <c r="AF3262" s="19"/>
      <c r="AG3262" s="19"/>
      <c r="AH3262" s="19" t="n">
        <v>81</v>
      </c>
      <c r="AI3262" s="19"/>
      <c r="AJ3262" s="19"/>
      <c r="AK3262" s="19"/>
      <c r="AL3262" s="19" t="n">
        <v>5</v>
      </c>
      <c r="AM3262" s="19" t="n">
        <v>67</v>
      </c>
      <c r="AN3262" s="19"/>
      <c r="AO3262" s="19" t="n">
        <v>2</v>
      </c>
      <c r="AP3262" s="19" t="n">
        <v>7</v>
      </c>
      <c r="AQ3262" s="19"/>
      <c r="AR3262" s="19"/>
      <c r="AS3262" s="20" t="str">
        <f aca="false">HYPERLINK("http://www.openstreetmap.org/?mlat=34.6407&amp;mlon=45.309&amp;zoom=12#map=12/34.6407/45.309","Maplink1")</f>
        <v>Maplink1</v>
      </c>
      <c r="AT3262" s="20" t="str">
        <f aca="false">HYPERLINK("https://www.google.iq/maps/search/+34.6407,45.309/@34.6407,45.309,14z?hl=en","Maplink2")</f>
        <v>Maplink2</v>
      </c>
      <c r="AU3262" s="20" t="str">
        <f aca="false">HYPERLINK("http://www.bing.com/maps/?lvl=14&amp;sty=h&amp;cp=34.6407~45.309&amp;sp=point.34.6407_45.309","Maplink3")</f>
        <v>Maplink3</v>
      </c>
    </row>
    <row r="3263" customFormat="false" ht="15" hidden="false" customHeight="true" outlineLevel="0" collapsed="false">
      <c r="A3263" s="15" t="n">
        <v>29694</v>
      </c>
      <c r="B3263" s="16" t="s">
        <v>30</v>
      </c>
      <c r="C3263" s="16" t="s">
        <v>6192</v>
      </c>
      <c r="D3263" s="16" t="s">
        <v>6219</v>
      </c>
      <c r="E3263" s="17" t="s">
        <v>6220</v>
      </c>
      <c r="F3263" s="16" t="n">
        <v>34.49436</v>
      </c>
      <c r="G3263" s="16" t="n">
        <v>45.10934</v>
      </c>
      <c r="H3263" s="18" t="n">
        <v>21</v>
      </c>
      <c r="I3263" s="18" t="n">
        <v>126</v>
      </c>
      <c r="J3263" s="19"/>
      <c r="K3263" s="19"/>
      <c r="L3263" s="19"/>
      <c r="M3263" s="19"/>
      <c r="N3263" s="19"/>
      <c r="O3263" s="19" t="n">
        <v>21</v>
      </c>
      <c r="P3263" s="19"/>
      <c r="Q3263" s="19"/>
      <c r="R3263" s="19"/>
      <c r="S3263" s="19"/>
      <c r="T3263" s="19"/>
      <c r="U3263" s="19"/>
      <c r="V3263" s="19"/>
      <c r="W3263" s="19"/>
      <c r="X3263" s="19"/>
      <c r="Y3263" s="19"/>
      <c r="Z3263" s="19"/>
      <c r="AA3263" s="19"/>
      <c r="AB3263" s="19"/>
      <c r="AC3263" s="19" t="n">
        <v>14</v>
      </c>
      <c r="AD3263" s="19"/>
      <c r="AE3263" s="19"/>
      <c r="AF3263" s="19"/>
      <c r="AG3263" s="19"/>
      <c r="AH3263" s="19" t="n">
        <v>7</v>
      </c>
      <c r="AI3263" s="19"/>
      <c r="AJ3263" s="19"/>
      <c r="AK3263" s="19"/>
      <c r="AL3263" s="19"/>
      <c r="AM3263" s="19" t="n">
        <v>21</v>
      </c>
      <c r="AN3263" s="19"/>
      <c r="AO3263" s="19"/>
      <c r="AP3263" s="19"/>
      <c r="AQ3263" s="19"/>
      <c r="AR3263" s="19"/>
      <c r="AS3263" s="20" t="str">
        <f aca="false">HYPERLINK("http://www.openstreetmap.org/?mlat=34.4944&amp;mlon=45.1093&amp;zoom=12#map=12/34.4944/45.1093","Maplink1")</f>
        <v>Maplink1</v>
      </c>
      <c r="AT3263" s="20" t="str">
        <f aca="false">HYPERLINK("https://www.google.iq/maps/search/+34.4944,45.1093/@34.4944,45.1093,14z?hl=en","Maplink2")</f>
        <v>Maplink2</v>
      </c>
      <c r="AU3263" s="20" t="str">
        <f aca="false">HYPERLINK("http://www.bing.com/maps/?lvl=14&amp;sty=h&amp;cp=34.4944~45.1093&amp;sp=point.34.4944_45.1093","Maplink3")</f>
        <v>Maplink3</v>
      </c>
    </row>
    <row r="3264" customFormat="false" ht="15" hidden="false" customHeight="true" outlineLevel="0" collapsed="false">
      <c r="A3264" s="15" t="n">
        <v>3903</v>
      </c>
      <c r="B3264" s="16" t="s">
        <v>30</v>
      </c>
      <c r="C3264" s="16" t="s">
        <v>6192</v>
      </c>
      <c r="D3264" s="16" t="s">
        <v>6221</v>
      </c>
      <c r="E3264" s="17" t="s">
        <v>6222</v>
      </c>
      <c r="F3264" s="16" t="n">
        <v>34.46753</v>
      </c>
      <c r="G3264" s="16" t="n">
        <v>45.16533</v>
      </c>
      <c r="H3264" s="18" t="n">
        <v>315</v>
      </c>
      <c r="I3264" s="18" t="n">
        <v>1890</v>
      </c>
      <c r="J3264" s="19" t="n">
        <v>1</v>
      </c>
      <c r="K3264" s="19"/>
      <c r="L3264" s="19" t="n">
        <v>3</v>
      </c>
      <c r="M3264" s="19"/>
      <c r="N3264" s="19"/>
      <c r="O3264" s="19" t="n">
        <v>311</v>
      </c>
      <c r="P3264" s="19"/>
      <c r="Q3264" s="19"/>
      <c r="R3264" s="19"/>
      <c r="S3264" s="19"/>
      <c r="T3264" s="19"/>
      <c r="U3264" s="19"/>
      <c r="V3264" s="19"/>
      <c r="W3264" s="19"/>
      <c r="X3264" s="19"/>
      <c r="Y3264" s="19"/>
      <c r="Z3264" s="19"/>
      <c r="AA3264" s="19"/>
      <c r="AB3264" s="19"/>
      <c r="AC3264" s="19"/>
      <c r="AD3264" s="19"/>
      <c r="AE3264" s="19"/>
      <c r="AF3264" s="19"/>
      <c r="AG3264" s="19"/>
      <c r="AH3264" s="19" t="n">
        <v>308</v>
      </c>
      <c r="AI3264" s="19" t="n">
        <v>7</v>
      </c>
      <c r="AJ3264" s="19"/>
      <c r="AK3264" s="19"/>
      <c r="AL3264" s="19" t="n">
        <v>114</v>
      </c>
      <c r="AM3264" s="19" t="n">
        <v>128</v>
      </c>
      <c r="AN3264" s="19" t="n">
        <v>36</v>
      </c>
      <c r="AO3264" s="19" t="n">
        <v>17</v>
      </c>
      <c r="AP3264" s="19"/>
      <c r="AQ3264" s="19" t="n">
        <v>20</v>
      </c>
      <c r="AR3264" s="19"/>
      <c r="AS3264" s="20" t="str">
        <f aca="false">HYPERLINK("http://www.openstreetmap.org/?mlat=34.4675&amp;mlon=45.1653&amp;zoom=12#map=12/34.4675/45.1653","Maplink1")</f>
        <v>Maplink1</v>
      </c>
      <c r="AT3264" s="20" t="str">
        <f aca="false">HYPERLINK("https://www.google.iq/maps/search/+34.4675,45.1653/@34.4675,45.1653,14z?hl=en","Maplink2")</f>
        <v>Maplink2</v>
      </c>
      <c r="AU3264" s="20" t="str">
        <f aca="false">HYPERLINK("http://www.bing.com/maps/?lvl=14&amp;sty=h&amp;cp=34.4675~45.1653&amp;sp=point.34.4675_45.1653","Maplink3")</f>
        <v>Maplink3</v>
      </c>
    </row>
    <row r="3265" customFormat="false" ht="15" hidden="false" customHeight="true" outlineLevel="0" collapsed="false">
      <c r="A3265" s="15" t="n">
        <v>5976</v>
      </c>
      <c r="B3265" s="16" t="s">
        <v>30</v>
      </c>
      <c r="C3265" s="16" t="s">
        <v>6192</v>
      </c>
      <c r="D3265" s="16" t="s">
        <v>6223</v>
      </c>
      <c r="E3265" s="17" t="s">
        <v>6224</v>
      </c>
      <c r="F3265" s="16" t="n">
        <v>34.8177218</v>
      </c>
      <c r="G3265" s="16" t="n">
        <v>45.5096002</v>
      </c>
      <c r="H3265" s="18" t="n">
        <v>61</v>
      </c>
      <c r="I3265" s="18" t="n">
        <v>366</v>
      </c>
      <c r="J3265" s="19" t="n">
        <v>3</v>
      </c>
      <c r="K3265" s="19"/>
      <c r="L3265" s="19" t="n">
        <v>2</v>
      </c>
      <c r="M3265" s="19"/>
      <c r="N3265" s="19"/>
      <c r="O3265" s="19" t="n">
        <v>56</v>
      </c>
      <c r="P3265" s="19"/>
      <c r="Q3265" s="19"/>
      <c r="R3265" s="19"/>
      <c r="S3265" s="19"/>
      <c r="T3265" s="19"/>
      <c r="U3265" s="19"/>
      <c r="V3265" s="19"/>
      <c r="W3265" s="19"/>
      <c r="X3265" s="19"/>
      <c r="Y3265" s="19"/>
      <c r="Z3265" s="19"/>
      <c r="AA3265" s="19"/>
      <c r="AB3265" s="19"/>
      <c r="AC3265" s="19"/>
      <c r="AD3265" s="19"/>
      <c r="AE3265" s="19"/>
      <c r="AF3265" s="19"/>
      <c r="AG3265" s="19"/>
      <c r="AH3265" s="19" t="n">
        <v>61</v>
      </c>
      <c r="AI3265" s="19"/>
      <c r="AJ3265" s="19"/>
      <c r="AK3265" s="19"/>
      <c r="AL3265" s="19" t="n">
        <v>3</v>
      </c>
      <c r="AM3265" s="19" t="n">
        <v>10</v>
      </c>
      <c r="AN3265" s="19" t="n">
        <v>18</v>
      </c>
      <c r="AO3265" s="19" t="n">
        <v>15</v>
      </c>
      <c r="AP3265" s="19" t="n">
        <v>15</v>
      </c>
      <c r="AQ3265" s="19"/>
      <c r="AR3265" s="19"/>
      <c r="AS3265" s="20" t="str">
        <f aca="false">HYPERLINK("http://www.openstreetmap.org/?mlat=34.8177&amp;mlon=45.5096&amp;zoom=12#map=12/34.8177/45.5096","Maplink1")</f>
        <v>Maplink1</v>
      </c>
      <c r="AT3265" s="20" t="str">
        <f aca="false">HYPERLINK("https://www.google.iq/maps/search/+34.8177,45.5096/@34.8177,45.5096,14z?hl=en","Maplink2")</f>
        <v>Maplink2</v>
      </c>
      <c r="AU3265" s="20" t="str">
        <f aca="false">HYPERLINK("http://www.bing.com/maps/?lvl=14&amp;sty=h&amp;cp=34.8177~45.5096&amp;sp=point.34.8177_45.5096","Maplink3")</f>
        <v>Maplink3</v>
      </c>
    </row>
    <row r="3266" customFormat="false" ht="15" hidden="false" customHeight="true" outlineLevel="0" collapsed="false">
      <c r="A3266" s="15" t="n">
        <v>29688</v>
      </c>
      <c r="B3266" s="16" t="s">
        <v>30</v>
      </c>
      <c r="C3266" s="16" t="s">
        <v>6192</v>
      </c>
      <c r="D3266" s="16" t="s">
        <v>6225</v>
      </c>
      <c r="E3266" s="17" t="s">
        <v>6226</v>
      </c>
      <c r="F3266" s="16" t="n">
        <v>34.49411</v>
      </c>
      <c r="G3266" s="16" t="n">
        <v>45.19478</v>
      </c>
      <c r="H3266" s="18" t="n">
        <v>38</v>
      </c>
      <c r="I3266" s="18" t="n">
        <v>228</v>
      </c>
      <c r="J3266" s="19"/>
      <c r="K3266" s="19"/>
      <c r="L3266" s="19"/>
      <c r="M3266" s="19"/>
      <c r="N3266" s="19"/>
      <c r="O3266" s="19" t="n">
        <v>38</v>
      </c>
      <c r="P3266" s="19"/>
      <c r="Q3266" s="19"/>
      <c r="R3266" s="19"/>
      <c r="S3266" s="19"/>
      <c r="T3266" s="19"/>
      <c r="U3266" s="19"/>
      <c r="V3266" s="19"/>
      <c r="W3266" s="19"/>
      <c r="X3266" s="19"/>
      <c r="Y3266" s="19"/>
      <c r="Z3266" s="19"/>
      <c r="AA3266" s="19"/>
      <c r="AB3266" s="19"/>
      <c r="AC3266" s="19"/>
      <c r="AD3266" s="19"/>
      <c r="AE3266" s="19"/>
      <c r="AF3266" s="19" t="n">
        <v>3</v>
      </c>
      <c r="AG3266" s="19"/>
      <c r="AH3266" s="19"/>
      <c r="AI3266" s="19" t="n">
        <v>29</v>
      </c>
      <c r="AJ3266" s="19" t="n">
        <v>6</v>
      </c>
      <c r="AK3266" s="19"/>
      <c r="AL3266" s="19"/>
      <c r="AM3266" s="19" t="n">
        <v>37</v>
      </c>
      <c r="AN3266" s="19" t="n">
        <v>1</v>
      </c>
      <c r="AO3266" s="19"/>
      <c r="AP3266" s="19"/>
      <c r="AQ3266" s="19"/>
      <c r="AR3266" s="19"/>
      <c r="AS3266" s="20" t="str">
        <f aca="false">HYPERLINK("http://www.openstreetmap.org/?mlat=34.4941&amp;mlon=45.1948&amp;zoom=12#map=12/34.4941/45.1948","Maplink1")</f>
        <v>Maplink1</v>
      </c>
      <c r="AT3266" s="20" t="str">
        <f aca="false">HYPERLINK("https://www.google.iq/maps/search/+34.4941,45.1948/@34.4941,45.1948,14z?hl=en","Maplink2")</f>
        <v>Maplink2</v>
      </c>
      <c r="AU3266" s="20" t="str">
        <f aca="false">HYPERLINK("http://www.bing.com/maps/?lvl=14&amp;sty=h&amp;cp=34.4941~45.1948&amp;sp=point.34.4941_45.1948","Maplink3")</f>
        <v>Maplink3</v>
      </c>
    </row>
    <row r="3267" customFormat="false" ht="15" hidden="false" customHeight="true" outlineLevel="0" collapsed="false">
      <c r="A3267" s="15" t="n">
        <v>21983</v>
      </c>
      <c r="B3267" s="16" t="s">
        <v>30</v>
      </c>
      <c r="C3267" s="16" t="s">
        <v>6192</v>
      </c>
      <c r="D3267" s="16" t="s">
        <v>6227</v>
      </c>
      <c r="E3267" s="17" t="s">
        <v>3375</v>
      </c>
      <c r="F3267" s="16" t="n">
        <v>34.62568077</v>
      </c>
      <c r="G3267" s="16" t="n">
        <v>45.31329748</v>
      </c>
      <c r="H3267" s="18" t="n">
        <v>81</v>
      </c>
      <c r="I3267" s="18" t="n">
        <v>486</v>
      </c>
      <c r="J3267" s="19" t="n">
        <v>26</v>
      </c>
      <c r="K3267" s="19"/>
      <c r="L3267" s="19"/>
      <c r="M3267" s="19"/>
      <c r="N3267" s="19"/>
      <c r="O3267" s="19" t="n">
        <v>55</v>
      </c>
      <c r="P3267" s="19"/>
      <c r="Q3267" s="19"/>
      <c r="R3267" s="19"/>
      <c r="S3267" s="19"/>
      <c r="T3267" s="19"/>
      <c r="U3267" s="19"/>
      <c r="V3267" s="19"/>
      <c r="W3267" s="19"/>
      <c r="X3267" s="19"/>
      <c r="Y3267" s="19"/>
      <c r="Z3267" s="19"/>
      <c r="AA3267" s="19"/>
      <c r="AB3267" s="19"/>
      <c r="AC3267" s="19"/>
      <c r="AD3267" s="19"/>
      <c r="AE3267" s="19"/>
      <c r="AF3267" s="19"/>
      <c r="AG3267" s="19"/>
      <c r="AH3267" s="19" t="n">
        <v>81</v>
      </c>
      <c r="AI3267" s="19"/>
      <c r="AJ3267" s="19"/>
      <c r="AK3267" s="19"/>
      <c r="AL3267" s="19" t="n">
        <v>4</v>
      </c>
      <c r="AM3267" s="19" t="n">
        <v>43</v>
      </c>
      <c r="AN3267" s="19"/>
      <c r="AO3267" s="19" t="n">
        <v>30</v>
      </c>
      <c r="AP3267" s="19" t="n">
        <v>4</v>
      </c>
      <c r="AQ3267" s="19"/>
      <c r="AR3267" s="19"/>
      <c r="AS3267" s="20" t="str">
        <f aca="false">HYPERLINK("http://www.openstreetmap.org/?mlat=34.6257&amp;mlon=45.3133&amp;zoom=12#map=12/34.6257/45.3133","Maplink1")</f>
        <v>Maplink1</v>
      </c>
      <c r="AT3267" s="20" t="str">
        <f aca="false">HYPERLINK("https://www.google.iq/maps/search/+34.6257,45.3133/@34.6257,45.3133,14z?hl=en","Maplink2")</f>
        <v>Maplink2</v>
      </c>
      <c r="AU3267" s="20" t="str">
        <f aca="false">HYPERLINK("http://www.bing.com/maps/?lvl=14&amp;sty=h&amp;cp=34.6257~45.3133&amp;sp=point.34.6257_45.3133","Maplink3")</f>
        <v>Maplink3</v>
      </c>
    </row>
    <row r="3268" customFormat="false" ht="15" hidden="false" customHeight="true" outlineLevel="0" collapsed="false">
      <c r="A3268" s="15" t="n">
        <v>29690</v>
      </c>
      <c r="B3268" s="16" t="s">
        <v>30</v>
      </c>
      <c r="C3268" s="16" t="s">
        <v>6192</v>
      </c>
      <c r="D3268" s="16" t="s">
        <v>6228</v>
      </c>
      <c r="E3268" s="17" t="s">
        <v>6229</v>
      </c>
      <c r="F3268" s="16" t="n">
        <v>34.55065</v>
      </c>
      <c r="G3268" s="16" t="n">
        <v>45.02329</v>
      </c>
      <c r="H3268" s="18" t="n">
        <v>40</v>
      </c>
      <c r="I3268" s="18" t="n">
        <v>240</v>
      </c>
      <c r="J3268" s="19"/>
      <c r="K3268" s="19"/>
      <c r="L3268" s="19"/>
      <c r="M3268" s="19"/>
      <c r="N3268" s="19"/>
      <c r="O3268" s="19" t="n">
        <v>40</v>
      </c>
      <c r="P3268" s="19"/>
      <c r="Q3268" s="19"/>
      <c r="R3268" s="19"/>
      <c r="S3268" s="19"/>
      <c r="T3268" s="19"/>
      <c r="U3268" s="19"/>
      <c r="V3268" s="19"/>
      <c r="W3268" s="19"/>
      <c r="X3268" s="19"/>
      <c r="Y3268" s="19"/>
      <c r="Z3268" s="19"/>
      <c r="AA3268" s="19"/>
      <c r="AB3268" s="19"/>
      <c r="AC3268" s="19" t="n">
        <v>22</v>
      </c>
      <c r="AD3268" s="19"/>
      <c r="AE3268" s="19"/>
      <c r="AF3268" s="19"/>
      <c r="AG3268" s="19"/>
      <c r="AH3268" s="19" t="n">
        <v>13</v>
      </c>
      <c r="AI3268" s="19"/>
      <c r="AJ3268" s="19" t="n">
        <v>5</v>
      </c>
      <c r="AK3268" s="19"/>
      <c r="AL3268" s="19"/>
      <c r="AM3268" s="19" t="n">
        <v>40</v>
      </c>
      <c r="AN3268" s="19"/>
      <c r="AO3268" s="19"/>
      <c r="AP3268" s="19"/>
      <c r="AQ3268" s="19"/>
      <c r="AR3268" s="19"/>
      <c r="AS3268" s="20" t="str">
        <f aca="false">HYPERLINK("http://www.openstreetmap.org/?mlat=34.5506&amp;mlon=45.0233&amp;zoom=12#map=12/34.5506/45.0233","Maplink1")</f>
        <v>Maplink1</v>
      </c>
      <c r="AT3268" s="20" t="str">
        <f aca="false">HYPERLINK("https://www.google.iq/maps/search/+34.5506,45.0233/@34.5506,45.0233,14z?hl=en","Maplink2")</f>
        <v>Maplink2</v>
      </c>
      <c r="AU3268" s="20" t="str">
        <f aca="false">HYPERLINK("http://www.bing.com/maps/?lvl=14&amp;sty=h&amp;cp=34.5506~45.0233&amp;sp=point.34.5506_45.0233","Maplink3")</f>
        <v>Maplink3</v>
      </c>
    </row>
    <row r="3269" customFormat="false" ht="15" hidden="false" customHeight="true" outlineLevel="0" collapsed="false">
      <c r="A3269" s="15" t="n">
        <v>23928</v>
      </c>
      <c r="B3269" s="16" t="s">
        <v>30</v>
      </c>
      <c r="C3269" s="16" t="s">
        <v>6192</v>
      </c>
      <c r="D3269" s="16" t="s">
        <v>2833</v>
      </c>
      <c r="E3269" s="17" t="s">
        <v>2834</v>
      </c>
      <c r="F3269" s="16" t="n">
        <v>34.63460803</v>
      </c>
      <c r="G3269" s="16" t="n">
        <v>45.31294738</v>
      </c>
      <c r="H3269" s="18" t="n">
        <v>393</v>
      </c>
      <c r="I3269" s="18" t="n">
        <v>2358</v>
      </c>
      <c r="J3269" s="19" t="n">
        <v>51</v>
      </c>
      <c r="K3269" s="19"/>
      <c r="L3269" s="19"/>
      <c r="M3269" s="19"/>
      <c r="N3269" s="19"/>
      <c r="O3269" s="19" t="n">
        <v>342</v>
      </c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/>
      <c r="AA3269" s="19"/>
      <c r="AB3269" s="19"/>
      <c r="AC3269" s="19"/>
      <c r="AD3269" s="19"/>
      <c r="AE3269" s="19"/>
      <c r="AF3269" s="19"/>
      <c r="AG3269" s="19"/>
      <c r="AH3269" s="19" t="n">
        <v>393</v>
      </c>
      <c r="AI3269" s="19"/>
      <c r="AJ3269" s="19"/>
      <c r="AK3269" s="19"/>
      <c r="AL3269" s="19" t="n">
        <v>32</v>
      </c>
      <c r="AM3269" s="19" t="n">
        <v>338</v>
      </c>
      <c r="AN3269" s="19"/>
      <c r="AO3269" s="19" t="n">
        <v>14</v>
      </c>
      <c r="AP3269" s="19" t="n">
        <v>9</v>
      </c>
      <c r="AQ3269" s="19"/>
      <c r="AR3269" s="19"/>
      <c r="AS3269" s="20" t="str">
        <f aca="false">HYPERLINK("http://www.openstreetmap.org/?mlat=34.6346&amp;mlon=45.3129&amp;zoom=12#map=12/34.6346/45.3129","Maplink1")</f>
        <v>Maplink1</v>
      </c>
      <c r="AT3269" s="20" t="str">
        <f aca="false">HYPERLINK("https://www.google.iq/maps/search/+34.6346,45.3129/@34.6346,45.3129,14z?hl=en","Maplink2")</f>
        <v>Maplink2</v>
      </c>
      <c r="AU3269" s="20" t="str">
        <f aca="false">HYPERLINK("http://www.bing.com/maps/?lvl=14&amp;sty=h&amp;cp=34.6346~45.3129&amp;sp=point.34.6346_45.3129","Maplink3")</f>
        <v>Maplink3</v>
      </c>
    </row>
    <row r="3270" customFormat="false" ht="15" hidden="false" customHeight="true" outlineLevel="0" collapsed="false">
      <c r="A3270" s="15" t="n">
        <v>24962</v>
      </c>
      <c r="B3270" s="16" t="s">
        <v>30</v>
      </c>
      <c r="C3270" s="16" t="s">
        <v>6192</v>
      </c>
      <c r="D3270" s="16" t="s">
        <v>6230</v>
      </c>
      <c r="E3270" s="17" t="s">
        <v>3575</v>
      </c>
      <c r="F3270" s="16" t="n">
        <v>34.63680961</v>
      </c>
      <c r="G3270" s="16" t="n">
        <v>45.31296505</v>
      </c>
      <c r="H3270" s="18" t="n">
        <v>120</v>
      </c>
      <c r="I3270" s="18" t="n">
        <v>720</v>
      </c>
      <c r="J3270" s="19" t="n">
        <v>39</v>
      </c>
      <c r="K3270" s="19"/>
      <c r="L3270" s="19"/>
      <c r="M3270" s="19"/>
      <c r="N3270" s="19"/>
      <c r="O3270" s="19" t="n">
        <v>81</v>
      </c>
      <c r="P3270" s="19"/>
      <c r="Q3270" s="19"/>
      <c r="R3270" s="19"/>
      <c r="S3270" s="19"/>
      <c r="T3270" s="19"/>
      <c r="U3270" s="19"/>
      <c r="V3270" s="19"/>
      <c r="W3270" s="19"/>
      <c r="X3270" s="19"/>
      <c r="Y3270" s="19"/>
      <c r="Z3270" s="19"/>
      <c r="AA3270" s="19"/>
      <c r="AB3270" s="19"/>
      <c r="AC3270" s="19"/>
      <c r="AD3270" s="19"/>
      <c r="AE3270" s="19"/>
      <c r="AF3270" s="19"/>
      <c r="AG3270" s="19"/>
      <c r="AH3270" s="19" t="n">
        <v>120</v>
      </c>
      <c r="AI3270" s="19"/>
      <c r="AJ3270" s="19"/>
      <c r="AK3270" s="19"/>
      <c r="AL3270" s="19" t="n">
        <v>21</v>
      </c>
      <c r="AM3270" s="19" t="n">
        <v>84</v>
      </c>
      <c r="AN3270" s="19" t="n">
        <v>3</v>
      </c>
      <c r="AO3270" s="19" t="n">
        <v>7</v>
      </c>
      <c r="AP3270" s="19" t="n">
        <v>5</v>
      </c>
      <c r="AQ3270" s="19"/>
      <c r="AR3270" s="19"/>
      <c r="AS3270" s="20" t="str">
        <f aca="false">HYPERLINK("http://www.openstreetmap.org/?mlat=34.6368&amp;mlon=45.313&amp;zoom=12#map=12/34.6368/45.313","Maplink1")</f>
        <v>Maplink1</v>
      </c>
      <c r="AT3270" s="20" t="str">
        <f aca="false">HYPERLINK("https://www.google.iq/maps/search/+34.6368,45.313/@34.6368,45.313,14z?hl=en","Maplink2")</f>
        <v>Maplink2</v>
      </c>
      <c r="AU3270" s="20" t="str">
        <f aca="false">HYPERLINK("http://www.bing.com/maps/?lvl=14&amp;sty=h&amp;cp=34.6368~45.313&amp;sp=point.34.6368_45.313","Maplink3")</f>
        <v>Maplink3</v>
      </c>
    </row>
    <row r="3271" customFormat="false" ht="15" hidden="false" customHeight="true" outlineLevel="0" collapsed="false">
      <c r="A3271" s="15" t="n">
        <v>6000</v>
      </c>
      <c r="B3271" s="16" t="s">
        <v>30</v>
      </c>
      <c r="C3271" s="16" t="s">
        <v>6192</v>
      </c>
      <c r="D3271" s="16" t="s">
        <v>6231</v>
      </c>
      <c r="E3271" s="17" t="s">
        <v>6232</v>
      </c>
      <c r="F3271" s="16" t="n">
        <v>34.55146834</v>
      </c>
      <c r="G3271" s="16" t="n">
        <v>45.25033012</v>
      </c>
      <c r="H3271" s="18" t="n">
        <v>104</v>
      </c>
      <c r="I3271" s="18" t="n">
        <v>624</v>
      </c>
      <c r="J3271" s="19" t="n">
        <v>5</v>
      </c>
      <c r="K3271" s="19"/>
      <c r="L3271" s="19"/>
      <c r="M3271" s="19"/>
      <c r="N3271" s="19"/>
      <c r="O3271" s="19" t="n">
        <v>99</v>
      </c>
      <c r="P3271" s="19"/>
      <c r="Q3271" s="19"/>
      <c r="R3271" s="19"/>
      <c r="S3271" s="19"/>
      <c r="T3271" s="19"/>
      <c r="U3271" s="19"/>
      <c r="V3271" s="19"/>
      <c r="W3271" s="19"/>
      <c r="X3271" s="19"/>
      <c r="Y3271" s="19"/>
      <c r="Z3271" s="19"/>
      <c r="AA3271" s="19"/>
      <c r="AB3271" s="19"/>
      <c r="AC3271" s="19"/>
      <c r="AD3271" s="19"/>
      <c r="AE3271" s="19"/>
      <c r="AF3271" s="19"/>
      <c r="AG3271" s="19"/>
      <c r="AH3271" s="19" t="n">
        <v>104</v>
      </c>
      <c r="AI3271" s="19"/>
      <c r="AJ3271" s="19"/>
      <c r="AK3271" s="19"/>
      <c r="AL3271" s="19" t="n">
        <v>12</v>
      </c>
      <c r="AM3271" s="19" t="n">
        <v>29</v>
      </c>
      <c r="AN3271" s="19" t="n">
        <v>33</v>
      </c>
      <c r="AO3271" s="19" t="n">
        <v>20</v>
      </c>
      <c r="AP3271" s="19"/>
      <c r="AQ3271" s="19" t="n">
        <v>10</v>
      </c>
      <c r="AR3271" s="19"/>
      <c r="AS3271" s="20" t="str">
        <f aca="false">HYPERLINK("http://www.openstreetmap.org/?mlat=34.5515&amp;mlon=45.2503&amp;zoom=12#map=12/34.5515/45.2503","Maplink1")</f>
        <v>Maplink1</v>
      </c>
      <c r="AT3271" s="20" t="str">
        <f aca="false">HYPERLINK("https://www.google.iq/maps/search/+34.5515,45.2503/@34.5515,45.2503,14z?hl=en","Maplink2")</f>
        <v>Maplink2</v>
      </c>
      <c r="AU3271" s="20" t="str">
        <f aca="false">HYPERLINK("http://www.bing.com/maps/?lvl=14&amp;sty=h&amp;cp=34.5515~45.2503&amp;sp=point.34.5515_45.2503","Maplink3")</f>
        <v>Maplink3</v>
      </c>
    </row>
    <row r="3272" customFormat="false" ht="15" hidden="false" customHeight="true" outlineLevel="0" collapsed="false">
      <c r="A3272" s="15" t="n">
        <v>23769</v>
      </c>
      <c r="B3272" s="16" t="s">
        <v>30</v>
      </c>
      <c r="C3272" s="16" t="s">
        <v>6192</v>
      </c>
      <c r="D3272" s="16" t="s">
        <v>6233</v>
      </c>
      <c r="E3272" s="17" t="s">
        <v>6234</v>
      </c>
      <c r="F3272" s="16" t="n">
        <v>34.61006558</v>
      </c>
      <c r="G3272" s="16" t="n">
        <v>45.31758535</v>
      </c>
      <c r="H3272" s="18" t="n">
        <v>29</v>
      </c>
      <c r="I3272" s="18" t="n">
        <v>174</v>
      </c>
      <c r="J3272" s="19" t="n">
        <v>5</v>
      </c>
      <c r="K3272" s="19"/>
      <c r="L3272" s="19"/>
      <c r="M3272" s="19"/>
      <c r="N3272" s="19"/>
      <c r="O3272" s="19" t="n">
        <v>24</v>
      </c>
      <c r="P3272" s="19"/>
      <c r="Q3272" s="19"/>
      <c r="R3272" s="19"/>
      <c r="S3272" s="19"/>
      <c r="T3272" s="19"/>
      <c r="U3272" s="19"/>
      <c r="V3272" s="19"/>
      <c r="W3272" s="19"/>
      <c r="X3272" s="19"/>
      <c r="Y3272" s="19"/>
      <c r="Z3272" s="19"/>
      <c r="AA3272" s="19"/>
      <c r="AB3272" s="19"/>
      <c r="AC3272" s="19"/>
      <c r="AD3272" s="19"/>
      <c r="AE3272" s="19"/>
      <c r="AF3272" s="19"/>
      <c r="AG3272" s="19"/>
      <c r="AH3272" s="19" t="n">
        <v>29</v>
      </c>
      <c r="AI3272" s="19"/>
      <c r="AJ3272" s="19"/>
      <c r="AK3272" s="19"/>
      <c r="AL3272" s="19" t="n">
        <v>5</v>
      </c>
      <c r="AM3272" s="19" t="n">
        <v>16</v>
      </c>
      <c r="AN3272" s="19"/>
      <c r="AO3272" s="19" t="n">
        <v>8</v>
      </c>
      <c r="AP3272" s="19"/>
      <c r="AQ3272" s="19"/>
      <c r="AR3272" s="19"/>
      <c r="AS3272" s="20" t="str">
        <f aca="false">HYPERLINK("http://www.openstreetmap.org/?mlat=34.6101&amp;mlon=45.3176&amp;zoom=12#map=12/34.6101/45.3176","Maplink1")</f>
        <v>Maplink1</v>
      </c>
      <c r="AT3272" s="20" t="str">
        <f aca="false">HYPERLINK("https://www.google.iq/maps/search/+34.6101,45.3176/@34.6101,45.3176,14z?hl=en","Maplink2")</f>
        <v>Maplink2</v>
      </c>
      <c r="AU3272" s="20" t="str">
        <f aca="false">HYPERLINK("http://www.bing.com/maps/?lvl=14&amp;sty=h&amp;cp=34.6101~45.3176&amp;sp=point.34.6101_45.3176","Maplink3")</f>
        <v>Maplink3</v>
      </c>
    </row>
    <row r="3273" customFormat="false" ht="15" hidden="false" customHeight="true" outlineLevel="0" collapsed="false">
      <c r="A3273" s="15" t="n">
        <v>24890</v>
      </c>
      <c r="B3273" s="16" t="s">
        <v>30</v>
      </c>
      <c r="C3273" s="16" t="s">
        <v>6192</v>
      </c>
      <c r="D3273" s="16" t="s">
        <v>6188</v>
      </c>
      <c r="E3273" s="17" t="s">
        <v>6189</v>
      </c>
      <c r="F3273" s="16" t="n">
        <v>34.62185991</v>
      </c>
      <c r="G3273" s="16" t="n">
        <v>45.33153642</v>
      </c>
      <c r="H3273" s="18" t="n">
        <v>121</v>
      </c>
      <c r="I3273" s="18" t="n">
        <v>726</v>
      </c>
      <c r="J3273" s="19" t="n">
        <v>19</v>
      </c>
      <c r="K3273" s="19"/>
      <c r="L3273" s="19"/>
      <c r="M3273" s="19"/>
      <c r="N3273" s="19"/>
      <c r="O3273" s="19" t="n">
        <v>102</v>
      </c>
      <c r="P3273" s="19"/>
      <c r="Q3273" s="19"/>
      <c r="R3273" s="19"/>
      <c r="S3273" s="19"/>
      <c r="T3273" s="19"/>
      <c r="U3273" s="19"/>
      <c r="V3273" s="19"/>
      <c r="W3273" s="19"/>
      <c r="X3273" s="19"/>
      <c r="Y3273" s="19"/>
      <c r="Z3273" s="19"/>
      <c r="AA3273" s="19"/>
      <c r="AB3273" s="19"/>
      <c r="AC3273" s="19"/>
      <c r="AD3273" s="19"/>
      <c r="AE3273" s="19"/>
      <c r="AF3273" s="19"/>
      <c r="AG3273" s="19"/>
      <c r="AH3273" s="19" t="n">
        <v>121</v>
      </c>
      <c r="AI3273" s="19"/>
      <c r="AJ3273" s="19"/>
      <c r="AK3273" s="19"/>
      <c r="AL3273" s="19" t="n">
        <v>5</v>
      </c>
      <c r="AM3273" s="19" t="n">
        <v>102</v>
      </c>
      <c r="AN3273" s="19"/>
      <c r="AO3273" s="19" t="n">
        <v>9</v>
      </c>
      <c r="AP3273" s="19" t="n">
        <v>5</v>
      </c>
      <c r="AQ3273" s="19"/>
      <c r="AR3273" s="19"/>
      <c r="AS3273" s="20" t="str">
        <f aca="false">HYPERLINK("http://www.openstreetmap.org/?mlat=34.6219&amp;mlon=45.3315&amp;zoom=12#map=12/34.6219/45.3315","Maplink1")</f>
        <v>Maplink1</v>
      </c>
      <c r="AT3273" s="20" t="str">
        <f aca="false">HYPERLINK("https://www.google.iq/maps/search/+34.6219,45.3315/@34.6219,45.3315,14z?hl=en","Maplink2")</f>
        <v>Maplink2</v>
      </c>
      <c r="AU3273" s="20" t="str">
        <f aca="false">HYPERLINK("http://www.bing.com/maps/?lvl=14&amp;sty=h&amp;cp=34.6219~45.3315&amp;sp=point.34.6219_45.3315","Maplink3")</f>
        <v>Maplink3</v>
      </c>
    </row>
    <row r="3274" customFormat="false" ht="15" hidden="false" customHeight="true" outlineLevel="0" collapsed="false">
      <c r="A3274" s="15" t="n">
        <v>29695</v>
      </c>
      <c r="B3274" s="16" t="s">
        <v>30</v>
      </c>
      <c r="C3274" s="16" t="s">
        <v>6192</v>
      </c>
      <c r="D3274" s="16" t="s">
        <v>6235</v>
      </c>
      <c r="E3274" s="17" t="s">
        <v>6236</v>
      </c>
      <c r="F3274" s="16" t="n">
        <v>34.49081</v>
      </c>
      <c r="G3274" s="16" t="n">
        <v>45.11901</v>
      </c>
      <c r="H3274" s="18" t="n">
        <v>23</v>
      </c>
      <c r="I3274" s="18" t="n">
        <v>138</v>
      </c>
      <c r="J3274" s="19"/>
      <c r="K3274" s="19"/>
      <c r="L3274" s="19"/>
      <c r="M3274" s="19"/>
      <c r="N3274" s="19"/>
      <c r="O3274" s="19" t="n">
        <v>23</v>
      </c>
      <c r="P3274" s="19"/>
      <c r="Q3274" s="19"/>
      <c r="R3274" s="19"/>
      <c r="S3274" s="19"/>
      <c r="T3274" s="19"/>
      <c r="U3274" s="19"/>
      <c r="V3274" s="19"/>
      <c r="W3274" s="19"/>
      <c r="X3274" s="19"/>
      <c r="Y3274" s="19"/>
      <c r="Z3274" s="19"/>
      <c r="AA3274" s="19"/>
      <c r="AB3274" s="19"/>
      <c r="AC3274" s="19" t="n">
        <v>20</v>
      </c>
      <c r="AD3274" s="19"/>
      <c r="AE3274" s="19"/>
      <c r="AF3274" s="19"/>
      <c r="AG3274" s="19"/>
      <c r="AH3274" s="19" t="n">
        <v>3</v>
      </c>
      <c r="AI3274" s="19"/>
      <c r="AJ3274" s="19"/>
      <c r="AK3274" s="19"/>
      <c r="AL3274" s="19"/>
      <c r="AM3274" s="19" t="n">
        <v>23</v>
      </c>
      <c r="AN3274" s="19"/>
      <c r="AO3274" s="19"/>
      <c r="AP3274" s="19"/>
      <c r="AQ3274" s="19"/>
      <c r="AR3274" s="19"/>
      <c r="AS3274" s="20" t="str">
        <f aca="false">HYPERLINK("http://www.openstreetmap.org/?mlat=34.4908&amp;mlon=45.119&amp;zoom=12#map=12/34.4908/45.119","Maplink1")</f>
        <v>Maplink1</v>
      </c>
      <c r="AT3274" s="20" t="str">
        <f aca="false">HYPERLINK("https://www.google.iq/maps/search/+34.4908,45.119/@34.4908,45.119,14z?hl=en","Maplink2")</f>
        <v>Maplink2</v>
      </c>
      <c r="AU3274" s="20" t="str">
        <f aca="false">HYPERLINK("http://www.bing.com/maps/?lvl=14&amp;sty=h&amp;cp=34.4908~45.119&amp;sp=point.34.4908_45.119","Maplink3")</f>
        <v>Maplink3</v>
      </c>
    </row>
    <row r="3275" customFormat="false" ht="15" hidden="false" customHeight="true" outlineLevel="0" collapsed="false">
      <c r="A3275" s="15" t="n">
        <v>26072</v>
      </c>
      <c r="B3275" s="16" t="s">
        <v>30</v>
      </c>
      <c r="C3275" s="16" t="s">
        <v>6192</v>
      </c>
      <c r="D3275" s="16" t="s">
        <v>6237</v>
      </c>
      <c r="E3275" s="17" t="s">
        <v>6238</v>
      </c>
      <c r="F3275" s="16" t="n">
        <v>34.70544154</v>
      </c>
      <c r="G3275" s="16" t="n">
        <v>45.44910585</v>
      </c>
      <c r="H3275" s="18" t="n">
        <v>464</v>
      </c>
      <c r="I3275" s="18" t="n">
        <v>2784</v>
      </c>
      <c r="J3275" s="19" t="n">
        <v>155</v>
      </c>
      <c r="K3275" s="19" t="n">
        <v>104</v>
      </c>
      <c r="L3275" s="19" t="n">
        <v>1</v>
      </c>
      <c r="M3275" s="19"/>
      <c r="N3275" s="19"/>
      <c r="O3275" s="19" t="n">
        <v>52</v>
      </c>
      <c r="P3275" s="19"/>
      <c r="Q3275" s="19"/>
      <c r="R3275" s="19"/>
      <c r="S3275" s="19"/>
      <c r="T3275" s="19"/>
      <c r="U3275" s="19"/>
      <c r="V3275" s="19" t="n">
        <v>73</v>
      </c>
      <c r="W3275" s="19"/>
      <c r="X3275" s="19" t="n">
        <v>79</v>
      </c>
      <c r="Y3275" s="19"/>
      <c r="Z3275" s="19"/>
      <c r="AA3275" s="19"/>
      <c r="AB3275" s="19" t="n">
        <v>464</v>
      </c>
      <c r="AC3275" s="19"/>
      <c r="AD3275" s="19"/>
      <c r="AE3275" s="19"/>
      <c r="AF3275" s="19"/>
      <c r="AG3275" s="19"/>
      <c r="AH3275" s="19"/>
      <c r="AI3275" s="19"/>
      <c r="AJ3275" s="19"/>
      <c r="AK3275" s="19"/>
      <c r="AL3275" s="19" t="n">
        <v>19</v>
      </c>
      <c r="AM3275" s="19" t="n">
        <v>130</v>
      </c>
      <c r="AN3275" s="19" t="n">
        <v>30</v>
      </c>
      <c r="AO3275" s="19" t="n">
        <v>82</v>
      </c>
      <c r="AP3275" s="19" t="n">
        <v>62</v>
      </c>
      <c r="AQ3275" s="19" t="n">
        <v>52</v>
      </c>
      <c r="AR3275" s="19" t="n">
        <v>89</v>
      </c>
      <c r="AS3275" s="20" t="str">
        <f aca="false">HYPERLINK("http://www.openstreetmap.org/?mlat=34.7054&amp;mlon=45.4491&amp;zoom=12#map=12/34.7054/45.4491","Maplink1")</f>
        <v>Maplink1</v>
      </c>
      <c r="AT3275" s="20" t="str">
        <f aca="false">HYPERLINK("https://www.google.iq/maps/search/+34.7054,45.4491/@34.7054,45.4491,14z?hl=en","Maplink2")</f>
        <v>Maplink2</v>
      </c>
      <c r="AU3275" s="20" t="str">
        <f aca="false">HYPERLINK("http://www.bing.com/maps/?lvl=14&amp;sty=h&amp;cp=34.7054~45.4491&amp;sp=point.34.7054_45.4491","Maplink3")</f>
        <v>Maplink3</v>
      </c>
    </row>
    <row r="3276" customFormat="false" ht="15" hidden="false" customHeight="true" outlineLevel="0" collapsed="false">
      <c r="A3276" s="15" t="n">
        <v>22454</v>
      </c>
      <c r="B3276" s="16" t="s">
        <v>30</v>
      </c>
      <c r="C3276" s="16" t="s">
        <v>6239</v>
      </c>
      <c r="D3276" s="16" t="s">
        <v>6240</v>
      </c>
      <c r="E3276" s="17" t="s">
        <v>6241</v>
      </c>
      <c r="F3276" s="16" t="n">
        <v>35.61485147</v>
      </c>
      <c r="G3276" s="16" t="n">
        <v>45.95526545</v>
      </c>
      <c r="H3276" s="18" t="n">
        <v>2</v>
      </c>
      <c r="I3276" s="18" t="n">
        <v>12</v>
      </c>
      <c r="J3276" s="19"/>
      <c r="K3276" s="19"/>
      <c r="L3276" s="19"/>
      <c r="M3276" s="19"/>
      <c r="N3276" s="19"/>
      <c r="O3276" s="19" t="n">
        <v>1</v>
      </c>
      <c r="P3276" s="19"/>
      <c r="Q3276" s="19"/>
      <c r="R3276" s="19"/>
      <c r="S3276" s="19"/>
      <c r="T3276" s="19"/>
      <c r="U3276" s="19"/>
      <c r="V3276" s="19" t="n">
        <v>1</v>
      </c>
      <c r="W3276" s="19"/>
      <c r="X3276" s="19"/>
      <c r="Y3276" s="19"/>
      <c r="Z3276" s="19"/>
      <c r="AA3276" s="19"/>
      <c r="AB3276" s="19"/>
      <c r="AC3276" s="19"/>
      <c r="AD3276" s="19"/>
      <c r="AE3276" s="19"/>
      <c r="AF3276" s="19"/>
      <c r="AG3276" s="19"/>
      <c r="AH3276" s="19" t="n">
        <v>2</v>
      </c>
      <c r="AI3276" s="19"/>
      <c r="AJ3276" s="19"/>
      <c r="AK3276" s="19"/>
      <c r="AL3276" s="19"/>
      <c r="AM3276" s="19"/>
      <c r="AN3276" s="19" t="n">
        <v>2</v>
      </c>
      <c r="AO3276" s="19"/>
      <c r="AP3276" s="19"/>
      <c r="AQ3276" s="19"/>
      <c r="AR3276" s="19"/>
      <c r="AS3276" s="20" t="str">
        <f aca="false">HYPERLINK("http://www.openstreetmap.org/?mlat=35.6149&amp;mlon=45.9553&amp;zoom=12#map=12/35.6149/45.9553","Maplink1")</f>
        <v>Maplink1</v>
      </c>
      <c r="AT3276" s="20" t="str">
        <f aca="false">HYPERLINK("https://www.google.iq/maps/search/+35.6149,45.9553/@35.6149,45.9553,14z?hl=en","Maplink2")</f>
        <v>Maplink2</v>
      </c>
      <c r="AU3276" s="20" t="str">
        <f aca="false">HYPERLINK("http://www.bing.com/maps/?lvl=14&amp;sty=h&amp;cp=35.6149~45.9553&amp;sp=point.35.6149_45.9553","Maplink3")</f>
        <v>Maplink3</v>
      </c>
    </row>
    <row r="3277" customFormat="false" ht="15" hidden="false" customHeight="true" outlineLevel="0" collapsed="false">
      <c r="A3277" s="15" t="n">
        <v>22459</v>
      </c>
      <c r="B3277" s="16" t="s">
        <v>30</v>
      </c>
      <c r="C3277" s="16" t="s">
        <v>6239</v>
      </c>
      <c r="D3277" s="16" t="s">
        <v>3504</v>
      </c>
      <c r="E3277" s="17" t="s">
        <v>3366</v>
      </c>
      <c r="F3277" s="16" t="n">
        <v>35.62305954</v>
      </c>
      <c r="G3277" s="16" t="n">
        <v>45.94905184</v>
      </c>
      <c r="H3277" s="18" t="n">
        <v>2</v>
      </c>
      <c r="I3277" s="18" t="n">
        <v>12</v>
      </c>
      <c r="J3277" s="19"/>
      <c r="K3277" s="19"/>
      <c r="L3277" s="19" t="n">
        <v>2</v>
      </c>
      <c r="M3277" s="19"/>
      <c r="N3277" s="19"/>
      <c r="O3277" s="19"/>
      <c r="P3277" s="19"/>
      <c r="Q3277" s="19"/>
      <c r="R3277" s="19"/>
      <c r="S3277" s="19"/>
      <c r="T3277" s="19"/>
      <c r="U3277" s="19"/>
      <c r="V3277" s="19"/>
      <c r="W3277" s="19"/>
      <c r="X3277" s="19"/>
      <c r="Y3277" s="19"/>
      <c r="Z3277" s="19"/>
      <c r="AA3277" s="19"/>
      <c r="AB3277" s="19"/>
      <c r="AC3277" s="19"/>
      <c r="AD3277" s="19"/>
      <c r="AE3277" s="19"/>
      <c r="AF3277" s="19"/>
      <c r="AG3277" s="19"/>
      <c r="AH3277" s="19" t="n">
        <v>2</v>
      </c>
      <c r="AI3277" s="19"/>
      <c r="AJ3277" s="19"/>
      <c r="AK3277" s="19"/>
      <c r="AL3277" s="19"/>
      <c r="AM3277" s="19"/>
      <c r="AN3277" s="19"/>
      <c r="AO3277" s="19" t="n">
        <v>2</v>
      </c>
      <c r="AP3277" s="19"/>
      <c r="AQ3277" s="19"/>
      <c r="AR3277" s="19"/>
      <c r="AS3277" s="20" t="str">
        <f aca="false">HYPERLINK("http://www.openstreetmap.org/?mlat=35.6231&amp;mlon=45.9491&amp;zoom=12#map=12/35.6231/45.9491","Maplink1")</f>
        <v>Maplink1</v>
      </c>
      <c r="AT3277" s="20" t="str">
        <f aca="false">HYPERLINK("https://www.google.iq/maps/search/+35.6231,45.9491/@35.6231,45.9491,14z?hl=en","Maplink2")</f>
        <v>Maplink2</v>
      </c>
      <c r="AU3277" s="20" t="str">
        <f aca="false">HYPERLINK("http://www.bing.com/maps/?lvl=14&amp;sty=h&amp;cp=35.6231~45.9491&amp;sp=point.35.6231_45.9491","Maplink3")</f>
        <v>Maplink3</v>
      </c>
    </row>
    <row r="3278" customFormat="false" ht="15" hidden="false" customHeight="true" outlineLevel="0" collapsed="false">
      <c r="A3278" s="15" t="n">
        <v>22591</v>
      </c>
      <c r="B3278" s="16" t="s">
        <v>30</v>
      </c>
      <c r="C3278" s="16" t="s">
        <v>6239</v>
      </c>
      <c r="D3278" s="16" t="s">
        <v>3557</v>
      </c>
      <c r="E3278" s="17" t="s">
        <v>2978</v>
      </c>
      <c r="F3278" s="16" t="n">
        <v>35.63022992</v>
      </c>
      <c r="G3278" s="16" t="n">
        <v>45.93975492</v>
      </c>
      <c r="H3278" s="18" t="n">
        <v>2</v>
      </c>
      <c r="I3278" s="18" t="n">
        <v>12</v>
      </c>
      <c r="J3278" s="19" t="n">
        <v>1</v>
      </c>
      <c r="K3278" s="19"/>
      <c r="L3278" s="19"/>
      <c r="M3278" s="19"/>
      <c r="N3278" s="19"/>
      <c r="O3278" s="19"/>
      <c r="P3278" s="19"/>
      <c r="Q3278" s="19"/>
      <c r="R3278" s="19"/>
      <c r="S3278" s="19"/>
      <c r="T3278" s="19"/>
      <c r="U3278" s="19"/>
      <c r="V3278" s="19" t="n">
        <v>1</v>
      </c>
      <c r="W3278" s="19"/>
      <c r="X3278" s="19"/>
      <c r="Y3278" s="19"/>
      <c r="Z3278" s="19"/>
      <c r="AA3278" s="19"/>
      <c r="AB3278" s="19"/>
      <c r="AC3278" s="19"/>
      <c r="AD3278" s="19"/>
      <c r="AE3278" s="19"/>
      <c r="AF3278" s="19"/>
      <c r="AG3278" s="19"/>
      <c r="AH3278" s="19" t="n">
        <v>2</v>
      </c>
      <c r="AI3278" s="19"/>
      <c r="AJ3278" s="19"/>
      <c r="AK3278" s="19"/>
      <c r="AL3278" s="19"/>
      <c r="AM3278" s="19" t="n">
        <v>1</v>
      </c>
      <c r="AN3278" s="19"/>
      <c r="AO3278" s="19" t="n">
        <v>1</v>
      </c>
      <c r="AP3278" s="19"/>
      <c r="AQ3278" s="19"/>
      <c r="AR3278" s="19"/>
      <c r="AS3278" s="20" t="str">
        <f aca="false">HYPERLINK("http://www.openstreetmap.org/?mlat=35.6302&amp;mlon=45.9398&amp;zoom=12#map=12/35.6302/45.9398","Maplink1")</f>
        <v>Maplink1</v>
      </c>
      <c r="AT3278" s="20" t="str">
        <f aca="false">HYPERLINK("https://www.google.iq/maps/search/+35.6302,45.9398/@35.6302,45.9398,14z?hl=en","Maplink2")</f>
        <v>Maplink2</v>
      </c>
      <c r="AU3278" s="20" t="str">
        <f aca="false">HYPERLINK("http://www.bing.com/maps/?lvl=14&amp;sty=h&amp;cp=35.6302~45.9398&amp;sp=point.35.6302_45.9398","Maplink3")</f>
        <v>Maplink3</v>
      </c>
    </row>
    <row r="3279" customFormat="false" ht="15" hidden="false" customHeight="true" outlineLevel="0" collapsed="false">
      <c r="A3279" s="15" t="n">
        <v>24669</v>
      </c>
      <c r="B3279" s="16" t="s">
        <v>30</v>
      </c>
      <c r="C3279" s="16" t="s">
        <v>6242</v>
      </c>
      <c r="D3279" s="16" t="s">
        <v>6243</v>
      </c>
      <c r="E3279" s="17" t="s">
        <v>6244</v>
      </c>
      <c r="F3279" s="16" t="n">
        <v>36.18327533</v>
      </c>
      <c r="G3279" s="16" t="n">
        <v>45.12674831</v>
      </c>
      <c r="H3279" s="18" t="n">
        <v>67</v>
      </c>
      <c r="I3279" s="18" t="n">
        <v>402</v>
      </c>
      <c r="J3279" s="19"/>
      <c r="K3279" s="19"/>
      <c r="L3279" s="19"/>
      <c r="M3279" s="19"/>
      <c r="N3279" s="19"/>
      <c r="O3279" s="19"/>
      <c r="P3279" s="19"/>
      <c r="Q3279" s="19"/>
      <c r="R3279" s="19"/>
      <c r="S3279" s="19"/>
      <c r="T3279" s="19"/>
      <c r="U3279" s="19"/>
      <c r="V3279" s="19" t="n">
        <v>67</v>
      </c>
      <c r="W3279" s="19"/>
      <c r="X3279" s="19"/>
      <c r="Y3279" s="19"/>
      <c r="Z3279" s="19"/>
      <c r="AA3279" s="19"/>
      <c r="AB3279" s="19"/>
      <c r="AC3279" s="19"/>
      <c r="AD3279" s="19"/>
      <c r="AE3279" s="19" t="n">
        <v>24</v>
      </c>
      <c r="AF3279" s="19"/>
      <c r="AG3279" s="19"/>
      <c r="AH3279" s="19"/>
      <c r="AI3279" s="19"/>
      <c r="AJ3279" s="19" t="n">
        <v>43</v>
      </c>
      <c r="AK3279" s="19"/>
      <c r="AL3279" s="19"/>
      <c r="AM3279" s="19"/>
      <c r="AN3279" s="19" t="n">
        <v>67</v>
      </c>
      <c r="AO3279" s="19"/>
      <c r="AP3279" s="19"/>
      <c r="AQ3279" s="19"/>
      <c r="AR3279" s="19"/>
      <c r="AS3279" s="20" t="str">
        <f aca="false">HYPERLINK("http://www.openstreetmap.org/?mlat=36.1833&amp;mlon=45.1267&amp;zoom=12#map=12/36.1833/45.1267","Maplink1")</f>
        <v>Maplink1</v>
      </c>
      <c r="AT3279" s="20" t="str">
        <f aca="false">HYPERLINK("https://www.google.iq/maps/search/+36.1833,45.1267/@36.1833,45.1267,14z?hl=en","Maplink2")</f>
        <v>Maplink2</v>
      </c>
      <c r="AU3279" s="20" t="str">
        <f aca="false">HYPERLINK("http://www.bing.com/maps/?lvl=14&amp;sty=h&amp;cp=36.1833~45.1267&amp;sp=point.36.1833_45.1267","Maplink3")</f>
        <v>Maplink3</v>
      </c>
    </row>
    <row r="3280" customFormat="false" ht="15" hidden="false" customHeight="true" outlineLevel="0" collapsed="false">
      <c r="A3280" s="15" t="n">
        <v>24492</v>
      </c>
      <c r="B3280" s="16" t="s">
        <v>30</v>
      </c>
      <c r="C3280" s="16" t="s">
        <v>6242</v>
      </c>
      <c r="D3280" s="16" t="s">
        <v>6245</v>
      </c>
      <c r="E3280" s="17" t="s">
        <v>6246</v>
      </c>
      <c r="F3280" s="16" t="n">
        <v>36.17902003</v>
      </c>
      <c r="G3280" s="16" t="n">
        <v>45.12495185</v>
      </c>
      <c r="H3280" s="18" t="n">
        <v>96</v>
      </c>
      <c r="I3280" s="18" t="n">
        <v>576</v>
      </c>
      <c r="J3280" s="19" t="n">
        <v>44</v>
      </c>
      <c r="K3280" s="19"/>
      <c r="L3280" s="19"/>
      <c r="M3280" s="19"/>
      <c r="N3280" s="19"/>
      <c r="O3280" s="19"/>
      <c r="P3280" s="19"/>
      <c r="Q3280" s="19"/>
      <c r="R3280" s="19"/>
      <c r="S3280" s="19"/>
      <c r="T3280" s="19"/>
      <c r="U3280" s="19"/>
      <c r="V3280" s="19" t="n">
        <v>12</v>
      </c>
      <c r="W3280" s="19"/>
      <c r="X3280" s="19" t="n">
        <v>40</v>
      </c>
      <c r="Y3280" s="19"/>
      <c r="Z3280" s="19"/>
      <c r="AA3280" s="19"/>
      <c r="AB3280" s="19"/>
      <c r="AC3280" s="19"/>
      <c r="AD3280" s="19"/>
      <c r="AE3280" s="19"/>
      <c r="AF3280" s="19"/>
      <c r="AG3280" s="19"/>
      <c r="AH3280" s="19" t="n">
        <v>96</v>
      </c>
      <c r="AI3280" s="19"/>
      <c r="AJ3280" s="19"/>
      <c r="AK3280" s="19"/>
      <c r="AL3280" s="19" t="n">
        <v>10</v>
      </c>
      <c r="AM3280" s="19"/>
      <c r="AN3280" s="19" t="n">
        <v>12</v>
      </c>
      <c r="AO3280" s="19" t="n">
        <v>40</v>
      </c>
      <c r="AP3280" s="19" t="n">
        <v>31</v>
      </c>
      <c r="AQ3280" s="19" t="n">
        <v>3</v>
      </c>
      <c r="AR3280" s="19"/>
      <c r="AS3280" s="20" t="str">
        <f aca="false">HYPERLINK("http://www.openstreetmap.org/?mlat=36.179&amp;mlon=45.125&amp;zoom=12#map=12/36.179/45.125","Maplink1")</f>
        <v>Maplink1</v>
      </c>
      <c r="AT3280" s="20" t="str">
        <f aca="false">HYPERLINK("https://www.google.iq/maps/search/+36.179,45.125/@36.179,45.125,14z?hl=en","Maplink2")</f>
        <v>Maplink2</v>
      </c>
      <c r="AU3280" s="20" t="str">
        <f aca="false">HYPERLINK("http://www.bing.com/maps/?lvl=14&amp;sty=h&amp;cp=36.179~45.125&amp;sp=point.36.179_45.125","Maplink3")</f>
        <v>Maplink3</v>
      </c>
    </row>
    <row r="3281" customFormat="false" ht="15" hidden="false" customHeight="true" outlineLevel="0" collapsed="false">
      <c r="A3281" s="15" t="n">
        <v>6124</v>
      </c>
      <c r="B3281" s="16" t="s">
        <v>30</v>
      </c>
      <c r="C3281" s="16" t="s">
        <v>6242</v>
      </c>
      <c r="D3281" s="16" t="s">
        <v>6247</v>
      </c>
      <c r="E3281" s="17" t="s">
        <v>6248</v>
      </c>
      <c r="F3281" s="16" t="n">
        <v>36.24402342</v>
      </c>
      <c r="G3281" s="16" t="n">
        <v>45.00641636</v>
      </c>
      <c r="H3281" s="18" t="n">
        <v>48</v>
      </c>
      <c r="I3281" s="18" t="n">
        <v>288</v>
      </c>
      <c r="J3281" s="19" t="n">
        <v>24</v>
      </c>
      <c r="K3281" s="19"/>
      <c r="L3281" s="19" t="n">
        <v>9</v>
      </c>
      <c r="M3281" s="19"/>
      <c r="N3281" s="19"/>
      <c r="O3281" s="19"/>
      <c r="P3281" s="19"/>
      <c r="Q3281" s="19"/>
      <c r="R3281" s="19"/>
      <c r="S3281" s="19"/>
      <c r="T3281" s="19"/>
      <c r="U3281" s="19"/>
      <c r="V3281" s="19" t="n">
        <v>6</v>
      </c>
      <c r="W3281" s="19"/>
      <c r="X3281" s="19" t="n">
        <v>9</v>
      </c>
      <c r="Y3281" s="19"/>
      <c r="Z3281" s="19"/>
      <c r="AA3281" s="19"/>
      <c r="AB3281" s="19"/>
      <c r="AC3281" s="19"/>
      <c r="AD3281" s="19"/>
      <c r="AE3281" s="19"/>
      <c r="AF3281" s="19"/>
      <c r="AG3281" s="19"/>
      <c r="AH3281" s="19" t="n">
        <v>48</v>
      </c>
      <c r="AI3281" s="19"/>
      <c r="AJ3281" s="19"/>
      <c r="AK3281" s="19"/>
      <c r="AL3281" s="19" t="n">
        <v>5</v>
      </c>
      <c r="AM3281" s="19" t="n">
        <v>18</v>
      </c>
      <c r="AN3281" s="19" t="n">
        <v>8</v>
      </c>
      <c r="AO3281" s="19" t="n">
        <v>5</v>
      </c>
      <c r="AP3281" s="19" t="n">
        <v>6</v>
      </c>
      <c r="AQ3281" s="19" t="n">
        <v>6</v>
      </c>
      <c r="AR3281" s="19"/>
      <c r="AS3281" s="20" t="str">
        <f aca="false">HYPERLINK("http://www.openstreetmap.org/?mlat=36.244&amp;mlon=45.0064&amp;zoom=12#map=12/36.244/45.0064","Maplink1")</f>
        <v>Maplink1</v>
      </c>
      <c r="AT3281" s="20" t="str">
        <f aca="false">HYPERLINK("https://www.google.iq/maps/search/+36.244,45.0064/@36.244,45.0064,14z?hl=en","Maplink2")</f>
        <v>Maplink2</v>
      </c>
      <c r="AU3281" s="20" t="str">
        <f aca="false">HYPERLINK("http://www.bing.com/maps/?lvl=14&amp;sty=h&amp;cp=36.244~45.0064&amp;sp=point.36.244_45.0064","Maplink3")</f>
        <v>Maplink3</v>
      </c>
    </row>
    <row r="3282" customFormat="false" ht="15" hidden="false" customHeight="true" outlineLevel="0" collapsed="false">
      <c r="A3282" s="15" t="n">
        <v>24898</v>
      </c>
      <c r="B3282" s="16" t="s">
        <v>30</v>
      </c>
      <c r="C3282" s="16" t="s">
        <v>6249</v>
      </c>
      <c r="D3282" s="16" t="s">
        <v>6250</v>
      </c>
      <c r="E3282" s="17" t="s">
        <v>6251</v>
      </c>
      <c r="F3282" s="16" t="n">
        <v>36.24036</v>
      </c>
      <c r="G3282" s="16" t="n">
        <v>44.77115</v>
      </c>
      <c r="H3282" s="18" t="n">
        <v>8</v>
      </c>
      <c r="I3282" s="18" t="n">
        <v>48</v>
      </c>
      <c r="J3282" s="19" t="n">
        <v>8</v>
      </c>
      <c r="K3282" s="19"/>
      <c r="L3282" s="19"/>
      <c r="M3282" s="19"/>
      <c r="N3282" s="19"/>
      <c r="O3282" s="19"/>
      <c r="P3282" s="19"/>
      <c r="Q3282" s="19"/>
      <c r="R3282" s="19"/>
      <c r="S3282" s="19"/>
      <c r="T3282" s="19"/>
      <c r="U3282" s="19"/>
      <c r="V3282" s="19"/>
      <c r="W3282" s="19"/>
      <c r="X3282" s="19"/>
      <c r="Y3282" s="19"/>
      <c r="Z3282" s="19"/>
      <c r="AA3282" s="19"/>
      <c r="AB3282" s="19"/>
      <c r="AC3282" s="19"/>
      <c r="AD3282" s="19"/>
      <c r="AE3282" s="19"/>
      <c r="AF3282" s="19"/>
      <c r="AG3282" s="19"/>
      <c r="AH3282" s="19" t="n">
        <v>8</v>
      </c>
      <c r="AI3282" s="19"/>
      <c r="AJ3282" s="19"/>
      <c r="AK3282" s="19"/>
      <c r="AL3282" s="19" t="n">
        <v>2</v>
      </c>
      <c r="AM3282" s="19"/>
      <c r="AN3282" s="19"/>
      <c r="AO3282" s="19" t="n">
        <v>4</v>
      </c>
      <c r="AP3282" s="19" t="n">
        <v>2</v>
      </c>
      <c r="AQ3282" s="19"/>
      <c r="AR3282" s="19"/>
      <c r="AS3282" s="20" t="str">
        <f aca="false">HYPERLINK("http://www.openstreetmap.org/?mlat=36.2404&amp;mlon=44.7711&amp;zoom=12#map=12/36.2404/44.7711","Maplink1")</f>
        <v>Maplink1</v>
      </c>
      <c r="AT3282" s="20" t="str">
        <f aca="false">HYPERLINK("https://www.google.iq/maps/search/+36.2404,44.7711/@36.2404,44.7711,14z?hl=en","Maplink2")</f>
        <v>Maplink2</v>
      </c>
      <c r="AU3282" s="20" t="str">
        <f aca="false">HYPERLINK("http://www.bing.com/maps/?lvl=14&amp;sty=h&amp;cp=36.2404~44.7711&amp;sp=point.36.2404_44.7711","Maplink3")</f>
        <v>Maplink3</v>
      </c>
    </row>
    <row r="3283" customFormat="false" ht="15" hidden="false" customHeight="true" outlineLevel="0" collapsed="false">
      <c r="A3283" s="15" t="n">
        <v>25522</v>
      </c>
      <c r="B3283" s="16" t="s">
        <v>30</v>
      </c>
      <c r="C3283" s="16" t="s">
        <v>6249</v>
      </c>
      <c r="D3283" s="16" t="s">
        <v>6252</v>
      </c>
      <c r="E3283" s="17" t="s">
        <v>6253</v>
      </c>
      <c r="F3283" s="16" t="n">
        <v>36.26666421</v>
      </c>
      <c r="G3283" s="16" t="n">
        <v>44.87698964</v>
      </c>
      <c r="H3283" s="18" t="n">
        <v>35</v>
      </c>
      <c r="I3283" s="18" t="n">
        <v>210</v>
      </c>
      <c r="J3283" s="19" t="n">
        <v>27</v>
      </c>
      <c r="K3283" s="19"/>
      <c r="L3283" s="19"/>
      <c r="M3283" s="19"/>
      <c r="N3283" s="19"/>
      <c r="O3283" s="19" t="n">
        <v>1</v>
      </c>
      <c r="P3283" s="19"/>
      <c r="Q3283" s="19"/>
      <c r="R3283" s="19"/>
      <c r="S3283" s="19"/>
      <c r="T3283" s="19"/>
      <c r="U3283" s="19"/>
      <c r="V3283" s="19" t="n">
        <v>3</v>
      </c>
      <c r="W3283" s="19"/>
      <c r="X3283" s="19" t="n">
        <v>4</v>
      </c>
      <c r="Y3283" s="19"/>
      <c r="Z3283" s="19"/>
      <c r="AA3283" s="19"/>
      <c r="AB3283" s="19"/>
      <c r="AC3283" s="19"/>
      <c r="AD3283" s="19"/>
      <c r="AE3283" s="19"/>
      <c r="AF3283" s="19"/>
      <c r="AG3283" s="19"/>
      <c r="AH3283" s="19" t="n">
        <v>35</v>
      </c>
      <c r="AI3283" s="19"/>
      <c r="AJ3283" s="19"/>
      <c r="AK3283" s="19"/>
      <c r="AL3283" s="19"/>
      <c r="AM3283" s="19"/>
      <c r="AN3283" s="19" t="n">
        <v>4</v>
      </c>
      <c r="AO3283" s="19" t="n">
        <v>19</v>
      </c>
      <c r="AP3283" s="19" t="n">
        <v>10</v>
      </c>
      <c r="AQ3283" s="19" t="n">
        <v>2</v>
      </c>
      <c r="AR3283" s="19"/>
      <c r="AS3283" s="20" t="str">
        <f aca="false">HYPERLINK("http://www.openstreetmap.org/?mlat=36.2667&amp;mlon=44.877&amp;zoom=12#map=12/36.2667/44.877","Maplink1")</f>
        <v>Maplink1</v>
      </c>
      <c r="AT3283" s="20" t="str">
        <f aca="false">HYPERLINK("https://www.google.iq/maps/search/+36.2667,44.877/@36.2667,44.877,14z?hl=en","Maplink2")</f>
        <v>Maplink2</v>
      </c>
      <c r="AU3283" s="20" t="str">
        <f aca="false">HYPERLINK("http://www.bing.com/maps/?lvl=14&amp;sty=h&amp;cp=36.2667~44.877&amp;sp=point.36.2667_44.877","Maplink3")</f>
        <v>Maplink3</v>
      </c>
    </row>
    <row r="3284" customFormat="false" ht="15" hidden="false" customHeight="true" outlineLevel="0" collapsed="false">
      <c r="A3284" s="15" t="n">
        <v>25298</v>
      </c>
      <c r="B3284" s="16" t="s">
        <v>30</v>
      </c>
      <c r="C3284" s="16" t="s">
        <v>6249</v>
      </c>
      <c r="D3284" s="16" t="s">
        <v>6254</v>
      </c>
      <c r="E3284" s="17" t="s">
        <v>6255</v>
      </c>
      <c r="F3284" s="16" t="n">
        <v>36.2280543</v>
      </c>
      <c r="G3284" s="16" t="n">
        <v>44.84994099</v>
      </c>
      <c r="H3284" s="18" t="n">
        <v>281</v>
      </c>
      <c r="I3284" s="18" t="n">
        <v>1686</v>
      </c>
      <c r="J3284" s="19" t="n">
        <v>134</v>
      </c>
      <c r="K3284" s="19"/>
      <c r="L3284" s="19" t="n">
        <v>10</v>
      </c>
      <c r="M3284" s="19"/>
      <c r="N3284" s="19"/>
      <c r="O3284" s="19" t="n">
        <v>8</v>
      </c>
      <c r="P3284" s="19"/>
      <c r="Q3284" s="19"/>
      <c r="R3284" s="19"/>
      <c r="S3284" s="19"/>
      <c r="T3284" s="19"/>
      <c r="U3284" s="19"/>
      <c r="V3284" s="19" t="n">
        <v>124</v>
      </c>
      <c r="W3284" s="19"/>
      <c r="X3284" s="19" t="n">
        <v>5</v>
      </c>
      <c r="Y3284" s="19"/>
      <c r="Z3284" s="19"/>
      <c r="AA3284" s="19"/>
      <c r="AB3284" s="19"/>
      <c r="AC3284" s="19"/>
      <c r="AD3284" s="19"/>
      <c r="AE3284" s="19"/>
      <c r="AF3284" s="19"/>
      <c r="AG3284" s="19"/>
      <c r="AH3284" s="19" t="n">
        <v>281</v>
      </c>
      <c r="AI3284" s="19"/>
      <c r="AJ3284" s="19"/>
      <c r="AK3284" s="19"/>
      <c r="AL3284" s="19" t="n">
        <v>15</v>
      </c>
      <c r="AM3284" s="19" t="n">
        <v>89</v>
      </c>
      <c r="AN3284" s="19" t="n">
        <v>60</v>
      </c>
      <c r="AO3284" s="19" t="n">
        <v>48</v>
      </c>
      <c r="AP3284" s="19" t="n">
        <v>69</v>
      </c>
      <c r="AQ3284" s="19"/>
      <c r="AR3284" s="19"/>
      <c r="AS3284" s="20" t="str">
        <f aca="false">HYPERLINK("http://www.openstreetmap.org/?mlat=36.2281&amp;mlon=44.8499&amp;zoom=12#map=12/36.2281/44.8499","Maplink1")</f>
        <v>Maplink1</v>
      </c>
      <c r="AT3284" s="20" t="str">
        <f aca="false">HYPERLINK("https://www.google.iq/maps/search/+36.2281,44.8499/@36.2281,44.8499,14z?hl=en","Maplink2")</f>
        <v>Maplink2</v>
      </c>
      <c r="AU3284" s="20" t="str">
        <f aca="false">HYPERLINK("http://www.bing.com/maps/?lvl=14&amp;sty=h&amp;cp=36.2281~44.8499&amp;sp=point.36.2281_44.8499","Maplink3")</f>
        <v>Maplink3</v>
      </c>
    </row>
    <row r="3285" customFormat="false" ht="15" hidden="false" customHeight="true" outlineLevel="0" collapsed="false">
      <c r="A3285" s="15" t="n">
        <v>5568</v>
      </c>
      <c r="B3285" s="16" t="s">
        <v>30</v>
      </c>
      <c r="C3285" s="16" t="s">
        <v>6249</v>
      </c>
      <c r="D3285" s="16" t="s">
        <v>6256</v>
      </c>
      <c r="E3285" s="17" t="s">
        <v>3497</v>
      </c>
      <c r="F3285" s="16" t="n">
        <v>36.21877</v>
      </c>
      <c r="G3285" s="16" t="n">
        <v>44.83362</v>
      </c>
      <c r="H3285" s="18" t="n">
        <v>6</v>
      </c>
      <c r="I3285" s="18" t="n">
        <v>36</v>
      </c>
      <c r="J3285" s="19" t="n">
        <v>3</v>
      </c>
      <c r="K3285" s="19"/>
      <c r="L3285" s="19"/>
      <c r="M3285" s="19"/>
      <c r="N3285" s="19"/>
      <c r="O3285" s="19"/>
      <c r="P3285" s="19"/>
      <c r="Q3285" s="19"/>
      <c r="R3285" s="19"/>
      <c r="S3285" s="19"/>
      <c r="T3285" s="19"/>
      <c r="U3285" s="19"/>
      <c r="V3285" s="19" t="n">
        <v>3</v>
      </c>
      <c r="W3285" s="19"/>
      <c r="X3285" s="19"/>
      <c r="Y3285" s="19"/>
      <c r="Z3285" s="19"/>
      <c r="AA3285" s="19"/>
      <c r="AB3285" s="19"/>
      <c r="AC3285" s="19"/>
      <c r="AD3285" s="19"/>
      <c r="AE3285" s="19"/>
      <c r="AF3285" s="19"/>
      <c r="AG3285" s="19"/>
      <c r="AH3285" s="19" t="n">
        <v>6</v>
      </c>
      <c r="AI3285" s="19"/>
      <c r="AJ3285" s="19"/>
      <c r="AK3285" s="19"/>
      <c r="AL3285" s="19"/>
      <c r="AM3285" s="19" t="n">
        <v>3</v>
      </c>
      <c r="AN3285" s="19" t="n">
        <v>3</v>
      </c>
      <c r="AO3285" s="19"/>
      <c r="AP3285" s="19"/>
      <c r="AQ3285" s="19"/>
      <c r="AR3285" s="19"/>
      <c r="AS3285" s="20" t="str">
        <f aca="false">HYPERLINK("http://www.openstreetmap.org/?mlat=36.2188&amp;mlon=44.8336&amp;zoom=12#map=12/36.2188/44.8336","Maplink1")</f>
        <v>Maplink1</v>
      </c>
      <c r="AT3285" s="20" t="str">
        <f aca="false">HYPERLINK("https://www.google.iq/maps/search/+36.2188,44.8336/@36.2188,44.8336,14z?hl=en","Maplink2")</f>
        <v>Maplink2</v>
      </c>
      <c r="AU3285" s="20" t="str">
        <f aca="false">HYPERLINK("http://www.bing.com/maps/?lvl=14&amp;sty=h&amp;cp=36.2188~44.8336&amp;sp=point.36.2188_44.8336","Maplink3")</f>
        <v>Maplink3</v>
      </c>
    </row>
    <row r="3286" customFormat="false" ht="15" hidden="false" customHeight="true" outlineLevel="0" collapsed="false">
      <c r="A3286" s="15" t="n">
        <v>4179</v>
      </c>
      <c r="B3286" s="16" t="s">
        <v>30</v>
      </c>
      <c r="C3286" s="16" t="s">
        <v>6249</v>
      </c>
      <c r="D3286" s="16" t="s">
        <v>6257</v>
      </c>
      <c r="E3286" s="17" t="s">
        <v>6258</v>
      </c>
      <c r="F3286" s="16" t="n">
        <v>36.21468</v>
      </c>
      <c r="G3286" s="16" t="n">
        <v>44.81984</v>
      </c>
      <c r="H3286" s="18" t="n">
        <v>15</v>
      </c>
      <c r="I3286" s="18" t="n">
        <v>90</v>
      </c>
      <c r="J3286" s="19" t="n">
        <v>11</v>
      </c>
      <c r="K3286" s="19"/>
      <c r="L3286" s="19" t="n">
        <v>3</v>
      </c>
      <c r="M3286" s="19"/>
      <c r="N3286" s="19"/>
      <c r="O3286" s="19"/>
      <c r="P3286" s="19"/>
      <c r="Q3286" s="19"/>
      <c r="R3286" s="19"/>
      <c r="S3286" s="19"/>
      <c r="T3286" s="19"/>
      <c r="U3286" s="19"/>
      <c r="V3286" s="19" t="n">
        <v>1</v>
      </c>
      <c r="W3286" s="19"/>
      <c r="X3286" s="19"/>
      <c r="Y3286" s="19"/>
      <c r="Z3286" s="19"/>
      <c r="AA3286" s="19"/>
      <c r="AB3286" s="19"/>
      <c r="AC3286" s="19"/>
      <c r="AD3286" s="19"/>
      <c r="AE3286" s="19"/>
      <c r="AF3286" s="19"/>
      <c r="AG3286" s="19"/>
      <c r="AH3286" s="19" t="n">
        <v>15</v>
      </c>
      <c r="AI3286" s="19"/>
      <c r="AJ3286" s="19"/>
      <c r="AK3286" s="19"/>
      <c r="AL3286" s="19" t="n">
        <v>7</v>
      </c>
      <c r="AM3286" s="19" t="n">
        <v>5</v>
      </c>
      <c r="AN3286" s="19" t="n">
        <v>1</v>
      </c>
      <c r="AO3286" s="19" t="n">
        <v>2</v>
      </c>
      <c r="AP3286" s="19"/>
      <c r="AQ3286" s="19"/>
      <c r="AR3286" s="19"/>
      <c r="AS3286" s="20" t="str">
        <f aca="false">HYPERLINK("http://www.openstreetmap.org/?mlat=36.2147&amp;mlon=44.8198&amp;zoom=12#map=12/36.2147/44.8198","Maplink1")</f>
        <v>Maplink1</v>
      </c>
      <c r="AT3286" s="20" t="str">
        <f aca="false">HYPERLINK("https://www.google.iq/maps/search/+36.2147,44.8198/@36.2147,44.8198,14z?hl=en","Maplink2")</f>
        <v>Maplink2</v>
      </c>
      <c r="AU3286" s="20" t="str">
        <f aca="false">HYPERLINK("http://www.bing.com/maps/?lvl=14&amp;sty=h&amp;cp=36.2147~44.8198&amp;sp=point.36.2147_44.8198","Maplink3")</f>
        <v>Maplink3</v>
      </c>
    </row>
    <row r="3287" customFormat="false" ht="15" hidden="false" customHeight="true" outlineLevel="0" collapsed="false">
      <c r="A3287" s="15" t="n">
        <v>24814</v>
      </c>
      <c r="B3287" s="16" t="s">
        <v>30</v>
      </c>
      <c r="C3287" s="16" t="s">
        <v>6249</v>
      </c>
      <c r="D3287" s="16" t="s">
        <v>3504</v>
      </c>
      <c r="E3287" s="17" t="s">
        <v>3366</v>
      </c>
      <c r="F3287" s="16" t="n">
        <v>36.26147439</v>
      </c>
      <c r="G3287" s="16" t="n">
        <v>44.8899897</v>
      </c>
      <c r="H3287" s="18" t="n">
        <v>26</v>
      </c>
      <c r="I3287" s="18" t="n">
        <v>156</v>
      </c>
      <c r="J3287" s="19" t="n">
        <v>17</v>
      </c>
      <c r="K3287" s="19"/>
      <c r="L3287" s="19" t="n">
        <v>3</v>
      </c>
      <c r="M3287" s="19"/>
      <c r="N3287" s="19"/>
      <c r="O3287" s="19"/>
      <c r="P3287" s="19"/>
      <c r="Q3287" s="19"/>
      <c r="R3287" s="19"/>
      <c r="S3287" s="19"/>
      <c r="T3287" s="19"/>
      <c r="U3287" s="19"/>
      <c r="V3287" s="19" t="n">
        <v>6</v>
      </c>
      <c r="W3287" s="19"/>
      <c r="X3287" s="19"/>
      <c r="Y3287" s="19"/>
      <c r="Z3287" s="19"/>
      <c r="AA3287" s="19"/>
      <c r="AB3287" s="19"/>
      <c r="AC3287" s="19"/>
      <c r="AD3287" s="19"/>
      <c r="AE3287" s="19"/>
      <c r="AF3287" s="19"/>
      <c r="AG3287" s="19"/>
      <c r="AH3287" s="19" t="n">
        <v>26</v>
      </c>
      <c r="AI3287" s="19"/>
      <c r="AJ3287" s="19"/>
      <c r="AK3287" s="19"/>
      <c r="AL3287" s="19"/>
      <c r="AM3287" s="19" t="n">
        <v>16</v>
      </c>
      <c r="AN3287" s="19"/>
      <c r="AO3287" s="19" t="n">
        <v>4</v>
      </c>
      <c r="AP3287" s="19" t="n">
        <v>6</v>
      </c>
      <c r="AQ3287" s="19"/>
      <c r="AR3287" s="19"/>
      <c r="AS3287" s="20" t="str">
        <f aca="false">HYPERLINK("http://www.openstreetmap.org/?mlat=36.2615&amp;mlon=44.89&amp;zoom=12#map=12/36.2615/44.89","Maplink1")</f>
        <v>Maplink1</v>
      </c>
      <c r="AT3287" s="20" t="str">
        <f aca="false">HYPERLINK("https://www.google.iq/maps/search/+36.2615,44.89/@36.2615,44.89,14z?hl=en","Maplink2")</f>
        <v>Maplink2</v>
      </c>
      <c r="AU3287" s="20" t="str">
        <f aca="false">HYPERLINK("http://www.bing.com/maps/?lvl=14&amp;sty=h&amp;cp=36.2615~44.89&amp;sp=point.36.2615_44.89","Maplink3")</f>
        <v>Maplink3</v>
      </c>
    </row>
    <row r="3288" customFormat="false" ht="15" hidden="false" customHeight="true" outlineLevel="0" collapsed="false">
      <c r="A3288" s="15" t="n">
        <v>24101</v>
      </c>
      <c r="B3288" s="16" t="s">
        <v>30</v>
      </c>
      <c r="C3288" s="16" t="s">
        <v>6249</v>
      </c>
      <c r="D3288" s="16" t="s">
        <v>2819</v>
      </c>
      <c r="E3288" s="17" t="s">
        <v>2820</v>
      </c>
      <c r="F3288" s="16" t="n">
        <v>36.24879261</v>
      </c>
      <c r="G3288" s="16" t="n">
        <v>44.86984628</v>
      </c>
      <c r="H3288" s="18" t="n">
        <v>38</v>
      </c>
      <c r="I3288" s="18" t="n">
        <v>228</v>
      </c>
      <c r="J3288" s="19" t="n">
        <v>27</v>
      </c>
      <c r="K3288" s="19"/>
      <c r="L3288" s="19"/>
      <c r="M3288" s="19"/>
      <c r="N3288" s="19"/>
      <c r="O3288" s="19"/>
      <c r="P3288" s="19"/>
      <c r="Q3288" s="19"/>
      <c r="R3288" s="19"/>
      <c r="S3288" s="19"/>
      <c r="T3288" s="19"/>
      <c r="U3288" s="19"/>
      <c r="V3288" s="19" t="n">
        <v>9</v>
      </c>
      <c r="W3288" s="19"/>
      <c r="X3288" s="19" t="n">
        <v>2</v>
      </c>
      <c r="Y3288" s="19"/>
      <c r="Z3288" s="19"/>
      <c r="AA3288" s="19"/>
      <c r="AB3288" s="19"/>
      <c r="AC3288" s="19"/>
      <c r="AD3288" s="19"/>
      <c r="AE3288" s="19"/>
      <c r="AF3288" s="19"/>
      <c r="AG3288" s="19"/>
      <c r="AH3288" s="19" t="n">
        <v>38</v>
      </c>
      <c r="AI3288" s="19"/>
      <c r="AJ3288" s="19"/>
      <c r="AK3288" s="19"/>
      <c r="AL3288" s="19" t="n">
        <v>8</v>
      </c>
      <c r="AM3288" s="19" t="n">
        <v>2</v>
      </c>
      <c r="AN3288" s="19" t="n">
        <v>7</v>
      </c>
      <c r="AO3288" s="19" t="n">
        <v>8</v>
      </c>
      <c r="AP3288" s="19" t="n">
        <v>13</v>
      </c>
      <c r="AQ3288" s="19"/>
      <c r="AR3288" s="19"/>
      <c r="AS3288" s="20" t="str">
        <f aca="false">HYPERLINK("http://www.openstreetmap.org/?mlat=36.2488&amp;mlon=44.8698&amp;zoom=12#map=12/36.2488/44.8698","Maplink1")</f>
        <v>Maplink1</v>
      </c>
      <c r="AT3288" s="20" t="str">
        <f aca="false">HYPERLINK("https://www.google.iq/maps/search/+36.2488,44.8698/@36.2488,44.8698,14z?hl=en","Maplink2")</f>
        <v>Maplink2</v>
      </c>
      <c r="AU3288" s="20" t="str">
        <f aca="false">HYPERLINK("http://www.bing.com/maps/?lvl=14&amp;sty=h&amp;cp=36.2488~44.8698&amp;sp=point.36.2488_44.8698","Maplink3")</f>
        <v>Maplink3</v>
      </c>
    </row>
    <row r="3289" customFormat="false" ht="15" hidden="false" customHeight="true" outlineLevel="0" collapsed="false">
      <c r="A3289" s="15" t="n">
        <v>24897</v>
      </c>
      <c r="B3289" s="16" t="s">
        <v>30</v>
      </c>
      <c r="C3289" s="16" t="s">
        <v>6249</v>
      </c>
      <c r="D3289" s="16" t="s">
        <v>6259</v>
      </c>
      <c r="E3289" s="17" t="s">
        <v>6114</v>
      </c>
      <c r="F3289" s="16" t="n">
        <v>36.24693377</v>
      </c>
      <c r="G3289" s="16" t="n">
        <v>44.88466288</v>
      </c>
      <c r="H3289" s="18" t="n">
        <v>14</v>
      </c>
      <c r="I3289" s="18" t="n">
        <v>84</v>
      </c>
      <c r="J3289" s="19" t="n">
        <v>14</v>
      </c>
      <c r="K3289" s="19"/>
      <c r="L3289" s="19"/>
      <c r="M3289" s="19"/>
      <c r="N3289" s="19"/>
      <c r="O3289" s="19"/>
      <c r="P3289" s="19"/>
      <c r="Q3289" s="19"/>
      <c r="R3289" s="19"/>
      <c r="S3289" s="19"/>
      <c r="T3289" s="19"/>
      <c r="U3289" s="19"/>
      <c r="V3289" s="19"/>
      <c r="W3289" s="19"/>
      <c r="X3289" s="19"/>
      <c r="Y3289" s="19"/>
      <c r="Z3289" s="19"/>
      <c r="AA3289" s="19"/>
      <c r="AB3289" s="19"/>
      <c r="AC3289" s="19"/>
      <c r="AD3289" s="19"/>
      <c r="AE3289" s="19"/>
      <c r="AF3289" s="19"/>
      <c r="AG3289" s="19"/>
      <c r="AH3289" s="19" t="n">
        <v>14</v>
      </c>
      <c r="AI3289" s="19"/>
      <c r="AJ3289" s="19"/>
      <c r="AK3289" s="19"/>
      <c r="AL3289" s="19" t="n">
        <v>4</v>
      </c>
      <c r="AM3289" s="19"/>
      <c r="AN3289" s="19"/>
      <c r="AO3289" s="19" t="n">
        <v>3</v>
      </c>
      <c r="AP3289" s="19" t="n">
        <v>7</v>
      </c>
      <c r="AQ3289" s="19"/>
      <c r="AR3289" s="19"/>
      <c r="AS3289" s="20" t="str">
        <f aca="false">HYPERLINK("http://www.openstreetmap.org/?mlat=36.2469&amp;mlon=44.8847&amp;zoom=12#map=12/36.2469/44.8847","Maplink1")</f>
        <v>Maplink1</v>
      </c>
      <c r="AT3289" s="20" t="str">
        <f aca="false">HYPERLINK("https://www.google.iq/maps/search/+36.2469,44.8847/@36.2469,44.8847,14z?hl=en","Maplink2")</f>
        <v>Maplink2</v>
      </c>
      <c r="AU3289" s="20" t="str">
        <f aca="false">HYPERLINK("http://www.bing.com/maps/?lvl=14&amp;sty=h&amp;cp=36.2469~44.8847&amp;sp=point.36.2469_44.8847","Maplink3")</f>
        <v>Maplink3</v>
      </c>
    </row>
    <row r="3290" customFormat="false" ht="15" hidden="false" customHeight="true" outlineLevel="0" collapsed="false">
      <c r="A3290" s="15" t="n">
        <v>4201</v>
      </c>
      <c r="B3290" s="16" t="s">
        <v>30</v>
      </c>
      <c r="C3290" s="16" t="s">
        <v>6249</v>
      </c>
      <c r="D3290" s="16" t="s">
        <v>3630</v>
      </c>
      <c r="E3290" s="17" t="s">
        <v>3631</v>
      </c>
      <c r="F3290" s="16" t="n">
        <v>36.25443457</v>
      </c>
      <c r="G3290" s="16" t="n">
        <v>44.88690658</v>
      </c>
      <c r="H3290" s="18" t="n">
        <v>34</v>
      </c>
      <c r="I3290" s="18" t="n">
        <v>204</v>
      </c>
      <c r="J3290" s="19" t="n">
        <v>22</v>
      </c>
      <c r="K3290" s="19"/>
      <c r="L3290" s="19" t="n">
        <v>5</v>
      </c>
      <c r="M3290" s="19"/>
      <c r="N3290" s="19"/>
      <c r="O3290" s="19"/>
      <c r="P3290" s="19"/>
      <c r="Q3290" s="19"/>
      <c r="R3290" s="19"/>
      <c r="S3290" s="19"/>
      <c r="T3290" s="19"/>
      <c r="U3290" s="19"/>
      <c r="V3290" s="19" t="n">
        <v>7</v>
      </c>
      <c r="W3290" s="19"/>
      <c r="X3290" s="19"/>
      <c r="Y3290" s="19"/>
      <c r="Z3290" s="19"/>
      <c r="AA3290" s="19"/>
      <c r="AB3290" s="19"/>
      <c r="AC3290" s="19"/>
      <c r="AD3290" s="19"/>
      <c r="AE3290" s="19"/>
      <c r="AF3290" s="19"/>
      <c r="AG3290" s="19"/>
      <c r="AH3290" s="19" t="n">
        <v>34</v>
      </c>
      <c r="AI3290" s="19"/>
      <c r="AJ3290" s="19"/>
      <c r="AK3290" s="19"/>
      <c r="AL3290" s="19" t="n">
        <v>5</v>
      </c>
      <c r="AM3290" s="19"/>
      <c r="AN3290" s="19" t="n">
        <v>17</v>
      </c>
      <c r="AO3290" s="19"/>
      <c r="AP3290" s="19" t="n">
        <v>6</v>
      </c>
      <c r="AQ3290" s="19" t="n">
        <v>6</v>
      </c>
      <c r="AR3290" s="19"/>
      <c r="AS3290" s="20" t="str">
        <f aca="false">HYPERLINK("http://www.openstreetmap.org/?mlat=36.2544&amp;mlon=44.8869&amp;zoom=12#map=12/36.2544/44.8869","Maplink1")</f>
        <v>Maplink1</v>
      </c>
      <c r="AT3290" s="20" t="str">
        <f aca="false">HYPERLINK("https://www.google.iq/maps/search/+36.2544,44.8869/@36.2544,44.8869,14z?hl=en","Maplink2")</f>
        <v>Maplink2</v>
      </c>
      <c r="AU3290" s="20" t="str">
        <f aca="false">HYPERLINK("http://www.bing.com/maps/?lvl=14&amp;sty=h&amp;cp=36.2544~44.8869&amp;sp=point.36.2544_44.8869","Maplink3")</f>
        <v>Maplink3</v>
      </c>
    </row>
    <row r="3291" customFormat="false" ht="15" hidden="false" customHeight="true" outlineLevel="0" collapsed="false">
      <c r="A3291" s="15" t="n">
        <v>25296</v>
      </c>
      <c r="B3291" s="16" t="s">
        <v>30</v>
      </c>
      <c r="C3291" s="16" t="s">
        <v>6249</v>
      </c>
      <c r="D3291" s="16" t="s">
        <v>6260</v>
      </c>
      <c r="E3291" s="17" t="s">
        <v>6261</v>
      </c>
      <c r="F3291" s="16" t="n">
        <v>36.21197079</v>
      </c>
      <c r="G3291" s="16" t="n">
        <v>44.8354506</v>
      </c>
      <c r="H3291" s="18" t="n">
        <v>55</v>
      </c>
      <c r="I3291" s="18" t="n">
        <v>330</v>
      </c>
      <c r="J3291" s="19" t="n">
        <v>22</v>
      </c>
      <c r="K3291" s="19"/>
      <c r="L3291" s="19" t="n">
        <v>6</v>
      </c>
      <c r="M3291" s="19"/>
      <c r="N3291" s="19"/>
      <c r="O3291" s="19" t="n">
        <v>4</v>
      </c>
      <c r="P3291" s="19"/>
      <c r="Q3291" s="19"/>
      <c r="R3291" s="19"/>
      <c r="S3291" s="19"/>
      <c r="T3291" s="19"/>
      <c r="U3291" s="19"/>
      <c r="V3291" s="19" t="n">
        <v>19</v>
      </c>
      <c r="W3291" s="19"/>
      <c r="X3291" s="19" t="n">
        <v>4</v>
      </c>
      <c r="Y3291" s="19"/>
      <c r="Z3291" s="19"/>
      <c r="AA3291" s="19"/>
      <c r="AB3291" s="19"/>
      <c r="AC3291" s="19"/>
      <c r="AD3291" s="19"/>
      <c r="AE3291" s="19"/>
      <c r="AF3291" s="19"/>
      <c r="AG3291" s="19"/>
      <c r="AH3291" s="19" t="n">
        <v>55</v>
      </c>
      <c r="AI3291" s="19"/>
      <c r="AJ3291" s="19"/>
      <c r="AK3291" s="19"/>
      <c r="AL3291" s="19" t="n">
        <v>4</v>
      </c>
      <c r="AM3291" s="19"/>
      <c r="AN3291" s="19" t="n">
        <v>19</v>
      </c>
      <c r="AO3291" s="19"/>
      <c r="AP3291" s="19" t="n">
        <v>25</v>
      </c>
      <c r="AQ3291" s="19" t="n">
        <v>7</v>
      </c>
      <c r="AR3291" s="19"/>
      <c r="AS3291" s="20" t="str">
        <f aca="false">HYPERLINK("http://www.openstreetmap.org/?mlat=36.212&amp;mlon=44.8355&amp;zoom=12#map=12/36.212/44.8355","Maplink1")</f>
        <v>Maplink1</v>
      </c>
      <c r="AT3291" s="20" t="str">
        <f aca="false">HYPERLINK("https://www.google.iq/maps/search/+36.212,44.8355/@36.212,44.8355,14z?hl=en","Maplink2")</f>
        <v>Maplink2</v>
      </c>
      <c r="AU3291" s="20" t="str">
        <f aca="false">HYPERLINK("http://www.bing.com/maps/?lvl=14&amp;sty=h&amp;cp=36.212~44.8355&amp;sp=point.36.212_44.8355","Maplink3")</f>
        <v>Maplink3</v>
      </c>
    </row>
    <row r="3292" customFormat="false" ht="15" hidden="false" customHeight="true" outlineLevel="0" collapsed="false">
      <c r="A3292" s="15" t="n">
        <v>24100</v>
      </c>
      <c r="B3292" s="16" t="s">
        <v>30</v>
      </c>
      <c r="C3292" s="16" t="s">
        <v>6249</v>
      </c>
      <c r="D3292" s="16" t="s">
        <v>6262</v>
      </c>
      <c r="E3292" s="17" t="s">
        <v>6263</v>
      </c>
      <c r="F3292" s="16" t="n">
        <v>36.25577356</v>
      </c>
      <c r="G3292" s="16" t="n">
        <v>44.88884478</v>
      </c>
      <c r="H3292" s="18" t="n">
        <v>20</v>
      </c>
      <c r="I3292" s="18" t="n">
        <v>120</v>
      </c>
      <c r="J3292" s="19" t="n">
        <v>15</v>
      </c>
      <c r="K3292" s="19"/>
      <c r="L3292" s="19" t="n">
        <v>1</v>
      </c>
      <c r="M3292" s="19"/>
      <c r="N3292" s="19"/>
      <c r="O3292" s="19"/>
      <c r="P3292" s="19"/>
      <c r="Q3292" s="19"/>
      <c r="R3292" s="19"/>
      <c r="S3292" s="19"/>
      <c r="T3292" s="19"/>
      <c r="U3292" s="19"/>
      <c r="V3292" s="19" t="n">
        <v>4</v>
      </c>
      <c r="W3292" s="19"/>
      <c r="X3292" s="19"/>
      <c r="Y3292" s="19"/>
      <c r="Z3292" s="19"/>
      <c r="AA3292" s="19"/>
      <c r="AB3292" s="19"/>
      <c r="AC3292" s="19"/>
      <c r="AD3292" s="19"/>
      <c r="AE3292" s="19"/>
      <c r="AF3292" s="19"/>
      <c r="AG3292" s="19"/>
      <c r="AH3292" s="19" t="n">
        <v>20</v>
      </c>
      <c r="AI3292" s="19"/>
      <c r="AJ3292" s="19"/>
      <c r="AK3292" s="19"/>
      <c r="AL3292" s="19" t="n">
        <v>9</v>
      </c>
      <c r="AM3292" s="19"/>
      <c r="AN3292" s="19" t="n">
        <v>4</v>
      </c>
      <c r="AO3292" s="19" t="n">
        <v>1</v>
      </c>
      <c r="AP3292" s="19" t="n">
        <v>6</v>
      </c>
      <c r="AQ3292" s="19"/>
      <c r="AR3292" s="19"/>
      <c r="AS3292" s="20" t="str">
        <f aca="false">HYPERLINK("http://www.openstreetmap.org/?mlat=36.2558&amp;mlon=44.8888&amp;zoom=12#map=12/36.2558/44.8888","Maplink1")</f>
        <v>Maplink1</v>
      </c>
      <c r="AT3292" s="20" t="str">
        <f aca="false">HYPERLINK("https://www.google.iq/maps/search/+36.2558,44.8888/@36.2558,44.8888,14z?hl=en","Maplink2")</f>
        <v>Maplink2</v>
      </c>
      <c r="AU3292" s="20" t="str">
        <f aca="false">HYPERLINK("http://www.bing.com/maps/?lvl=14&amp;sty=h&amp;cp=36.2558~44.8888&amp;sp=point.36.2558_44.8888","Maplink3")</f>
        <v>Maplink3</v>
      </c>
    </row>
    <row r="3293" customFormat="false" ht="15" hidden="false" customHeight="true" outlineLevel="0" collapsed="false">
      <c r="A3293" s="15" t="n">
        <v>25293</v>
      </c>
      <c r="B3293" s="16" t="s">
        <v>30</v>
      </c>
      <c r="C3293" s="16" t="s">
        <v>6249</v>
      </c>
      <c r="D3293" s="16" t="s">
        <v>6087</v>
      </c>
      <c r="E3293" s="17" t="s">
        <v>3375</v>
      </c>
      <c r="F3293" s="16" t="n">
        <v>36.20307331</v>
      </c>
      <c r="G3293" s="16" t="n">
        <v>44.81979116</v>
      </c>
      <c r="H3293" s="18" t="n">
        <v>33</v>
      </c>
      <c r="I3293" s="18" t="n">
        <v>198</v>
      </c>
      <c r="J3293" s="19" t="n">
        <v>19</v>
      </c>
      <c r="K3293" s="19"/>
      <c r="L3293" s="19"/>
      <c r="M3293" s="19"/>
      <c r="N3293" s="19"/>
      <c r="O3293" s="19"/>
      <c r="P3293" s="19"/>
      <c r="Q3293" s="19"/>
      <c r="R3293" s="19"/>
      <c r="S3293" s="19"/>
      <c r="T3293" s="19"/>
      <c r="U3293" s="19"/>
      <c r="V3293" s="19" t="n">
        <v>14</v>
      </c>
      <c r="W3293" s="19"/>
      <c r="X3293" s="19"/>
      <c r="Y3293" s="19"/>
      <c r="Z3293" s="19"/>
      <c r="AA3293" s="19"/>
      <c r="AB3293" s="19"/>
      <c r="AC3293" s="19"/>
      <c r="AD3293" s="19"/>
      <c r="AE3293" s="19"/>
      <c r="AF3293" s="19"/>
      <c r="AG3293" s="19"/>
      <c r="AH3293" s="19" t="n">
        <v>33</v>
      </c>
      <c r="AI3293" s="19"/>
      <c r="AJ3293" s="19"/>
      <c r="AK3293" s="19"/>
      <c r="AL3293" s="19" t="n">
        <v>4</v>
      </c>
      <c r="AM3293" s="19"/>
      <c r="AN3293" s="19" t="n">
        <v>14</v>
      </c>
      <c r="AO3293" s="19" t="n">
        <v>4</v>
      </c>
      <c r="AP3293" s="19" t="n">
        <v>11</v>
      </c>
      <c r="AQ3293" s="19"/>
      <c r="AR3293" s="19"/>
      <c r="AS3293" s="20" t="str">
        <f aca="false">HYPERLINK("http://www.openstreetmap.org/?mlat=36.2031&amp;mlon=44.8198&amp;zoom=12#map=12/36.2031/44.8198","Maplink1")</f>
        <v>Maplink1</v>
      </c>
      <c r="AT3293" s="20" t="str">
        <f aca="false">HYPERLINK("https://www.google.iq/maps/search/+36.2031,44.8198/@36.2031,44.8198,14z?hl=en","Maplink2")</f>
        <v>Maplink2</v>
      </c>
      <c r="AU3293" s="20" t="str">
        <f aca="false">HYPERLINK("http://www.bing.com/maps/?lvl=14&amp;sty=h&amp;cp=36.2031~44.8198&amp;sp=point.36.2031_44.8198","Maplink3")</f>
        <v>Maplink3</v>
      </c>
    </row>
    <row r="3294" customFormat="false" ht="15" hidden="false" customHeight="true" outlineLevel="0" collapsed="false">
      <c r="A3294" s="15" t="n">
        <v>25294</v>
      </c>
      <c r="B3294" s="16" t="s">
        <v>30</v>
      </c>
      <c r="C3294" s="16" t="s">
        <v>6249</v>
      </c>
      <c r="D3294" s="16" t="s">
        <v>6179</v>
      </c>
      <c r="E3294" s="17" t="s">
        <v>2978</v>
      </c>
      <c r="F3294" s="16" t="n">
        <v>36.20409772</v>
      </c>
      <c r="G3294" s="16" t="n">
        <v>44.8269726</v>
      </c>
      <c r="H3294" s="18" t="n">
        <v>23</v>
      </c>
      <c r="I3294" s="18" t="n">
        <v>138</v>
      </c>
      <c r="J3294" s="19" t="n">
        <v>13</v>
      </c>
      <c r="K3294" s="19"/>
      <c r="L3294" s="19" t="n">
        <v>5</v>
      </c>
      <c r="M3294" s="19"/>
      <c r="N3294" s="19"/>
      <c r="O3294" s="19" t="n">
        <v>5</v>
      </c>
      <c r="P3294" s="19"/>
      <c r="Q3294" s="19"/>
      <c r="R3294" s="19"/>
      <c r="S3294" s="19"/>
      <c r="T3294" s="19"/>
      <c r="U3294" s="19"/>
      <c r="V3294" s="19"/>
      <c r="W3294" s="19"/>
      <c r="X3294" s="19"/>
      <c r="Y3294" s="19"/>
      <c r="Z3294" s="19"/>
      <c r="AA3294" s="19"/>
      <c r="AB3294" s="19"/>
      <c r="AC3294" s="19"/>
      <c r="AD3294" s="19"/>
      <c r="AE3294" s="19"/>
      <c r="AF3294" s="19"/>
      <c r="AG3294" s="19"/>
      <c r="AH3294" s="19" t="n">
        <v>23</v>
      </c>
      <c r="AI3294" s="19"/>
      <c r="AJ3294" s="19"/>
      <c r="AK3294" s="19"/>
      <c r="AL3294" s="19"/>
      <c r="AM3294" s="19" t="n">
        <v>5</v>
      </c>
      <c r="AN3294" s="19" t="n">
        <v>3</v>
      </c>
      <c r="AO3294" s="19" t="n">
        <v>7</v>
      </c>
      <c r="AP3294" s="19" t="n">
        <v>6</v>
      </c>
      <c r="AQ3294" s="19" t="n">
        <v>2</v>
      </c>
      <c r="AR3294" s="19"/>
      <c r="AS3294" s="20" t="str">
        <f aca="false">HYPERLINK("http://www.openstreetmap.org/?mlat=36.2041&amp;mlon=44.827&amp;zoom=12#map=12/36.2041/44.827","Maplink1")</f>
        <v>Maplink1</v>
      </c>
      <c r="AT3294" s="20" t="str">
        <f aca="false">HYPERLINK("https://www.google.iq/maps/search/+36.2041,44.827/@36.2041,44.827,14z?hl=en","Maplink2")</f>
        <v>Maplink2</v>
      </c>
      <c r="AU3294" s="20" t="str">
        <f aca="false">HYPERLINK("http://www.bing.com/maps/?lvl=14&amp;sty=h&amp;cp=36.2041~44.827&amp;sp=point.36.2041_44.827","Maplink3")</f>
        <v>Maplink3</v>
      </c>
    </row>
    <row r="3295" customFormat="false" ht="15" hidden="false" customHeight="true" outlineLevel="0" collapsed="false">
      <c r="A3295" s="15" t="n">
        <v>25521</v>
      </c>
      <c r="B3295" s="16" t="s">
        <v>30</v>
      </c>
      <c r="C3295" s="16" t="s">
        <v>6249</v>
      </c>
      <c r="D3295" s="16" t="s">
        <v>6264</v>
      </c>
      <c r="E3295" s="17" t="s">
        <v>6265</v>
      </c>
      <c r="F3295" s="16" t="n">
        <v>36.26098406</v>
      </c>
      <c r="G3295" s="16" t="n">
        <v>44.85440258</v>
      </c>
      <c r="H3295" s="18" t="n">
        <v>9</v>
      </c>
      <c r="I3295" s="18" t="n">
        <v>54</v>
      </c>
      <c r="J3295" s="19" t="n">
        <v>2</v>
      </c>
      <c r="K3295" s="19"/>
      <c r="L3295" s="19"/>
      <c r="M3295" s="19"/>
      <c r="N3295" s="19"/>
      <c r="O3295" s="19"/>
      <c r="P3295" s="19"/>
      <c r="Q3295" s="19"/>
      <c r="R3295" s="19"/>
      <c r="S3295" s="19"/>
      <c r="T3295" s="19"/>
      <c r="U3295" s="19"/>
      <c r="V3295" s="19" t="n">
        <v>7</v>
      </c>
      <c r="W3295" s="19"/>
      <c r="X3295" s="19"/>
      <c r="Y3295" s="19"/>
      <c r="Z3295" s="19"/>
      <c r="AA3295" s="19"/>
      <c r="AB3295" s="19"/>
      <c r="AC3295" s="19"/>
      <c r="AD3295" s="19"/>
      <c r="AE3295" s="19"/>
      <c r="AF3295" s="19"/>
      <c r="AG3295" s="19"/>
      <c r="AH3295" s="19" t="n">
        <v>9</v>
      </c>
      <c r="AI3295" s="19"/>
      <c r="AJ3295" s="19"/>
      <c r="AK3295" s="19"/>
      <c r="AL3295" s="19"/>
      <c r="AM3295" s="19"/>
      <c r="AN3295" s="19" t="n">
        <v>7</v>
      </c>
      <c r="AO3295" s="19" t="n">
        <v>2</v>
      </c>
      <c r="AP3295" s="19"/>
      <c r="AQ3295" s="19"/>
      <c r="AR3295" s="19"/>
      <c r="AS3295" s="20" t="str">
        <f aca="false">HYPERLINK("http://www.openstreetmap.org/?mlat=36.261&amp;mlon=44.8544&amp;zoom=12#map=12/36.261/44.8544","Maplink1")</f>
        <v>Maplink1</v>
      </c>
      <c r="AT3295" s="20" t="str">
        <f aca="false">HYPERLINK("https://www.google.iq/maps/search/+36.261,44.8544/@36.261,44.8544,14z?hl=en","Maplink2")</f>
        <v>Maplink2</v>
      </c>
      <c r="AU3295" s="20" t="str">
        <f aca="false">HYPERLINK("http://www.bing.com/maps/?lvl=14&amp;sty=h&amp;cp=36.261~44.8544&amp;sp=point.36.261_44.8544","Maplink3")</f>
        <v>Maplink3</v>
      </c>
    </row>
    <row r="3296" customFormat="false" ht="15" hidden="false" customHeight="true" outlineLevel="0" collapsed="false">
      <c r="A3296" s="15" t="n">
        <v>25297</v>
      </c>
      <c r="B3296" s="16" t="s">
        <v>30</v>
      </c>
      <c r="C3296" s="16" t="s">
        <v>6249</v>
      </c>
      <c r="D3296" s="16" t="s">
        <v>6266</v>
      </c>
      <c r="E3296" s="17" t="s">
        <v>6267</v>
      </c>
      <c r="F3296" s="16" t="n">
        <v>36.21561497</v>
      </c>
      <c r="G3296" s="16" t="n">
        <v>44.82846456</v>
      </c>
      <c r="H3296" s="18" t="n">
        <v>22</v>
      </c>
      <c r="I3296" s="18" t="n">
        <v>132</v>
      </c>
      <c r="J3296" s="19" t="n">
        <v>2</v>
      </c>
      <c r="K3296" s="19"/>
      <c r="L3296" s="19"/>
      <c r="M3296" s="19"/>
      <c r="N3296" s="19"/>
      <c r="O3296" s="19" t="n">
        <v>4</v>
      </c>
      <c r="P3296" s="19"/>
      <c r="Q3296" s="19"/>
      <c r="R3296" s="19"/>
      <c r="S3296" s="19"/>
      <c r="T3296" s="19"/>
      <c r="U3296" s="19"/>
      <c r="V3296" s="19" t="n">
        <v>13</v>
      </c>
      <c r="W3296" s="19"/>
      <c r="X3296" s="19" t="n">
        <v>3</v>
      </c>
      <c r="Y3296" s="19"/>
      <c r="Z3296" s="19"/>
      <c r="AA3296" s="19"/>
      <c r="AB3296" s="19"/>
      <c r="AC3296" s="19"/>
      <c r="AD3296" s="19"/>
      <c r="AE3296" s="19"/>
      <c r="AF3296" s="19"/>
      <c r="AG3296" s="19"/>
      <c r="AH3296" s="19" t="n">
        <v>22</v>
      </c>
      <c r="AI3296" s="19"/>
      <c r="AJ3296" s="19"/>
      <c r="AK3296" s="19"/>
      <c r="AL3296" s="19"/>
      <c r="AM3296" s="19" t="n">
        <v>9</v>
      </c>
      <c r="AN3296" s="19" t="n">
        <v>11</v>
      </c>
      <c r="AO3296" s="19"/>
      <c r="AP3296" s="19" t="n">
        <v>2</v>
      </c>
      <c r="AQ3296" s="19"/>
      <c r="AR3296" s="19"/>
      <c r="AS3296" s="20" t="str">
        <f aca="false">HYPERLINK("http://www.openstreetmap.org/?mlat=36.2156&amp;mlon=44.8285&amp;zoom=12#map=12/36.2156/44.8285","Maplink1")</f>
        <v>Maplink1</v>
      </c>
      <c r="AT3296" s="20" t="str">
        <f aca="false">HYPERLINK("https://www.google.iq/maps/search/+36.2156,44.8285/@36.2156,44.8285,14z?hl=en","Maplink2")</f>
        <v>Maplink2</v>
      </c>
      <c r="AU3296" s="20" t="str">
        <f aca="false">HYPERLINK("http://www.bing.com/maps/?lvl=14&amp;sty=h&amp;cp=36.2156~44.8285&amp;sp=point.36.2156_44.8285","Maplink3")</f>
        <v>Maplink3</v>
      </c>
    </row>
    <row r="3297" customFormat="false" ht="15" hidden="false" customHeight="true" outlineLevel="0" collapsed="false">
      <c r="A3297" s="15" t="n">
        <v>29686</v>
      </c>
      <c r="B3297" s="16" t="s">
        <v>30</v>
      </c>
      <c r="C3297" s="16" t="s">
        <v>6249</v>
      </c>
      <c r="D3297" s="16" t="s">
        <v>6268</v>
      </c>
      <c r="E3297" s="17" t="s">
        <v>6269</v>
      </c>
      <c r="F3297" s="16" t="n">
        <v>36.20979</v>
      </c>
      <c r="G3297" s="16" t="n">
        <v>44.82625</v>
      </c>
      <c r="H3297" s="18" t="n">
        <v>15</v>
      </c>
      <c r="I3297" s="18" t="n">
        <v>90</v>
      </c>
      <c r="J3297" s="19" t="n">
        <v>15</v>
      </c>
      <c r="K3297" s="19"/>
      <c r="L3297" s="19"/>
      <c r="M3297" s="19"/>
      <c r="N3297" s="19"/>
      <c r="O3297" s="19"/>
      <c r="P3297" s="19"/>
      <c r="Q3297" s="19"/>
      <c r="R3297" s="19"/>
      <c r="S3297" s="19"/>
      <c r="T3297" s="19"/>
      <c r="U3297" s="19"/>
      <c r="V3297" s="19"/>
      <c r="W3297" s="19"/>
      <c r="X3297" s="19"/>
      <c r="Y3297" s="19"/>
      <c r="Z3297" s="19"/>
      <c r="AA3297" s="19"/>
      <c r="AB3297" s="19"/>
      <c r="AC3297" s="19"/>
      <c r="AD3297" s="19"/>
      <c r="AE3297" s="19"/>
      <c r="AF3297" s="19"/>
      <c r="AG3297" s="19"/>
      <c r="AH3297" s="19" t="n">
        <v>15</v>
      </c>
      <c r="AI3297" s="19"/>
      <c r="AJ3297" s="19"/>
      <c r="AK3297" s="19"/>
      <c r="AL3297" s="19" t="n">
        <v>15</v>
      </c>
      <c r="AM3297" s="19"/>
      <c r="AN3297" s="19"/>
      <c r="AO3297" s="19"/>
      <c r="AP3297" s="19"/>
      <c r="AQ3297" s="19"/>
      <c r="AR3297" s="19"/>
      <c r="AS3297" s="20" t="str">
        <f aca="false">HYPERLINK("http://www.openstreetmap.org/?mlat=36.2098&amp;mlon=44.8263&amp;zoom=12#map=12/36.2098/44.8263","Maplink1")</f>
        <v>Maplink1</v>
      </c>
      <c r="AT3297" s="20" t="str">
        <f aca="false">HYPERLINK("https://www.google.iq/maps/search/+36.2098,44.8263/@36.2098,44.8263,14z?hl=en","Maplink2")</f>
        <v>Maplink2</v>
      </c>
      <c r="AU3297" s="20" t="str">
        <f aca="false">HYPERLINK("http://www.bing.com/maps/?lvl=14&amp;sty=h&amp;cp=36.2098~44.8263&amp;sp=point.36.2098_44.8263","Maplink3")</f>
        <v>Maplink3</v>
      </c>
    </row>
    <row r="3298" customFormat="false" ht="15" hidden="false" customHeight="true" outlineLevel="0" collapsed="false">
      <c r="A3298" s="15" t="n">
        <v>5583</v>
      </c>
      <c r="B3298" s="16" t="s">
        <v>30</v>
      </c>
      <c r="C3298" s="16" t="s">
        <v>6249</v>
      </c>
      <c r="D3298" s="16" t="s">
        <v>6270</v>
      </c>
      <c r="E3298" s="17" t="s">
        <v>6271</v>
      </c>
      <c r="F3298" s="16" t="n">
        <v>36.28578</v>
      </c>
      <c r="G3298" s="16" t="n">
        <v>44.82382</v>
      </c>
      <c r="H3298" s="18" t="n">
        <v>3</v>
      </c>
      <c r="I3298" s="18" t="n">
        <v>18</v>
      </c>
      <c r="J3298" s="19" t="n">
        <v>1</v>
      </c>
      <c r="K3298" s="19"/>
      <c r="L3298" s="19"/>
      <c r="M3298" s="19"/>
      <c r="N3298" s="19"/>
      <c r="O3298" s="19" t="n">
        <v>1</v>
      </c>
      <c r="P3298" s="19"/>
      <c r="Q3298" s="19"/>
      <c r="R3298" s="19"/>
      <c r="S3298" s="19"/>
      <c r="T3298" s="19"/>
      <c r="U3298" s="19"/>
      <c r="V3298" s="19"/>
      <c r="W3298" s="19"/>
      <c r="X3298" s="19" t="n">
        <v>1</v>
      </c>
      <c r="Y3298" s="19"/>
      <c r="Z3298" s="19"/>
      <c r="AA3298" s="19"/>
      <c r="AB3298" s="19"/>
      <c r="AC3298" s="19"/>
      <c r="AD3298" s="19"/>
      <c r="AE3298" s="19"/>
      <c r="AF3298" s="19"/>
      <c r="AG3298" s="19"/>
      <c r="AH3298" s="19" t="n">
        <v>3</v>
      </c>
      <c r="AI3298" s="19"/>
      <c r="AJ3298" s="19"/>
      <c r="AK3298" s="19"/>
      <c r="AL3298" s="19" t="n">
        <v>2</v>
      </c>
      <c r="AM3298" s="19" t="n">
        <v>1</v>
      </c>
      <c r="AN3298" s="19"/>
      <c r="AO3298" s="19"/>
      <c r="AP3298" s="19"/>
      <c r="AQ3298" s="19"/>
      <c r="AR3298" s="19"/>
      <c r="AS3298" s="20" t="str">
        <f aca="false">HYPERLINK("http://www.openstreetmap.org/?mlat=36.2858&amp;mlon=44.8238&amp;zoom=12#map=12/36.2858/44.8238","Maplink1")</f>
        <v>Maplink1</v>
      </c>
      <c r="AT3298" s="20" t="str">
        <f aca="false">HYPERLINK("https://www.google.iq/maps/search/+36.2858,44.8238/@36.2858,44.8238,14z?hl=en","Maplink2")</f>
        <v>Maplink2</v>
      </c>
      <c r="AU3298" s="20" t="str">
        <f aca="false">HYPERLINK("http://www.bing.com/maps/?lvl=14&amp;sty=h&amp;cp=36.2858~44.8238&amp;sp=point.36.2858_44.8238","Maplink3")</f>
        <v>Maplink3</v>
      </c>
    </row>
    <row r="3299" customFormat="false" ht="15" hidden="false" customHeight="true" outlineLevel="0" collapsed="false">
      <c r="A3299" s="15" t="n">
        <v>29687</v>
      </c>
      <c r="B3299" s="16" t="s">
        <v>30</v>
      </c>
      <c r="C3299" s="16" t="s">
        <v>6249</v>
      </c>
      <c r="D3299" s="16" t="s">
        <v>6272</v>
      </c>
      <c r="E3299" s="17" t="s">
        <v>6273</v>
      </c>
      <c r="F3299" s="16" t="n">
        <v>36.22903</v>
      </c>
      <c r="G3299" s="16" t="n">
        <v>44.78091</v>
      </c>
      <c r="H3299" s="18" t="n">
        <v>9</v>
      </c>
      <c r="I3299" s="18" t="n">
        <v>54</v>
      </c>
      <c r="J3299" s="19"/>
      <c r="K3299" s="19"/>
      <c r="L3299" s="19"/>
      <c r="M3299" s="19"/>
      <c r="N3299" s="19"/>
      <c r="O3299" s="19"/>
      <c r="P3299" s="19"/>
      <c r="Q3299" s="19"/>
      <c r="R3299" s="19"/>
      <c r="S3299" s="19"/>
      <c r="T3299" s="19"/>
      <c r="U3299" s="19"/>
      <c r="V3299" s="19" t="n">
        <v>9</v>
      </c>
      <c r="W3299" s="19"/>
      <c r="X3299" s="19"/>
      <c r="Y3299" s="19"/>
      <c r="Z3299" s="19"/>
      <c r="AA3299" s="19"/>
      <c r="AB3299" s="19"/>
      <c r="AC3299" s="19"/>
      <c r="AD3299" s="19"/>
      <c r="AE3299" s="19"/>
      <c r="AF3299" s="19"/>
      <c r="AG3299" s="19"/>
      <c r="AH3299" s="19" t="n">
        <v>9</v>
      </c>
      <c r="AI3299" s="19"/>
      <c r="AJ3299" s="19"/>
      <c r="AK3299" s="19"/>
      <c r="AL3299" s="19"/>
      <c r="AM3299" s="19" t="n">
        <v>4</v>
      </c>
      <c r="AN3299" s="19" t="n">
        <v>5</v>
      </c>
      <c r="AO3299" s="19"/>
      <c r="AP3299" s="19"/>
      <c r="AQ3299" s="19"/>
      <c r="AR3299" s="19"/>
      <c r="AS3299" s="20" t="str">
        <f aca="false">HYPERLINK("http://www.openstreetmap.org/?mlat=36.229&amp;mlon=44.7809&amp;zoom=12#map=12/36.229/44.7809","Maplink1")</f>
        <v>Maplink1</v>
      </c>
      <c r="AT3299" s="20" t="str">
        <f aca="false">HYPERLINK("https://www.google.iq/maps/search/+36.229,44.7809/@36.229,44.7809,14z?hl=en","Maplink2")</f>
        <v>Maplink2</v>
      </c>
      <c r="AU3299" s="20" t="str">
        <f aca="false">HYPERLINK("http://www.bing.com/maps/?lvl=14&amp;sty=h&amp;cp=36.229~44.7809&amp;sp=point.36.229_44.7809","Maplink3")</f>
        <v>Maplink3</v>
      </c>
    </row>
    <row r="3300" customFormat="false" ht="15" hidden="false" customHeight="true" outlineLevel="0" collapsed="false">
      <c r="A3300" s="15" t="n">
        <v>25574</v>
      </c>
      <c r="B3300" s="16" t="s">
        <v>30</v>
      </c>
      <c r="C3300" s="16" t="s">
        <v>6249</v>
      </c>
      <c r="D3300" s="16" t="s">
        <v>2833</v>
      </c>
      <c r="E3300" s="17" t="s">
        <v>2834</v>
      </c>
      <c r="F3300" s="16" t="n">
        <v>36.26184188</v>
      </c>
      <c r="G3300" s="16" t="n">
        <v>44.88274957</v>
      </c>
      <c r="H3300" s="18" t="n">
        <v>32</v>
      </c>
      <c r="I3300" s="18" t="n">
        <v>192</v>
      </c>
      <c r="J3300" s="19" t="n">
        <v>32</v>
      </c>
      <c r="K3300" s="19"/>
      <c r="L3300" s="19"/>
      <c r="M3300" s="19"/>
      <c r="N3300" s="19"/>
      <c r="O3300" s="19"/>
      <c r="P3300" s="19"/>
      <c r="Q3300" s="19"/>
      <c r="R3300" s="19"/>
      <c r="S3300" s="19"/>
      <c r="T3300" s="19"/>
      <c r="U3300" s="19"/>
      <c r="V3300" s="19"/>
      <c r="W3300" s="19"/>
      <c r="X3300" s="19"/>
      <c r="Y3300" s="19"/>
      <c r="Z3300" s="19"/>
      <c r="AA3300" s="19"/>
      <c r="AB3300" s="19"/>
      <c r="AC3300" s="19"/>
      <c r="AD3300" s="19"/>
      <c r="AE3300" s="19"/>
      <c r="AF3300" s="19"/>
      <c r="AG3300" s="19"/>
      <c r="AH3300" s="19" t="n">
        <v>32</v>
      </c>
      <c r="AI3300" s="19"/>
      <c r="AJ3300" s="19"/>
      <c r="AK3300" s="19"/>
      <c r="AL3300" s="19" t="n">
        <v>6</v>
      </c>
      <c r="AM3300" s="19" t="n">
        <v>8</v>
      </c>
      <c r="AN3300" s="19"/>
      <c r="AO3300" s="19" t="n">
        <v>11</v>
      </c>
      <c r="AP3300" s="19" t="n">
        <v>7</v>
      </c>
      <c r="AQ3300" s="19"/>
      <c r="AR3300" s="19"/>
      <c r="AS3300" s="20" t="str">
        <f aca="false">HYPERLINK("http://www.openstreetmap.org/?mlat=36.2618&amp;mlon=44.8827&amp;zoom=12#map=12/36.2618/44.8827","Maplink1")</f>
        <v>Maplink1</v>
      </c>
      <c r="AT3300" s="20" t="str">
        <f aca="false">HYPERLINK("https://www.google.iq/maps/search/+36.2618,44.8827/@36.2618,44.8827,14z?hl=en","Maplink2")</f>
        <v>Maplink2</v>
      </c>
      <c r="AU3300" s="20" t="str">
        <f aca="false">HYPERLINK("http://www.bing.com/maps/?lvl=14&amp;sty=h&amp;cp=36.2618~44.8827&amp;sp=point.36.2618_44.8827","Maplink3")</f>
        <v>Maplink3</v>
      </c>
    </row>
    <row r="3301" customFormat="false" ht="15" hidden="false" customHeight="true" outlineLevel="0" collapsed="false">
      <c r="A3301" s="15" t="n">
        <v>24895</v>
      </c>
      <c r="B3301" s="16" t="s">
        <v>30</v>
      </c>
      <c r="C3301" s="16" t="s">
        <v>6249</v>
      </c>
      <c r="D3301" s="16" t="s">
        <v>6274</v>
      </c>
      <c r="E3301" s="17" t="s">
        <v>6275</v>
      </c>
      <c r="F3301" s="16" t="n">
        <v>36.24473014</v>
      </c>
      <c r="G3301" s="16" t="n">
        <v>44.77234404</v>
      </c>
      <c r="H3301" s="18" t="n">
        <v>22</v>
      </c>
      <c r="I3301" s="18" t="n">
        <v>132</v>
      </c>
      <c r="J3301" s="19" t="n">
        <v>17</v>
      </c>
      <c r="K3301" s="19"/>
      <c r="L3301" s="19"/>
      <c r="M3301" s="19"/>
      <c r="N3301" s="19"/>
      <c r="O3301" s="19"/>
      <c r="P3301" s="19"/>
      <c r="Q3301" s="19"/>
      <c r="R3301" s="19"/>
      <c r="S3301" s="19"/>
      <c r="T3301" s="19"/>
      <c r="U3301" s="19"/>
      <c r="V3301" s="19" t="n">
        <v>5</v>
      </c>
      <c r="W3301" s="19"/>
      <c r="X3301" s="19"/>
      <c r="Y3301" s="19"/>
      <c r="Z3301" s="19"/>
      <c r="AA3301" s="19"/>
      <c r="AB3301" s="19"/>
      <c r="AC3301" s="19"/>
      <c r="AD3301" s="19"/>
      <c r="AE3301" s="19"/>
      <c r="AF3301" s="19"/>
      <c r="AG3301" s="19"/>
      <c r="AH3301" s="19" t="n">
        <v>22</v>
      </c>
      <c r="AI3301" s="19"/>
      <c r="AJ3301" s="19"/>
      <c r="AK3301" s="19"/>
      <c r="AL3301" s="19" t="n">
        <v>5</v>
      </c>
      <c r="AM3301" s="19" t="n">
        <v>9</v>
      </c>
      <c r="AN3301" s="19" t="n">
        <v>2</v>
      </c>
      <c r="AO3301" s="19" t="n">
        <v>4</v>
      </c>
      <c r="AP3301" s="19" t="n">
        <v>2</v>
      </c>
      <c r="AQ3301" s="19"/>
      <c r="AR3301" s="19"/>
      <c r="AS3301" s="20" t="str">
        <f aca="false">HYPERLINK("http://www.openstreetmap.org/?mlat=36.2447&amp;mlon=44.7723&amp;zoom=12#map=12/36.2447/44.7723","Maplink1")</f>
        <v>Maplink1</v>
      </c>
      <c r="AT3301" s="20" t="str">
        <f aca="false">HYPERLINK("https://www.google.iq/maps/search/+36.2447,44.7723/@36.2447,44.7723,14z?hl=en","Maplink2")</f>
        <v>Maplink2</v>
      </c>
      <c r="AU3301" s="20" t="str">
        <f aca="false">HYPERLINK("http://www.bing.com/maps/?lvl=14&amp;sty=h&amp;cp=36.2447~44.7723&amp;sp=point.36.2447_44.7723","Maplink3")</f>
        <v>Maplink3</v>
      </c>
    </row>
    <row r="3302" customFormat="false" ht="15" hidden="false" customHeight="true" outlineLevel="0" collapsed="false">
      <c r="A3302" s="15" t="n">
        <v>24896</v>
      </c>
      <c r="B3302" s="16" t="s">
        <v>30</v>
      </c>
      <c r="C3302" s="16" t="s">
        <v>6249</v>
      </c>
      <c r="D3302" s="16" t="s">
        <v>6276</v>
      </c>
      <c r="E3302" s="17" t="s">
        <v>6277</v>
      </c>
      <c r="F3302" s="16" t="n">
        <v>36.23195564</v>
      </c>
      <c r="G3302" s="16" t="n">
        <v>44.79939273</v>
      </c>
      <c r="H3302" s="18" t="n">
        <v>24</v>
      </c>
      <c r="I3302" s="18" t="n">
        <v>144</v>
      </c>
      <c r="J3302" s="19" t="n">
        <v>18</v>
      </c>
      <c r="K3302" s="19"/>
      <c r="L3302" s="19" t="n">
        <v>2</v>
      </c>
      <c r="M3302" s="19"/>
      <c r="N3302" s="19"/>
      <c r="O3302" s="19"/>
      <c r="P3302" s="19"/>
      <c r="Q3302" s="19"/>
      <c r="R3302" s="19"/>
      <c r="S3302" s="19"/>
      <c r="T3302" s="19"/>
      <c r="U3302" s="19"/>
      <c r="V3302" s="19" t="n">
        <v>3</v>
      </c>
      <c r="W3302" s="19"/>
      <c r="X3302" s="19" t="n">
        <v>1</v>
      </c>
      <c r="Y3302" s="19"/>
      <c r="Z3302" s="19"/>
      <c r="AA3302" s="19"/>
      <c r="AB3302" s="19"/>
      <c r="AC3302" s="19"/>
      <c r="AD3302" s="19"/>
      <c r="AE3302" s="19"/>
      <c r="AF3302" s="19"/>
      <c r="AG3302" s="19"/>
      <c r="AH3302" s="19" t="n">
        <v>24</v>
      </c>
      <c r="AI3302" s="19"/>
      <c r="AJ3302" s="19"/>
      <c r="AK3302" s="19"/>
      <c r="AL3302" s="19" t="n">
        <v>5</v>
      </c>
      <c r="AM3302" s="19" t="n">
        <v>14</v>
      </c>
      <c r="AN3302" s="19"/>
      <c r="AO3302" s="19" t="n">
        <v>3</v>
      </c>
      <c r="AP3302" s="19" t="n">
        <v>2</v>
      </c>
      <c r="AQ3302" s="19"/>
      <c r="AR3302" s="19"/>
      <c r="AS3302" s="20" t="str">
        <f aca="false">HYPERLINK("http://www.openstreetmap.org/?mlat=36.232&amp;mlon=44.7994&amp;zoom=12#map=12/36.232/44.7994","Maplink1")</f>
        <v>Maplink1</v>
      </c>
      <c r="AT3302" s="20" t="str">
        <f aca="false">HYPERLINK("https://www.google.iq/maps/search/+36.232,44.7994/@36.232,44.7994,14z?hl=en","Maplink2")</f>
        <v>Maplink2</v>
      </c>
      <c r="AU3302" s="20" t="str">
        <f aca="false">HYPERLINK("http://www.bing.com/maps/?lvl=14&amp;sty=h&amp;cp=36.232~44.7994&amp;sp=point.36.232_44.7994","Maplink3")</f>
        <v>Maplink3</v>
      </c>
    </row>
    <row r="3303" customFormat="false" ht="15" hidden="false" customHeight="true" outlineLevel="0" collapsed="false">
      <c r="A3303" s="15" t="n">
        <v>25295</v>
      </c>
      <c r="B3303" s="16" t="s">
        <v>30</v>
      </c>
      <c r="C3303" s="16" t="s">
        <v>6249</v>
      </c>
      <c r="D3303" s="16" t="s">
        <v>6278</v>
      </c>
      <c r="E3303" s="17" t="s">
        <v>6279</v>
      </c>
      <c r="F3303" s="16" t="n">
        <v>36.20335313</v>
      </c>
      <c r="G3303" s="16" t="n">
        <v>44.83057187</v>
      </c>
      <c r="H3303" s="18" t="n">
        <v>26</v>
      </c>
      <c r="I3303" s="18" t="n">
        <v>156</v>
      </c>
      <c r="J3303" s="19" t="n">
        <v>12</v>
      </c>
      <c r="K3303" s="19"/>
      <c r="L3303" s="19" t="n">
        <v>14</v>
      </c>
      <c r="M3303" s="19"/>
      <c r="N3303" s="19"/>
      <c r="O3303" s="19"/>
      <c r="P3303" s="19"/>
      <c r="Q3303" s="19"/>
      <c r="R3303" s="19"/>
      <c r="S3303" s="19"/>
      <c r="T3303" s="19"/>
      <c r="U3303" s="19"/>
      <c r="V3303" s="19"/>
      <c r="W3303" s="19"/>
      <c r="X3303" s="19"/>
      <c r="Y3303" s="19"/>
      <c r="Z3303" s="19"/>
      <c r="AA3303" s="19"/>
      <c r="AB3303" s="19"/>
      <c r="AC3303" s="19"/>
      <c r="AD3303" s="19"/>
      <c r="AE3303" s="19"/>
      <c r="AF3303" s="19"/>
      <c r="AG3303" s="19"/>
      <c r="AH3303" s="19" t="n">
        <v>26</v>
      </c>
      <c r="AI3303" s="19"/>
      <c r="AJ3303" s="19"/>
      <c r="AK3303" s="19"/>
      <c r="AL3303" s="19" t="n">
        <v>7</v>
      </c>
      <c r="AM3303" s="19" t="n">
        <v>12</v>
      </c>
      <c r="AN3303" s="19" t="n">
        <v>5</v>
      </c>
      <c r="AO3303" s="19"/>
      <c r="AP3303" s="19"/>
      <c r="AQ3303" s="19" t="n">
        <v>2</v>
      </c>
      <c r="AR3303" s="19"/>
      <c r="AS3303" s="20" t="str">
        <f aca="false">HYPERLINK("http://www.openstreetmap.org/?mlat=36.2034&amp;mlon=44.8306&amp;zoom=12#map=12/36.2034/44.8306","Maplink1")</f>
        <v>Maplink1</v>
      </c>
      <c r="AT3303" s="20" t="str">
        <f aca="false">HYPERLINK("https://www.google.iq/maps/search/+36.2034,44.8306/@36.2034,44.8306,14z?hl=en","Maplink2")</f>
        <v>Maplink2</v>
      </c>
      <c r="AU3303" s="20" t="str">
        <f aca="false">HYPERLINK("http://www.bing.com/maps/?lvl=14&amp;sty=h&amp;cp=36.2034~44.8306&amp;sp=point.36.2034_44.8306","Maplink3")</f>
        <v>Maplink3</v>
      </c>
    </row>
    <row r="3304" customFormat="false" ht="15" hidden="false" customHeight="true" outlineLevel="0" collapsed="false">
      <c r="A3304" s="15" t="n">
        <v>4307</v>
      </c>
      <c r="B3304" s="16" t="s">
        <v>30</v>
      </c>
      <c r="C3304" s="16" t="s">
        <v>6280</v>
      </c>
      <c r="D3304" s="16" t="s">
        <v>6281</v>
      </c>
      <c r="E3304" s="17" t="s">
        <v>6282</v>
      </c>
      <c r="F3304" s="16" t="n">
        <v>35.79667558</v>
      </c>
      <c r="G3304" s="16" t="n">
        <v>45.35720433</v>
      </c>
      <c r="H3304" s="18" t="n">
        <v>8</v>
      </c>
      <c r="I3304" s="18" t="n">
        <v>48</v>
      </c>
      <c r="J3304" s="19"/>
      <c r="K3304" s="19" t="n">
        <v>1</v>
      </c>
      <c r="L3304" s="19" t="n">
        <v>1</v>
      </c>
      <c r="M3304" s="19"/>
      <c r="N3304" s="19"/>
      <c r="O3304" s="19" t="n">
        <v>3</v>
      </c>
      <c r="P3304" s="19"/>
      <c r="Q3304" s="19"/>
      <c r="R3304" s="19"/>
      <c r="S3304" s="19"/>
      <c r="T3304" s="19"/>
      <c r="U3304" s="19"/>
      <c r="V3304" s="19" t="n">
        <v>3</v>
      </c>
      <c r="W3304" s="19"/>
      <c r="X3304" s="19"/>
      <c r="Y3304" s="19"/>
      <c r="Z3304" s="19"/>
      <c r="AA3304" s="19"/>
      <c r="AB3304" s="19"/>
      <c r="AC3304" s="19"/>
      <c r="AD3304" s="19"/>
      <c r="AE3304" s="19"/>
      <c r="AF3304" s="19" t="n">
        <v>3</v>
      </c>
      <c r="AG3304" s="19"/>
      <c r="AH3304" s="19" t="n">
        <v>5</v>
      </c>
      <c r="AI3304" s="19"/>
      <c r="AJ3304" s="19"/>
      <c r="AK3304" s="19"/>
      <c r="AL3304" s="19"/>
      <c r="AM3304" s="19" t="n">
        <v>4</v>
      </c>
      <c r="AN3304" s="19" t="n">
        <v>4</v>
      </c>
      <c r="AO3304" s="19"/>
      <c r="AP3304" s="19"/>
      <c r="AQ3304" s="19"/>
      <c r="AR3304" s="19"/>
      <c r="AS3304" s="20" t="str">
        <f aca="false">HYPERLINK("http://www.openstreetmap.org/?mlat=35.7967&amp;mlon=45.3572&amp;zoom=12#map=12/35.7967/45.3572","Maplink1")</f>
        <v>Maplink1</v>
      </c>
      <c r="AT3304" s="20" t="str">
        <f aca="false">HYPERLINK("https://www.google.iq/maps/search/+35.7967,45.3572/@35.7967,45.3572,14z?hl=en","Maplink2")</f>
        <v>Maplink2</v>
      </c>
      <c r="AU3304" s="20" t="str">
        <f aca="false">HYPERLINK("http://www.bing.com/maps/?lvl=14&amp;sty=h&amp;cp=35.7967~45.3572&amp;sp=point.35.7967_45.3572","Maplink3")</f>
        <v>Maplink3</v>
      </c>
    </row>
    <row r="3305" customFormat="false" ht="15" hidden="false" customHeight="true" outlineLevel="0" collapsed="false">
      <c r="A3305" s="15" t="n">
        <v>4239</v>
      </c>
      <c r="B3305" s="16" t="s">
        <v>30</v>
      </c>
      <c r="C3305" s="16" t="s">
        <v>6280</v>
      </c>
      <c r="D3305" s="16" t="s">
        <v>6283</v>
      </c>
      <c r="E3305" s="17" t="s">
        <v>6284</v>
      </c>
      <c r="F3305" s="16" t="n">
        <v>35.63108408</v>
      </c>
      <c r="G3305" s="16" t="n">
        <v>45.50041252</v>
      </c>
      <c r="H3305" s="18" t="n">
        <v>80</v>
      </c>
      <c r="I3305" s="18" t="n">
        <v>480</v>
      </c>
      <c r="J3305" s="19"/>
      <c r="K3305" s="19"/>
      <c r="L3305" s="19"/>
      <c r="M3305" s="19"/>
      <c r="N3305" s="19"/>
      <c r="O3305" s="19"/>
      <c r="P3305" s="19"/>
      <c r="Q3305" s="19"/>
      <c r="R3305" s="19"/>
      <c r="S3305" s="19"/>
      <c r="T3305" s="19"/>
      <c r="U3305" s="19"/>
      <c r="V3305" s="19" t="n">
        <v>80</v>
      </c>
      <c r="W3305" s="19"/>
      <c r="X3305" s="19"/>
      <c r="Y3305" s="19"/>
      <c r="Z3305" s="19"/>
      <c r="AA3305" s="19"/>
      <c r="AB3305" s="19"/>
      <c r="AC3305" s="19"/>
      <c r="AD3305" s="19"/>
      <c r="AE3305" s="19"/>
      <c r="AF3305" s="19" t="n">
        <v>14</v>
      </c>
      <c r="AG3305" s="19" t="n">
        <v>23</v>
      </c>
      <c r="AH3305" s="19" t="n">
        <v>34</v>
      </c>
      <c r="AI3305" s="19"/>
      <c r="AJ3305" s="19" t="n">
        <v>9</v>
      </c>
      <c r="AK3305" s="19"/>
      <c r="AL3305" s="19"/>
      <c r="AM3305" s="19"/>
      <c r="AN3305" s="19" t="n">
        <v>80</v>
      </c>
      <c r="AO3305" s="19"/>
      <c r="AP3305" s="19"/>
      <c r="AQ3305" s="19"/>
      <c r="AR3305" s="19"/>
      <c r="AS3305" s="20" t="str">
        <f aca="false">HYPERLINK("http://www.openstreetmap.org/?mlat=35.6311&amp;mlon=45.5004&amp;zoom=12#map=12/35.6311/45.5004","Maplink1")</f>
        <v>Maplink1</v>
      </c>
      <c r="AT3305" s="20" t="str">
        <f aca="false">HYPERLINK("https://www.google.iq/maps/search/+35.6311,45.5004/@35.6311,45.5004,14z?hl=en","Maplink2")</f>
        <v>Maplink2</v>
      </c>
      <c r="AU3305" s="20" t="str">
        <f aca="false">HYPERLINK("http://www.bing.com/maps/?lvl=14&amp;sty=h&amp;cp=35.6311~45.5004&amp;sp=point.35.6311_45.5004","Maplink3")</f>
        <v>Maplink3</v>
      </c>
    </row>
    <row r="3306" customFormat="false" ht="15" hidden="false" customHeight="true" outlineLevel="0" collapsed="false">
      <c r="A3306" s="15" t="n">
        <v>4233</v>
      </c>
      <c r="B3306" s="16" t="s">
        <v>30</v>
      </c>
      <c r="C3306" s="16" t="s">
        <v>6280</v>
      </c>
      <c r="D3306" s="16" t="s">
        <v>6285</v>
      </c>
      <c r="E3306" s="17" t="s">
        <v>6286</v>
      </c>
      <c r="F3306" s="16" t="n">
        <v>35.67569018</v>
      </c>
      <c r="G3306" s="16" t="n">
        <v>45.53118867</v>
      </c>
      <c r="H3306" s="18" t="n">
        <v>22</v>
      </c>
      <c r="I3306" s="18" t="n">
        <v>132</v>
      </c>
      <c r="J3306" s="19"/>
      <c r="K3306" s="19"/>
      <c r="L3306" s="19" t="n">
        <v>2</v>
      </c>
      <c r="M3306" s="19"/>
      <c r="N3306" s="19"/>
      <c r="O3306" s="19"/>
      <c r="P3306" s="19"/>
      <c r="Q3306" s="19"/>
      <c r="R3306" s="19"/>
      <c r="S3306" s="19"/>
      <c r="T3306" s="19"/>
      <c r="U3306" s="19"/>
      <c r="V3306" s="19" t="n">
        <v>20</v>
      </c>
      <c r="W3306" s="19"/>
      <c r="X3306" s="19"/>
      <c r="Y3306" s="19"/>
      <c r="Z3306" s="19"/>
      <c r="AA3306" s="19"/>
      <c r="AB3306" s="19"/>
      <c r="AC3306" s="19"/>
      <c r="AD3306" s="19"/>
      <c r="AE3306" s="19"/>
      <c r="AF3306" s="19" t="n">
        <v>10</v>
      </c>
      <c r="AG3306" s="19"/>
      <c r="AH3306" s="19" t="n">
        <v>12</v>
      </c>
      <c r="AI3306" s="19"/>
      <c r="AJ3306" s="19"/>
      <c r="AK3306" s="19"/>
      <c r="AL3306" s="19"/>
      <c r="AM3306" s="19"/>
      <c r="AN3306" s="19" t="n">
        <v>20</v>
      </c>
      <c r="AO3306" s="19"/>
      <c r="AP3306" s="19"/>
      <c r="AQ3306" s="19" t="n">
        <v>2</v>
      </c>
      <c r="AR3306" s="19"/>
      <c r="AS3306" s="20" t="str">
        <f aca="false">HYPERLINK("http://www.openstreetmap.org/?mlat=35.6757&amp;mlon=45.5312&amp;zoom=12#map=12/35.6757/45.5312","Maplink1")</f>
        <v>Maplink1</v>
      </c>
      <c r="AT3306" s="20" t="str">
        <f aca="false">HYPERLINK("https://www.google.iq/maps/search/+35.6757,45.5312/@35.6757,45.5312,14z?hl=en","Maplink2")</f>
        <v>Maplink2</v>
      </c>
      <c r="AU3306" s="20" t="str">
        <f aca="false">HYPERLINK("http://www.bing.com/maps/?lvl=14&amp;sty=h&amp;cp=35.6757~45.5312&amp;sp=point.35.6757_45.5312","Maplink3")</f>
        <v>Maplink3</v>
      </c>
    </row>
    <row r="3307" customFormat="false" ht="15" hidden="false" customHeight="true" outlineLevel="0" collapsed="false">
      <c r="A3307" s="15" t="n">
        <v>23716</v>
      </c>
      <c r="B3307" s="16" t="s">
        <v>30</v>
      </c>
      <c r="C3307" s="16" t="s">
        <v>6287</v>
      </c>
      <c r="D3307" s="16" t="s">
        <v>6288</v>
      </c>
      <c r="E3307" s="17" t="s">
        <v>6289</v>
      </c>
      <c r="F3307" s="16" t="n">
        <v>35.55479541</v>
      </c>
      <c r="G3307" s="16" t="n">
        <v>45.41223972</v>
      </c>
      <c r="H3307" s="18" t="n">
        <v>69</v>
      </c>
      <c r="I3307" s="18" t="n">
        <v>414</v>
      </c>
      <c r="J3307" s="19" t="n">
        <v>54</v>
      </c>
      <c r="K3307" s="19"/>
      <c r="L3307" s="19" t="n">
        <v>5</v>
      </c>
      <c r="M3307" s="19"/>
      <c r="N3307" s="19"/>
      <c r="O3307" s="19"/>
      <c r="P3307" s="19"/>
      <c r="Q3307" s="19"/>
      <c r="R3307" s="19"/>
      <c r="S3307" s="19"/>
      <c r="T3307" s="19"/>
      <c r="U3307" s="19"/>
      <c r="V3307" s="19" t="n">
        <v>7</v>
      </c>
      <c r="W3307" s="19"/>
      <c r="X3307" s="19" t="n">
        <v>3</v>
      </c>
      <c r="Y3307" s="19"/>
      <c r="Z3307" s="19"/>
      <c r="AA3307" s="19"/>
      <c r="AB3307" s="19"/>
      <c r="AC3307" s="19"/>
      <c r="AD3307" s="19"/>
      <c r="AE3307" s="19"/>
      <c r="AF3307" s="19"/>
      <c r="AG3307" s="19"/>
      <c r="AH3307" s="19" t="n">
        <v>69</v>
      </c>
      <c r="AI3307" s="19"/>
      <c r="AJ3307" s="19"/>
      <c r="AK3307" s="19"/>
      <c r="AL3307" s="19" t="n">
        <v>10</v>
      </c>
      <c r="AM3307" s="19" t="n">
        <v>17</v>
      </c>
      <c r="AN3307" s="19" t="n">
        <v>13</v>
      </c>
      <c r="AO3307" s="19" t="n">
        <v>21</v>
      </c>
      <c r="AP3307" s="19" t="n">
        <v>6</v>
      </c>
      <c r="AQ3307" s="19" t="n">
        <v>2</v>
      </c>
      <c r="AR3307" s="19"/>
      <c r="AS3307" s="20" t="str">
        <f aca="false">HYPERLINK("http://www.openstreetmap.org/?mlat=35.5548&amp;mlon=45.4122&amp;zoom=12#map=12/35.5548/45.4122","Maplink1")</f>
        <v>Maplink1</v>
      </c>
      <c r="AT3307" s="20" t="str">
        <f aca="false">HYPERLINK("https://www.google.iq/maps/search/+35.5548,45.4122/@35.5548,45.4122,14z?hl=en","Maplink2")</f>
        <v>Maplink2</v>
      </c>
      <c r="AU3307" s="20" t="str">
        <f aca="false">HYPERLINK("http://www.bing.com/maps/?lvl=14&amp;sty=h&amp;cp=35.5548~45.4122&amp;sp=point.35.5548_45.4122","Maplink3")</f>
        <v>Maplink3</v>
      </c>
    </row>
    <row r="3308" customFormat="false" ht="15" hidden="false" customHeight="true" outlineLevel="0" collapsed="false">
      <c r="A3308" s="15" t="n">
        <v>24119</v>
      </c>
      <c r="B3308" s="16" t="s">
        <v>30</v>
      </c>
      <c r="C3308" s="16" t="s">
        <v>6287</v>
      </c>
      <c r="D3308" s="16" t="s">
        <v>6290</v>
      </c>
      <c r="E3308" s="17" t="s">
        <v>6291</v>
      </c>
      <c r="F3308" s="16" t="n">
        <v>35.5465685</v>
      </c>
      <c r="G3308" s="16" t="n">
        <v>45.36680533</v>
      </c>
      <c r="H3308" s="18" t="n">
        <v>40</v>
      </c>
      <c r="I3308" s="18" t="n">
        <v>240</v>
      </c>
      <c r="J3308" s="19" t="n">
        <v>26</v>
      </c>
      <c r="K3308" s="19"/>
      <c r="L3308" s="19" t="n">
        <v>8</v>
      </c>
      <c r="M3308" s="19"/>
      <c r="N3308" s="19"/>
      <c r="O3308" s="19" t="n">
        <v>4</v>
      </c>
      <c r="P3308" s="19"/>
      <c r="Q3308" s="19"/>
      <c r="R3308" s="19"/>
      <c r="S3308" s="19"/>
      <c r="T3308" s="19"/>
      <c r="U3308" s="19"/>
      <c r="V3308" s="19"/>
      <c r="W3308" s="19"/>
      <c r="X3308" s="19" t="n">
        <v>2</v>
      </c>
      <c r="Y3308" s="19"/>
      <c r="Z3308" s="19"/>
      <c r="AA3308" s="19"/>
      <c r="AB3308" s="19"/>
      <c r="AC3308" s="19"/>
      <c r="AD3308" s="19"/>
      <c r="AE3308" s="19"/>
      <c r="AF3308" s="19"/>
      <c r="AG3308" s="19"/>
      <c r="AH3308" s="19" t="n">
        <v>40</v>
      </c>
      <c r="AI3308" s="19"/>
      <c r="AJ3308" s="19"/>
      <c r="AK3308" s="19"/>
      <c r="AL3308" s="19" t="n">
        <v>6</v>
      </c>
      <c r="AM3308" s="19" t="n">
        <v>14</v>
      </c>
      <c r="AN3308" s="19"/>
      <c r="AO3308" s="19" t="n">
        <v>10</v>
      </c>
      <c r="AP3308" s="19" t="n">
        <v>6</v>
      </c>
      <c r="AQ3308" s="19" t="n">
        <v>4</v>
      </c>
      <c r="AR3308" s="19"/>
      <c r="AS3308" s="20" t="str">
        <f aca="false">HYPERLINK("http://www.openstreetmap.org/?mlat=35.5466&amp;mlon=45.3668&amp;zoom=12#map=12/35.5466/45.3668","Maplink1")</f>
        <v>Maplink1</v>
      </c>
      <c r="AT3308" s="20" t="str">
        <f aca="false">HYPERLINK("https://www.google.iq/maps/search/+35.5466,45.3668/@35.5466,45.3668,14z?hl=en","Maplink2")</f>
        <v>Maplink2</v>
      </c>
      <c r="AU3308" s="20" t="str">
        <f aca="false">HYPERLINK("http://www.bing.com/maps/?lvl=14&amp;sty=h&amp;cp=35.5466~45.3668&amp;sp=point.35.5466_45.3668","Maplink3")</f>
        <v>Maplink3</v>
      </c>
    </row>
    <row r="3309" customFormat="false" ht="15" hidden="false" customHeight="true" outlineLevel="0" collapsed="false">
      <c r="A3309" s="15" t="n">
        <v>23635</v>
      </c>
      <c r="B3309" s="16" t="s">
        <v>30</v>
      </c>
      <c r="C3309" s="16" t="s">
        <v>6287</v>
      </c>
      <c r="D3309" s="16" t="s">
        <v>6292</v>
      </c>
      <c r="E3309" s="17" t="s">
        <v>6293</v>
      </c>
      <c r="F3309" s="16" t="n">
        <v>35.56036817</v>
      </c>
      <c r="G3309" s="16" t="n">
        <v>45.42691803</v>
      </c>
      <c r="H3309" s="18" t="n">
        <v>52</v>
      </c>
      <c r="I3309" s="18" t="n">
        <v>312</v>
      </c>
      <c r="J3309" s="19" t="n">
        <v>32</v>
      </c>
      <c r="K3309" s="19"/>
      <c r="L3309" s="19" t="n">
        <v>12</v>
      </c>
      <c r="M3309" s="19"/>
      <c r="N3309" s="19"/>
      <c r="O3309" s="19"/>
      <c r="P3309" s="19"/>
      <c r="Q3309" s="19"/>
      <c r="R3309" s="19"/>
      <c r="S3309" s="19"/>
      <c r="T3309" s="19"/>
      <c r="U3309" s="19"/>
      <c r="V3309" s="19" t="n">
        <v>8</v>
      </c>
      <c r="W3309" s="19"/>
      <c r="X3309" s="19"/>
      <c r="Y3309" s="19"/>
      <c r="Z3309" s="19"/>
      <c r="AA3309" s="19"/>
      <c r="AB3309" s="19"/>
      <c r="AC3309" s="19"/>
      <c r="AD3309" s="19"/>
      <c r="AE3309" s="19"/>
      <c r="AF3309" s="19"/>
      <c r="AG3309" s="19"/>
      <c r="AH3309" s="19" t="n">
        <v>52</v>
      </c>
      <c r="AI3309" s="19"/>
      <c r="AJ3309" s="19"/>
      <c r="AK3309" s="19"/>
      <c r="AL3309" s="19" t="n">
        <v>11</v>
      </c>
      <c r="AM3309" s="19" t="n">
        <v>10</v>
      </c>
      <c r="AN3309" s="19" t="n">
        <v>5</v>
      </c>
      <c r="AO3309" s="19" t="n">
        <v>10</v>
      </c>
      <c r="AP3309" s="19" t="n">
        <v>11</v>
      </c>
      <c r="AQ3309" s="19" t="n">
        <v>5</v>
      </c>
      <c r="AR3309" s="19"/>
      <c r="AS3309" s="20" t="str">
        <f aca="false">HYPERLINK("http://www.openstreetmap.org/?mlat=35.5604&amp;mlon=45.4269&amp;zoom=12#map=12/35.5604/45.4269","Maplink1")</f>
        <v>Maplink1</v>
      </c>
      <c r="AT3309" s="20" t="str">
        <f aca="false">HYPERLINK("https://www.google.iq/maps/search/+35.5604,45.4269/@35.5604,45.4269,14z?hl=en","Maplink2")</f>
        <v>Maplink2</v>
      </c>
      <c r="AU3309" s="20" t="str">
        <f aca="false">HYPERLINK("http://www.bing.com/maps/?lvl=14&amp;sty=h&amp;cp=35.5604~45.4269&amp;sp=point.35.5604_45.4269","Maplink3")</f>
        <v>Maplink3</v>
      </c>
    </row>
    <row r="3310" customFormat="false" ht="15" hidden="false" customHeight="true" outlineLevel="0" collapsed="false">
      <c r="A3310" s="15" t="n">
        <v>23692</v>
      </c>
      <c r="B3310" s="16" t="s">
        <v>30</v>
      </c>
      <c r="C3310" s="16" t="s">
        <v>6287</v>
      </c>
      <c r="D3310" s="16" t="s">
        <v>6294</v>
      </c>
      <c r="E3310" s="17" t="s">
        <v>6295</v>
      </c>
      <c r="F3310" s="16" t="n">
        <v>35.43254487</v>
      </c>
      <c r="G3310" s="16" t="n">
        <v>45.59046164</v>
      </c>
      <c r="H3310" s="18" t="n">
        <v>416</v>
      </c>
      <c r="I3310" s="18" t="n">
        <v>2496</v>
      </c>
      <c r="J3310" s="19"/>
      <c r="K3310" s="19" t="n">
        <v>1</v>
      </c>
      <c r="L3310" s="19"/>
      <c r="M3310" s="19"/>
      <c r="N3310" s="19"/>
      <c r="O3310" s="19" t="n">
        <v>3</v>
      </c>
      <c r="P3310" s="19"/>
      <c r="Q3310" s="19"/>
      <c r="R3310" s="19"/>
      <c r="S3310" s="19"/>
      <c r="T3310" s="19"/>
      <c r="U3310" s="19"/>
      <c r="V3310" s="19" t="n">
        <v>14</v>
      </c>
      <c r="W3310" s="19"/>
      <c r="X3310" s="19" t="n">
        <v>398</v>
      </c>
      <c r="Y3310" s="19"/>
      <c r="Z3310" s="19"/>
      <c r="AA3310" s="19"/>
      <c r="AB3310" s="19" t="n">
        <v>416</v>
      </c>
      <c r="AC3310" s="19"/>
      <c r="AD3310" s="19"/>
      <c r="AE3310" s="19"/>
      <c r="AF3310" s="19"/>
      <c r="AG3310" s="19"/>
      <c r="AH3310" s="19"/>
      <c r="AI3310" s="19"/>
      <c r="AJ3310" s="19"/>
      <c r="AK3310" s="19"/>
      <c r="AL3310" s="19"/>
      <c r="AM3310" s="19" t="n">
        <v>17</v>
      </c>
      <c r="AN3310" s="19" t="n">
        <v>1</v>
      </c>
      <c r="AO3310" s="19" t="n">
        <v>398</v>
      </c>
      <c r="AP3310" s="19"/>
      <c r="AQ3310" s="19"/>
      <c r="AR3310" s="19"/>
      <c r="AS3310" s="20" t="str">
        <f aca="false">HYPERLINK("http://www.openstreetmap.org/?mlat=35.4325&amp;mlon=45.5905&amp;zoom=12#map=12/35.4325/45.5905","Maplink1")</f>
        <v>Maplink1</v>
      </c>
      <c r="AT3310" s="20" t="str">
        <f aca="false">HYPERLINK("https://www.google.iq/maps/search/+35.4325,45.5905/@35.4325,45.5905,14z?hl=en","Maplink2")</f>
        <v>Maplink2</v>
      </c>
      <c r="AU3310" s="20" t="str">
        <f aca="false">HYPERLINK("http://www.bing.com/maps/?lvl=14&amp;sty=h&amp;cp=35.4325~45.5905&amp;sp=point.35.4325_45.5905","Maplink3")</f>
        <v>Maplink3</v>
      </c>
    </row>
    <row r="3311" customFormat="false" ht="15" hidden="false" customHeight="true" outlineLevel="0" collapsed="false">
      <c r="A3311" s="15" t="n">
        <v>25289</v>
      </c>
      <c r="B3311" s="16" t="s">
        <v>30</v>
      </c>
      <c r="C3311" s="16" t="s">
        <v>6287</v>
      </c>
      <c r="D3311" s="16" t="s">
        <v>6296</v>
      </c>
      <c r="E3311" s="17" t="s">
        <v>6297</v>
      </c>
      <c r="F3311" s="16" t="n">
        <v>35.42202819</v>
      </c>
      <c r="G3311" s="16" t="n">
        <v>45.57866847</v>
      </c>
      <c r="H3311" s="18" t="n">
        <v>27</v>
      </c>
      <c r="I3311" s="18" t="n">
        <v>162</v>
      </c>
      <c r="J3311" s="19" t="n">
        <v>6</v>
      </c>
      <c r="K3311" s="19" t="n">
        <v>5</v>
      </c>
      <c r="L3311" s="19"/>
      <c r="M3311" s="19"/>
      <c r="N3311" s="19"/>
      <c r="O3311" s="19" t="n">
        <v>13</v>
      </c>
      <c r="P3311" s="19"/>
      <c r="Q3311" s="19"/>
      <c r="R3311" s="19"/>
      <c r="S3311" s="19"/>
      <c r="T3311" s="19"/>
      <c r="U3311" s="19"/>
      <c r="V3311" s="19"/>
      <c r="W3311" s="19"/>
      <c r="X3311" s="19" t="n">
        <v>3</v>
      </c>
      <c r="Y3311" s="19"/>
      <c r="Z3311" s="19"/>
      <c r="AA3311" s="19"/>
      <c r="AB3311" s="19"/>
      <c r="AC3311" s="19"/>
      <c r="AD3311" s="19"/>
      <c r="AE3311" s="19"/>
      <c r="AF3311" s="19"/>
      <c r="AG3311" s="19"/>
      <c r="AH3311" s="19" t="n">
        <v>27</v>
      </c>
      <c r="AI3311" s="19"/>
      <c r="AJ3311" s="19"/>
      <c r="AK3311" s="19"/>
      <c r="AL3311" s="19"/>
      <c r="AM3311" s="19" t="n">
        <v>2</v>
      </c>
      <c r="AN3311" s="19" t="n">
        <v>2</v>
      </c>
      <c r="AO3311" s="19" t="n">
        <v>18</v>
      </c>
      <c r="AP3311" s="19" t="n">
        <v>5</v>
      </c>
      <c r="AQ3311" s="19"/>
      <c r="AR3311" s="19"/>
      <c r="AS3311" s="20" t="str">
        <f aca="false">HYPERLINK("http://www.openstreetmap.org/?mlat=35.422&amp;mlon=45.5787&amp;zoom=12#map=12/35.422/45.5787","Maplink1")</f>
        <v>Maplink1</v>
      </c>
      <c r="AT3311" s="20" t="str">
        <f aca="false">HYPERLINK("https://www.google.iq/maps/search/+35.422,45.5787/@35.422,45.5787,14z?hl=en","Maplink2")</f>
        <v>Maplink2</v>
      </c>
      <c r="AU3311" s="20" t="str">
        <f aca="false">HYPERLINK("http://www.bing.com/maps/?lvl=14&amp;sty=h&amp;cp=35.422~45.5787&amp;sp=point.35.422_45.5787","Maplink3")</f>
        <v>Maplink3</v>
      </c>
    </row>
    <row r="3312" customFormat="false" ht="15" hidden="false" customHeight="true" outlineLevel="0" collapsed="false">
      <c r="A3312" s="15" t="n">
        <v>25291</v>
      </c>
      <c r="B3312" s="16" t="s">
        <v>30</v>
      </c>
      <c r="C3312" s="16" t="s">
        <v>6287</v>
      </c>
      <c r="D3312" s="16" t="s">
        <v>6298</v>
      </c>
      <c r="E3312" s="17" t="s">
        <v>3410</v>
      </c>
      <c r="F3312" s="16" t="n">
        <v>35.42419574</v>
      </c>
      <c r="G3312" s="16" t="n">
        <v>45.58686572</v>
      </c>
      <c r="H3312" s="18" t="n">
        <v>19</v>
      </c>
      <c r="I3312" s="18" t="n">
        <v>114</v>
      </c>
      <c r="J3312" s="19" t="n">
        <v>10</v>
      </c>
      <c r="K3312" s="19" t="n">
        <v>4</v>
      </c>
      <c r="L3312" s="19" t="n">
        <v>2</v>
      </c>
      <c r="M3312" s="19"/>
      <c r="N3312" s="19"/>
      <c r="O3312" s="19"/>
      <c r="P3312" s="19"/>
      <c r="Q3312" s="19"/>
      <c r="R3312" s="19"/>
      <c r="S3312" s="19"/>
      <c r="T3312" s="19"/>
      <c r="U3312" s="19"/>
      <c r="V3312" s="19"/>
      <c r="W3312" s="19"/>
      <c r="X3312" s="19" t="n">
        <v>3</v>
      </c>
      <c r="Y3312" s="19"/>
      <c r="Z3312" s="19"/>
      <c r="AA3312" s="19"/>
      <c r="AB3312" s="19"/>
      <c r="AC3312" s="19"/>
      <c r="AD3312" s="19"/>
      <c r="AE3312" s="19"/>
      <c r="AF3312" s="19"/>
      <c r="AG3312" s="19"/>
      <c r="AH3312" s="19" t="n">
        <v>19</v>
      </c>
      <c r="AI3312" s="19"/>
      <c r="AJ3312" s="19"/>
      <c r="AK3312" s="19"/>
      <c r="AL3312" s="19" t="n">
        <v>1</v>
      </c>
      <c r="AM3312" s="19" t="n">
        <v>3</v>
      </c>
      <c r="AN3312" s="19" t="n">
        <v>2</v>
      </c>
      <c r="AO3312" s="19" t="n">
        <v>8</v>
      </c>
      <c r="AP3312" s="19" t="n">
        <v>4</v>
      </c>
      <c r="AQ3312" s="19" t="n">
        <v>1</v>
      </c>
      <c r="AR3312" s="19"/>
      <c r="AS3312" s="20" t="str">
        <f aca="false">HYPERLINK("http://www.openstreetmap.org/?mlat=35.4242&amp;mlon=45.5869&amp;zoom=12#map=12/35.4242/45.5869","Maplink1")</f>
        <v>Maplink1</v>
      </c>
      <c r="AT3312" s="20" t="str">
        <f aca="false">HYPERLINK("https://www.google.iq/maps/search/+35.4242,45.5869/@35.4242,45.5869,14z?hl=en","Maplink2")</f>
        <v>Maplink2</v>
      </c>
      <c r="AU3312" s="20" t="str">
        <f aca="false">HYPERLINK("http://www.bing.com/maps/?lvl=14&amp;sty=h&amp;cp=35.4242~45.5869&amp;sp=point.35.4242_45.5869","Maplink3")</f>
        <v>Maplink3</v>
      </c>
    </row>
    <row r="3313" customFormat="false" ht="15" hidden="false" customHeight="true" outlineLevel="0" collapsed="false">
      <c r="A3313" s="15" t="n">
        <v>25290</v>
      </c>
      <c r="B3313" s="16" t="s">
        <v>30</v>
      </c>
      <c r="C3313" s="16" t="s">
        <v>6287</v>
      </c>
      <c r="D3313" s="16" t="s">
        <v>6299</v>
      </c>
      <c r="E3313" s="17" t="s">
        <v>3631</v>
      </c>
      <c r="F3313" s="16" t="n">
        <v>35.42626069</v>
      </c>
      <c r="G3313" s="16" t="n">
        <v>45.57936171</v>
      </c>
      <c r="H3313" s="18" t="n">
        <v>19</v>
      </c>
      <c r="I3313" s="18" t="n">
        <v>114</v>
      </c>
      <c r="J3313" s="19" t="n">
        <v>13</v>
      </c>
      <c r="K3313" s="19" t="n">
        <v>3</v>
      </c>
      <c r="L3313" s="19"/>
      <c r="M3313" s="19"/>
      <c r="N3313" s="19"/>
      <c r="O3313" s="19"/>
      <c r="P3313" s="19"/>
      <c r="Q3313" s="19"/>
      <c r="R3313" s="19"/>
      <c r="S3313" s="19"/>
      <c r="T3313" s="19"/>
      <c r="U3313" s="19"/>
      <c r="V3313" s="19"/>
      <c r="W3313" s="19"/>
      <c r="X3313" s="19" t="n">
        <v>3</v>
      </c>
      <c r="Y3313" s="19"/>
      <c r="Z3313" s="19"/>
      <c r="AA3313" s="19"/>
      <c r="AB3313" s="19"/>
      <c r="AC3313" s="19"/>
      <c r="AD3313" s="19"/>
      <c r="AE3313" s="19"/>
      <c r="AF3313" s="19"/>
      <c r="AG3313" s="19"/>
      <c r="AH3313" s="19" t="n">
        <v>19</v>
      </c>
      <c r="AI3313" s="19"/>
      <c r="AJ3313" s="19"/>
      <c r="AK3313" s="19"/>
      <c r="AL3313" s="19"/>
      <c r="AM3313" s="19" t="n">
        <v>2</v>
      </c>
      <c r="AN3313" s="19" t="n">
        <v>2</v>
      </c>
      <c r="AO3313" s="19" t="n">
        <v>10</v>
      </c>
      <c r="AP3313" s="19" t="n">
        <v>5</v>
      </c>
      <c r="AQ3313" s="19"/>
      <c r="AR3313" s="19"/>
      <c r="AS3313" s="20" t="str">
        <f aca="false">HYPERLINK("http://www.openstreetmap.org/?mlat=35.4263&amp;mlon=45.5794&amp;zoom=12#map=12/35.4263/45.5794","Maplink1")</f>
        <v>Maplink1</v>
      </c>
      <c r="AT3313" s="20" t="str">
        <f aca="false">HYPERLINK("https://www.google.iq/maps/search/+35.4263,45.5794/@35.4263,45.5794,14z?hl=en","Maplink2")</f>
        <v>Maplink2</v>
      </c>
      <c r="AU3313" s="20" t="str">
        <f aca="false">HYPERLINK("http://www.bing.com/maps/?lvl=14&amp;sty=h&amp;cp=35.4263~45.5794&amp;sp=point.35.4263_45.5794","Maplink3")</f>
        <v>Maplink3</v>
      </c>
    </row>
    <row r="3314" customFormat="false" ht="15" hidden="false" customHeight="true" outlineLevel="0" collapsed="false">
      <c r="A3314" s="15" t="n">
        <v>25292</v>
      </c>
      <c r="B3314" s="16" t="s">
        <v>30</v>
      </c>
      <c r="C3314" s="16" t="s">
        <v>6287</v>
      </c>
      <c r="D3314" s="16" t="s">
        <v>6300</v>
      </c>
      <c r="E3314" s="17" t="s">
        <v>2834</v>
      </c>
      <c r="F3314" s="16" t="n">
        <v>35.41467924</v>
      </c>
      <c r="G3314" s="16" t="n">
        <v>45.5833904</v>
      </c>
      <c r="H3314" s="18" t="n">
        <v>34</v>
      </c>
      <c r="I3314" s="18" t="n">
        <v>204</v>
      </c>
      <c r="J3314" s="19" t="n">
        <v>15</v>
      </c>
      <c r="K3314" s="19" t="n">
        <v>15</v>
      </c>
      <c r="L3314" s="19" t="n">
        <v>2</v>
      </c>
      <c r="M3314" s="19"/>
      <c r="N3314" s="19"/>
      <c r="O3314" s="19"/>
      <c r="P3314" s="19"/>
      <c r="Q3314" s="19"/>
      <c r="R3314" s="19"/>
      <c r="S3314" s="19"/>
      <c r="T3314" s="19"/>
      <c r="U3314" s="19"/>
      <c r="V3314" s="19"/>
      <c r="W3314" s="19"/>
      <c r="X3314" s="19" t="n">
        <v>2</v>
      </c>
      <c r="Y3314" s="19"/>
      <c r="Z3314" s="19"/>
      <c r="AA3314" s="19"/>
      <c r="AB3314" s="19"/>
      <c r="AC3314" s="19"/>
      <c r="AD3314" s="19"/>
      <c r="AE3314" s="19"/>
      <c r="AF3314" s="19"/>
      <c r="AG3314" s="19"/>
      <c r="AH3314" s="19" t="n">
        <v>34</v>
      </c>
      <c r="AI3314" s="19"/>
      <c r="AJ3314" s="19"/>
      <c r="AK3314" s="19"/>
      <c r="AL3314" s="19" t="n">
        <v>2</v>
      </c>
      <c r="AM3314" s="19" t="n">
        <v>14</v>
      </c>
      <c r="AN3314" s="19" t="n">
        <v>2</v>
      </c>
      <c r="AO3314" s="19" t="n">
        <v>8</v>
      </c>
      <c r="AP3314" s="19" t="n">
        <v>7</v>
      </c>
      <c r="AQ3314" s="19" t="n">
        <v>1</v>
      </c>
      <c r="AR3314" s="19"/>
      <c r="AS3314" s="20" t="str">
        <f aca="false">HYPERLINK("http://www.openstreetmap.org/?mlat=35.4147&amp;mlon=45.5834&amp;zoom=12#map=12/35.4147/45.5834","Maplink1")</f>
        <v>Maplink1</v>
      </c>
      <c r="AT3314" s="20" t="str">
        <f aca="false">HYPERLINK("https://www.google.iq/maps/search/+35.4147,45.5834/@35.4147,45.5834,14z?hl=en","Maplink2")</f>
        <v>Maplink2</v>
      </c>
      <c r="AU3314" s="20" t="str">
        <f aca="false">HYPERLINK("http://www.bing.com/maps/?lvl=14&amp;sty=h&amp;cp=35.4147~45.5834&amp;sp=point.35.4147_45.5834","Maplink3")</f>
        <v>Maplink3</v>
      </c>
    </row>
    <row r="3315" customFormat="false" ht="15" hidden="false" customHeight="true" outlineLevel="0" collapsed="false">
      <c r="A3315" s="15" t="n">
        <v>26023</v>
      </c>
      <c r="B3315" s="16" t="s">
        <v>30</v>
      </c>
      <c r="C3315" s="16" t="s">
        <v>6287</v>
      </c>
      <c r="D3315" s="16" t="s">
        <v>6301</v>
      </c>
      <c r="E3315" s="17" t="s">
        <v>6302</v>
      </c>
      <c r="F3315" s="16" t="n">
        <v>35.41710498</v>
      </c>
      <c r="G3315" s="16" t="n">
        <v>45.60605399</v>
      </c>
      <c r="H3315" s="18" t="n">
        <v>2825</v>
      </c>
      <c r="I3315" s="18" t="n">
        <v>16950</v>
      </c>
      <c r="J3315" s="19"/>
      <c r="K3315" s="19"/>
      <c r="L3315" s="19"/>
      <c r="M3315" s="19"/>
      <c r="N3315" s="19"/>
      <c r="O3315" s="19"/>
      <c r="P3315" s="19"/>
      <c r="Q3315" s="19"/>
      <c r="R3315" s="19"/>
      <c r="S3315" s="19"/>
      <c r="T3315" s="19"/>
      <c r="U3315" s="19"/>
      <c r="V3315" s="19" t="n">
        <v>334</v>
      </c>
      <c r="W3315" s="19"/>
      <c r="X3315" s="19" t="n">
        <v>2491</v>
      </c>
      <c r="Y3315" s="19"/>
      <c r="Z3315" s="19"/>
      <c r="AA3315" s="19"/>
      <c r="AB3315" s="19" t="n">
        <v>2825</v>
      </c>
      <c r="AC3315" s="19"/>
      <c r="AD3315" s="19"/>
      <c r="AE3315" s="19"/>
      <c r="AF3315" s="19"/>
      <c r="AG3315" s="19"/>
      <c r="AH3315" s="19"/>
      <c r="AI3315" s="19"/>
      <c r="AJ3315" s="19"/>
      <c r="AK3315" s="19"/>
      <c r="AL3315" s="19"/>
      <c r="AM3315" s="19"/>
      <c r="AN3315" s="19" t="n">
        <v>334</v>
      </c>
      <c r="AO3315" s="19" t="n">
        <v>2491</v>
      </c>
      <c r="AP3315" s="19"/>
      <c r="AQ3315" s="19"/>
      <c r="AR3315" s="19"/>
      <c r="AS3315" s="20" t="str">
        <f aca="false">HYPERLINK("http://www.openstreetmap.org/?mlat=35.4171&amp;mlon=45.6061&amp;zoom=12#map=12/35.4171/45.6061","Maplink1")</f>
        <v>Maplink1</v>
      </c>
      <c r="AT3315" s="20" t="str">
        <f aca="false">HYPERLINK("https://www.google.iq/maps/search/+35.4171,45.6061/@35.4171,45.6061,14z?hl=en","Maplink2")</f>
        <v>Maplink2</v>
      </c>
      <c r="AU3315" s="20" t="str">
        <f aca="false">HYPERLINK("http://www.bing.com/maps/?lvl=14&amp;sty=h&amp;cp=35.4171~45.6061&amp;sp=point.35.4171_45.6061","Maplink3")</f>
        <v>Maplink3</v>
      </c>
    </row>
    <row r="3316" customFormat="false" ht="15" hidden="false" customHeight="true" outlineLevel="0" collapsed="false">
      <c r="A3316" s="15" t="n">
        <v>21279</v>
      </c>
      <c r="B3316" s="16" t="s">
        <v>30</v>
      </c>
      <c r="C3316" s="16" t="s">
        <v>6287</v>
      </c>
      <c r="D3316" s="16" t="s">
        <v>3409</v>
      </c>
      <c r="E3316" s="17" t="s">
        <v>6303</v>
      </c>
      <c r="F3316" s="16" t="n">
        <v>35.56949056</v>
      </c>
      <c r="G3316" s="16" t="n">
        <v>45.42396859</v>
      </c>
      <c r="H3316" s="18" t="n">
        <v>99</v>
      </c>
      <c r="I3316" s="18" t="n">
        <v>594</v>
      </c>
      <c r="J3316" s="19" t="n">
        <v>74</v>
      </c>
      <c r="K3316" s="19"/>
      <c r="L3316" s="19" t="n">
        <v>18</v>
      </c>
      <c r="M3316" s="19"/>
      <c r="N3316" s="19"/>
      <c r="O3316" s="19"/>
      <c r="P3316" s="19"/>
      <c r="Q3316" s="19"/>
      <c r="R3316" s="19"/>
      <c r="S3316" s="19"/>
      <c r="T3316" s="19"/>
      <c r="U3316" s="19"/>
      <c r="V3316" s="19"/>
      <c r="W3316" s="19"/>
      <c r="X3316" s="19" t="n">
        <v>7</v>
      </c>
      <c r="Y3316" s="19"/>
      <c r="Z3316" s="19"/>
      <c r="AA3316" s="19"/>
      <c r="AB3316" s="19"/>
      <c r="AC3316" s="19"/>
      <c r="AD3316" s="19" t="n">
        <v>8</v>
      </c>
      <c r="AE3316" s="19"/>
      <c r="AF3316" s="19"/>
      <c r="AG3316" s="19"/>
      <c r="AH3316" s="19" t="n">
        <v>91</v>
      </c>
      <c r="AI3316" s="19"/>
      <c r="AJ3316" s="19"/>
      <c r="AK3316" s="19"/>
      <c r="AL3316" s="19" t="n">
        <v>14</v>
      </c>
      <c r="AM3316" s="19" t="n">
        <v>16</v>
      </c>
      <c r="AN3316" s="19" t="n">
        <v>11</v>
      </c>
      <c r="AO3316" s="19" t="n">
        <v>20</v>
      </c>
      <c r="AP3316" s="19" t="n">
        <v>28</v>
      </c>
      <c r="AQ3316" s="19" t="n">
        <v>10</v>
      </c>
      <c r="AR3316" s="19"/>
      <c r="AS3316" s="20" t="str">
        <f aca="false">HYPERLINK("http://www.openstreetmap.org/?mlat=35.5695&amp;mlon=45.424&amp;zoom=12#map=12/35.5695/45.424","Maplink1")</f>
        <v>Maplink1</v>
      </c>
      <c r="AT3316" s="20" t="str">
        <f aca="false">HYPERLINK("https://www.google.iq/maps/search/+35.5695,45.424/@35.5695,45.424,14z?hl=en","Maplink2")</f>
        <v>Maplink2</v>
      </c>
      <c r="AU3316" s="20" t="str">
        <f aca="false">HYPERLINK("http://www.bing.com/maps/?lvl=14&amp;sty=h&amp;cp=35.5695~45.424&amp;sp=point.35.5695_45.424","Maplink3")</f>
        <v>Maplink3</v>
      </c>
    </row>
    <row r="3317" customFormat="false" ht="15" hidden="false" customHeight="true" outlineLevel="0" collapsed="false">
      <c r="A3317" s="15" t="n">
        <v>25874</v>
      </c>
      <c r="B3317" s="16" t="s">
        <v>30</v>
      </c>
      <c r="C3317" s="16" t="s">
        <v>6287</v>
      </c>
      <c r="D3317" s="16" t="s">
        <v>6304</v>
      </c>
      <c r="E3317" s="17" t="s">
        <v>6305</v>
      </c>
      <c r="F3317" s="16" t="n">
        <v>35.58224026</v>
      </c>
      <c r="G3317" s="16" t="n">
        <v>45.15702822</v>
      </c>
      <c r="H3317" s="18" t="n">
        <v>39</v>
      </c>
      <c r="I3317" s="18" t="n">
        <v>234</v>
      </c>
      <c r="J3317" s="19" t="n">
        <v>22</v>
      </c>
      <c r="K3317" s="19"/>
      <c r="L3317" s="19"/>
      <c r="M3317" s="19"/>
      <c r="N3317" s="19"/>
      <c r="O3317" s="19" t="n">
        <v>3</v>
      </c>
      <c r="P3317" s="19"/>
      <c r="Q3317" s="19"/>
      <c r="R3317" s="19"/>
      <c r="S3317" s="19"/>
      <c r="T3317" s="19"/>
      <c r="U3317" s="19"/>
      <c r="V3317" s="19" t="n">
        <v>14</v>
      </c>
      <c r="W3317" s="19"/>
      <c r="X3317" s="19"/>
      <c r="Y3317" s="19"/>
      <c r="Z3317" s="19"/>
      <c r="AA3317" s="19"/>
      <c r="AB3317" s="19"/>
      <c r="AC3317" s="19"/>
      <c r="AD3317" s="19"/>
      <c r="AE3317" s="19"/>
      <c r="AF3317" s="19"/>
      <c r="AG3317" s="19"/>
      <c r="AH3317" s="19" t="n">
        <v>39</v>
      </c>
      <c r="AI3317" s="19"/>
      <c r="AJ3317" s="19"/>
      <c r="AK3317" s="19"/>
      <c r="AL3317" s="19" t="n">
        <v>3</v>
      </c>
      <c r="AM3317" s="19" t="n">
        <v>3</v>
      </c>
      <c r="AN3317" s="19" t="n">
        <v>14</v>
      </c>
      <c r="AO3317" s="19" t="n">
        <v>7</v>
      </c>
      <c r="AP3317" s="19" t="n">
        <v>11</v>
      </c>
      <c r="AQ3317" s="19" t="n">
        <v>1</v>
      </c>
      <c r="AR3317" s="19"/>
      <c r="AS3317" s="20" t="str">
        <f aca="false">HYPERLINK("http://www.openstreetmap.org/?mlat=35.5822&amp;mlon=45.157&amp;zoom=12#map=12/35.5822/45.157","Maplink1")</f>
        <v>Maplink1</v>
      </c>
      <c r="AT3317" s="20" t="str">
        <f aca="false">HYPERLINK("https://www.google.iq/maps/search/+35.5822,45.157/@35.5822,45.157,14z?hl=en","Maplink2")</f>
        <v>Maplink2</v>
      </c>
      <c r="AU3317" s="20" t="str">
        <f aca="false">HYPERLINK("http://www.bing.com/maps/?lvl=14&amp;sty=h&amp;cp=35.5822~45.157&amp;sp=point.35.5822_45.157","Maplink3")</f>
        <v>Maplink3</v>
      </c>
    </row>
    <row r="3318" customFormat="false" ht="15" hidden="false" customHeight="true" outlineLevel="0" collapsed="false">
      <c r="A3318" s="15" t="n">
        <v>5737</v>
      </c>
      <c r="B3318" s="16" t="s">
        <v>30</v>
      </c>
      <c r="C3318" s="16" t="s">
        <v>6287</v>
      </c>
      <c r="D3318" s="16" t="s">
        <v>6195</v>
      </c>
      <c r="E3318" s="17" t="s">
        <v>6196</v>
      </c>
      <c r="F3318" s="16" t="n">
        <v>35.55395547</v>
      </c>
      <c r="G3318" s="16" t="n">
        <v>45.37900457</v>
      </c>
      <c r="H3318" s="18" t="n">
        <v>172</v>
      </c>
      <c r="I3318" s="18" t="n">
        <v>1032</v>
      </c>
      <c r="J3318" s="19" t="n">
        <v>93</v>
      </c>
      <c r="K3318" s="19"/>
      <c r="L3318" s="19" t="n">
        <v>34</v>
      </c>
      <c r="M3318" s="19"/>
      <c r="N3318" s="19"/>
      <c r="O3318" s="19" t="n">
        <v>13</v>
      </c>
      <c r="P3318" s="19"/>
      <c r="Q3318" s="19"/>
      <c r="R3318" s="19"/>
      <c r="S3318" s="19"/>
      <c r="T3318" s="19"/>
      <c r="U3318" s="19"/>
      <c r="V3318" s="19" t="n">
        <v>14</v>
      </c>
      <c r="W3318" s="19"/>
      <c r="X3318" s="19" t="n">
        <v>18</v>
      </c>
      <c r="Y3318" s="19"/>
      <c r="Z3318" s="19"/>
      <c r="AA3318" s="19"/>
      <c r="AB3318" s="19"/>
      <c r="AC3318" s="19"/>
      <c r="AD3318" s="19"/>
      <c r="AE3318" s="19"/>
      <c r="AF3318" s="19"/>
      <c r="AG3318" s="19"/>
      <c r="AH3318" s="19" t="n">
        <v>172</v>
      </c>
      <c r="AI3318" s="19"/>
      <c r="AJ3318" s="19"/>
      <c r="AK3318" s="19"/>
      <c r="AL3318" s="19" t="n">
        <v>11</v>
      </c>
      <c r="AM3318" s="19" t="n">
        <v>22</v>
      </c>
      <c r="AN3318" s="19" t="n">
        <v>7</v>
      </c>
      <c r="AO3318" s="19" t="n">
        <v>72</v>
      </c>
      <c r="AP3318" s="19" t="n">
        <v>30</v>
      </c>
      <c r="AQ3318" s="19" t="n">
        <v>30</v>
      </c>
      <c r="AR3318" s="19"/>
      <c r="AS3318" s="20" t="str">
        <f aca="false">HYPERLINK("http://www.openstreetmap.org/?mlat=35.554&amp;mlon=45.379&amp;zoom=12#map=12/35.554/45.379","Maplink1")</f>
        <v>Maplink1</v>
      </c>
      <c r="AT3318" s="20" t="str">
        <f aca="false">HYPERLINK("https://www.google.iq/maps/search/+35.554,45.379/@35.554,45.379,14z?hl=en","Maplink2")</f>
        <v>Maplink2</v>
      </c>
      <c r="AU3318" s="20" t="str">
        <f aca="false">HYPERLINK("http://www.bing.com/maps/?lvl=14&amp;sty=h&amp;cp=35.554~45.379&amp;sp=point.35.554_45.379","Maplink3")</f>
        <v>Maplink3</v>
      </c>
    </row>
    <row r="3319" customFormat="false" ht="15" hidden="false" customHeight="true" outlineLevel="0" collapsed="false">
      <c r="A3319" s="15" t="n">
        <v>21202</v>
      </c>
      <c r="B3319" s="16" t="s">
        <v>30</v>
      </c>
      <c r="C3319" s="16" t="s">
        <v>6287</v>
      </c>
      <c r="D3319" s="16" t="s">
        <v>2713</v>
      </c>
      <c r="E3319" s="17" t="s">
        <v>6036</v>
      </c>
      <c r="F3319" s="16" t="n">
        <v>35.56135358</v>
      </c>
      <c r="G3319" s="16" t="n">
        <v>45.46511412</v>
      </c>
      <c r="H3319" s="18" t="n">
        <v>134</v>
      </c>
      <c r="I3319" s="18" t="n">
        <v>804</v>
      </c>
      <c r="J3319" s="19" t="n">
        <v>103</v>
      </c>
      <c r="K3319" s="19"/>
      <c r="L3319" s="19" t="n">
        <v>17</v>
      </c>
      <c r="M3319" s="19"/>
      <c r="N3319" s="19"/>
      <c r="O3319" s="19" t="n">
        <v>3</v>
      </c>
      <c r="P3319" s="19"/>
      <c r="Q3319" s="19"/>
      <c r="R3319" s="19"/>
      <c r="S3319" s="19"/>
      <c r="T3319" s="19"/>
      <c r="U3319" s="19"/>
      <c r="V3319" s="19" t="n">
        <v>6</v>
      </c>
      <c r="W3319" s="19"/>
      <c r="X3319" s="19" t="n">
        <v>5</v>
      </c>
      <c r="Y3319" s="19"/>
      <c r="Z3319" s="19"/>
      <c r="AA3319" s="19"/>
      <c r="AB3319" s="19"/>
      <c r="AC3319" s="19"/>
      <c r="AD3319" s="19"/>
      <c r="AE3319" s="19"/>
      <c r="AF3319" s="19"/>
      <c r="AG3319" s="19"/>
      <c r="AH3319" s="19" t="n">
        <v>134</v>
      </c>
      <c r="AI3319" s="19"/>
      <c r="AJ3319" s="19"/>
      <c r="AK3319" s="19"/>
      <c r="AL3319" s="19" t="n">
        <v>47</v>
      </c>
      <c r="AM3319" s="19" t="n">
        <v>17</v>
      </c>
      <c r="AN3319" s="19" t="n">
        <v>6</v>
      </c>
      <c r="AO3319" s="19" t="n">
        <v>19</v>
      </c>
      <c r="AP3319" s="19" t="n">
        <v>34</v>
      </c>
      <c r="AQ3319" s="19" t="n">
        <v>11</v>
      </c>
      <c r="AR3319" s="19"/>
      <c r="AS3319" s="20" t="str">
        <f aca="false">HYPERLINK("http://www.openstreetmap.org/?mlat=35.5614&amp;mlon=45.4651&amp;zoom=12#map=12/35.5614/45.4651","Maplink1")</f>
        <v>Maplink1</v>
      </c>
      <c r="AT3319" s="20" t="str">
        <f aca="false">HYPERLINK("https://www.google.iq/maps/search/+35.5614,45.4651/@35.5614,45.4651,14z?hl=en","Maplink2")</f>
        <v>Maplink2</v>
      </c>
      <c r="AU3319" s="20" t="str">
        <f aca="false">HYPERLINK("http://www.bing.com/maps/?lvl=14&amp;sty=h&amp;cp=35.5614~45.4651&amp;sp=point.35.5614_45.4651","Maplink3")</f>
        <v>Maplink3</v>
      </c>
    </row>
    <row r="3320" customFormat="false" ht="15" hidden="false" customHeight="true" outlineLevel="0" collapsed="false">
      <c r="A3320" s="15" t="n">
        <v>25873</v>
      </c>
      <c r="B3320" s="16" t="s">
        <v>30</v>
      </c>
      <c r="C3320" s="16" t="s">
        <v>6287</v>
      </c>
      <c r="D3320" s="16" t="s">
        <v>6306</v>
      </c>
      <c r="E3320" s="17" t="s">
        <v>6307</v>
      </c>
      <c r="F3320" s="16" t="n">
        <v>35.60261628</v>
      </c>
      <c r="G3320" s="16" t="n">
        <v>45.12988263</v>
      </c>
      <c r="H3320" s="18" t="n">
        <v>45</v>
      </c>
      <c r="I3320" s="18" t="n">
        <v>270</v>
      </c>
      <c r="J3320" s="19" t="n">
        <v>35</v>
      </c>
      <c r="K3320" s="19"/>
      <c r="L3320" s="19"/>
      <c r="M3320" s="19"/>
      <c r="N3320" s="19"/>
      <c r="O3320" s="19"/>
      <c r="P3320" s="19"/>
      <c r="Q3320" s="19"/>
      <c r="R3320" s="19"/>
      <c r="S3320" s="19"/>
      <c r="T3320" s="19"/>
      <c r="U3320" s="19"/>
      <c r="V3320" s="19" t="n">
        <v>10</v>
      </c>
      <c r="W3320" s="19"/>
      <c r="X3320" s="19"/>
      <c r="Y3320" s="19"/>
      <c r="Z3320" s="19"/>
      <c r="AA3320" s="19"/>
      <c r="AB3320" s="19"/>
      <c r="AC3320" s="19"/>
      <c r="AD3320" s="19"/>
      <c r="AE3320" s="19"/>
      <c r="AF3320" s="19"/>
      <c r="AG3320" s="19"/>
      <c r="AH3320" s="19" t="n">
        <v>45</v>
      </c>
      <c r="AI3320" s="19"/>
      <c r="AJ3320" s="19"/>
      <c r="AK3320" s="19"/>
      <c r="AL3320" s="19" t="n">
        <v>3</v>
      </c>
      <c r="AM3320" s="19" t="n">
        <v>4</v>
      </c>
      <c r="AN3320" s="19" t="n">
        <v>10</v>
      </c>
      <c r="AO3320" s="19" t="n">
        <v>8</v>
      </c>
      <c r="AP3320" s="19" t="n">
        <v>16</v>
      </c>
      <c r="AQ3320" s="19" t="n">
        <v>4</v>
      </c>
      <c r="AR3320" s="19"/>
      <c r="AS3320" s="20" t="str">
        <f aca="false">HYPERLINK("http://www.openstreetmap.org/?mlat=35.6026&amp;mlon=45.1299&amp;zoom=12#map=12/35.6026/45.1299","Maplink1")</f>
        <v>Maplink1</v>
      </c>
      <c r="AT3320" s="20" t="str">
        <f aca="false">HYPERLINK("https://www.google.iq/maps/search/+35.6026,45.1299/@35.6026,45.1299,14z?hl=en","Maplink2")</f>
        <v>Maplink2</v>
      </c>
      <c r="AU3320" s="20" t="str">
        <f aca="false">HYPERLINK("http://www.bing.com/maps/?lvl=14&amp;sty=h&amp;cp=35.6026~45.1299&amp;sp=point.35.6026_45.1299","Maplink3")</f>
        <v>Maplink3</v>
      </c>
    </row>
    <row r="3321" customFormat="false" ht="15" hidden="false" customHeight="true" outlineLevel="0" collapsed="false">
      <c r="A3321" s="15" t="n">
        <v>21204</v>
      </c>
      <c r="B3321" s="16" t="s">
        <v>30</v>
      </c>
      <c r="C3321" s="16" t="s">
        <v>6287</v>
      </c>
      <c r="D3321" s="16" t="s">
        <v>6308</v>
      </c>
      <c r="E3321" s="17" t="s">
        <v>6134</v>
      </c>
      <c r="F3321" s="16" t="n">
        <v>35.57255052</v>
      </c>
      <c r="G3321" s="16" t="n">
        <v>45.39460541</v>
      </c>
      <c r="H3321" s="18" t="n">
        <v>143</v>
      </c>
      <c r="I3321" s="18" t="n">
        <v>858</v>
      </c>
      <c r="J3321" s="19" t="n">
        <v>128</v>
      </c>
      <c r="K3321" s="19"/>
      <c r="L3321" s="19" t="n">
        <v>9</v>
      </c>
      <c r="M3321" s="19"/>
      <c r="N3321" s="19"/>
      <c r="O3321" s="19"/>
      <c r="P3321" s="19"/>
      <c r="Q3321" s="19"/>
      <c r="R3321" s="19"/>
      <c r="S3321" s="19"/>
      <c r="T3321" s="19"/>
      <c r="U3321" s="19"/>
      <c r="V3321" s="19" t="n">
        <v>6</v>
      </c>
      <c r="W3321" s="19"/>
      <c r="X3321" s="19"/>
      <c r="Y3321" s="19"/>
      <c r="Z3321" s="19"/>
      <c r="AA3321" s="19"/>
      <c r="AB3321" s="19"/>
      <c r="AC3321" s="19"/>
      <c r="AD3321" s="19"/>
      <c r="AE3321" s="19"/>
      <c r="AF3321" s="19"/>
      <c r="AG3321" s="19"/>
      <c r="AH3321" s="19" t="n">
        <v>143</v>
      </c>
      <c r="AI3321" s="19"/>
      <c r="AJ3321" s="19"/>
      <c r="AK3321" s="19"/>
      <c r="AL3321" s="19" t="n">
        <v>12</v>
      </c>
      <c r="AM3321" s="19"/>
      <c r="AN3321" s="19"/>
      <c r="AO3321" s="19" t="n">
        <v>54</v>
      </c>
      <c r="AP3321" s="19" t="n">
        <v>57</v>
      </c>
      <c r="AQ3321" s="19" t="n">
        <v>20</v>
      </c>
      <c r="AR3321" s="19"/>
      <c r="AS3321" s="20" t="str">
        <f aca="false">HYPERLINK("http://www.openstreetmap.org/?mlat=35.5726&amp;mlon=45.3946&amp;zoom=12#map=12/35.5726/45.3946","Maplink1")</f>
        <v>Maplink1</v>
      </c>
      <c r="AT3321" s="20" t="str">
        <f aca="false">HYPERLINK("https://www.google.iq/maps/search/+35.5726,45.3946/@35.5726,45.3946,14z?hl=en","Maplink2")</f>
        <v>Maplink2</v>
      </c>
      <c r="AU3321" s="20" t="str">
        <f aca="false">HYPERLINK("http://www.bing.com/maps/?lvl=14&amp;sty=h&amp;cp=35.5726~45.3946&amp;sp=point.35.5726_45.3946","Maplink3")</f>
        <v>Maplink3</v>
      </c>
    </row>
    <row r="3322" customFormat="false" ht="15" hidden="false" customHeight="true" outlineLevel="0" collapsed="false">
      <c r="A3322" s="15" t="n">
        <v>4531</v>
      </c>
      <c r="B3322" s="16" t="s">
        <v>30</v>
      </c>
      <c r="C3322" s="16" t="s">
        <v>6287</v>
      </c>
      <c r="D3322" s="16" t="s">
        <v>6309</v>
      </c>
      <c r="E3322" s="17" t="s">
        <v>6310</v>
      </c>
      <c r="F3322" s="16" t="n">
        <v>35.55345745</v>
      </c>
      <c r="G3322" s="16" t="n">
        <v>45.34445752</v>
      </c>
      <c r="H3322" s="18" t="n">
        <v>249</v>
      </c>
      <c r="I3322" s="18" t="n">
        <v>1494</v>
      </c>
      <c r="J3322" s="19" t="n">
        <v>213</v>
      </c>
      <c r="K3322" s="19"/>
      <c r="L3322" s="19" t="n">
        <v>22</v>
      </c>
      <c r="M3322" s="19"/>
      <c r="N3322" s="19"/>
      <c r="O3322" s="19" t="n">
        <v>8</v>
      </c>
      <c r="P3322" s="19"/>
      <c r="Q3322" s="19"/>
      <c r="R3322" s="19"/>
      <c r="S3322" s="19"/>
      <c r="T3322" s="19"/>
      <c r="U3322" s="19"/>
      <c r="V3322" s="19" t="n">
        <v>6</v>
      </c>
      <c r="W3322" s="19"/>
      <c r="X3322" s="19"/>
      <c r="Y3322" s="19"/>
      <c r="Z3322" s="19"/>
      <c r="AA3322" s="19"/>
      <c r="AB3322" s="19"/>
      <c r="AC3322" s="19"/>
      <c r="AD3322" s="19"/>
      <c r="AE3322" s="19"/>
      <c r="AF3322" s="19"/>
      <c r="AG3322" s="19"/>
      <c r="AH3322" s="19" t="n">
        <v>249</v>
      </c>
      <c r="AI3322" s="19"/>
      <c r="AJ3322" s="19"/>
      <c r="AK3322" s="19"/>
      <c r="AL3322" s="19" t="n">
        <v>68</v>
      </c>
      <c r="AM3322" s="19" t="n">
        <v>25</v>
      </c>
      <c r="AN3322" s="19" t="n">
        <v>44</v>
      </c>
      <c r="AO3322" s="19" t="n">
        <v>67</v>
      </c>
      <c r="AP3322" s="19" t="n">
        <v>29</v>
      </c>
      <c r="AQ3322" s="19" t="n">
        <v>16</v>
      </c>
      <c r="AR3322" s="19"/>
      <c r="AS3322" s="20" t="str">
        <f aca="false">HYPERLINK("http://www.openstreetmap.org/?mlat=35.5535&amp;mlon=45.3445&amp;zoom=12#map=12/35.5535/45.3445","Maplink1")</f>
        <v>Maplink1</v>
      </c>
      <c r="AT3322" s="20" t="str">
        <f aca="false">HYPERLINK("https://www.google.iq/maps/search/+35.5535,45.3445/@35.5535,45.3445,14z?hl=en","Maplink2")</f>
        <v>Maplink2</v>
      </c>
      <c r="AU3322" s="20" t="str">
        <f aca="false">HYPERLINK("http://www.bing.com/maps/?lvl=14&amp;sty=h&amp;cp=35.5535~45.3445&amp;sp=point.35.5535_45.3445","Maplink3")</f>
        <v>Maplink3</v>
      </c>
    </row>
    <row r="3323" customFormat="false" ht="15" hidden="false" customHeight="true" outlineLevel="0" collapsed="false">
      <c r="A3323" s="15" t="n">
        <v>25571</v>
      </c>
      <c r="B3323" s="16" t="s">
        <v>30</v>
      </c>
      <c r="C3323" s="16" t="s">
        <v>6287</v>
      </c>
      <c r="D3323" s="16" t="s">
        <v>6311</v>
      </c>
      <c r="E3323" s="17" t="s">
        <v>3613</v>
      </c>
      <c r="F3323" s="16" t="n">
        <v>35.58383835</v>
      </c>
      <c r="G3323" s="16" t="n">
        <v>45.30741873</v>
      </c>
      <c r="H3323" s="18" t="n">
        <v>83</v>
      </c>
      <c r="I3323" s="18" t="n">
        <v>498</v>
      </c>
      <c r="J3323" s="19" t="n">
        <v>50</v>
      </c>
      <c r="K3323" s="19"/>
      <c r="L3323" s="19" t="n">
        <v>12</v>
      </c>
      <c r="M3323" s="19"/>
      <c r="N3323" s="19"/>
      <c r="O3323" s="19" t="n">
        <v>15</v>
      </c>
      <c r="P3323" s="19"/>
      <c r="Q3323" s="19"/>
      <c r="R3323" s="19"/>
      <c r="S3323" s="19"/>
      <c r="T3323" s="19"/>
      <c r="U3323" s="19"/>
      <c r="V3323" s="19"/>
      <c r="W3323" s="19"/>
      <c r="X3323" s="19" t="n">
        <v>6</v>
      </c>
      <c r="Y3323" s="19"/>
      <c r="Z3323" s="19"/>
      <c r="AA3323" s="19"/>
      <c r="AB3323" s="19"/>
      <c r="AC3323" s="19"/>
      <c r="AD3323" s="19"/>
      <c r="AE3323" s="19"/>
      <c r="AF3323" s="19"/>
      <c r="AG3323" s="19"/>
      <c r="AH3323" s="19" t="n">
        <v>83</v>
      </c>
      <c r="AI3323" s="19"/>
      <c r="AJ3323" s="19"/>
      <c r="AK3323" s="19"/>
      <c r="AL3323" s="19" t="n">
        <v>43</v>
      </c>
      <c r="AM3323" s="19" t="n">
        <v>19</v>
      </c>
      <c r="AN3323" s="19" t="n">
        <v>2</v>
      </c>
      <c r="AO3323" s="19" t="n">
        <v>17</v>
      </c>
      <c r="AP3323" s="19" t="n">
        <v>2</v>
      </c>
      <c r="AQ3323" s="19"/>
      <c r="AR3323" s="19"/>
      <c r="AS3323" s="20" t="str">
        <f aca="false">HYPERLINK("http://www.openstreetmap.org/?mlat=35.5838&amp;mlon=45.3074&amp;zoom=12#map=12/35.5838/45.3074","Maplink1")</f>
        <v>Maplink1</v>
      </c>
      <c r="AT3323" s="20" t="str">
        <f aca="false">HYPERLINK("https://www.google.iq/maps/search/+35.5838,45.3074/@35.5838,45.3074,14z?hl=en","Maplink2")</f>
        <v>Maplink2</v>
      </c>
      <c r="AU3323" s="20" t="str">
        <f aca="false">HYPERLINK("http://www.bing.com/maps/?lvl=14&amp;sty=h&amp;cp=35.5838~45.3074&amp;sp=point.35.5838_45.3074","Maplink3")</f>
        <v>Maplink3</v>
      </c>
    </row>
    <row r="3324" customFormat="false" ht="15" hidden="false" customHeight="true" outlineLevel="0" collapsed="false">
      <c r="A3324" s="15" t="n">
        <v>25077</v>
      </c>
      <c r="B3324" s="16" t="s">
        <v>30</v>
      </c>
      <c r="C3324" s="16" t="s">
        <v>6287</v>
      </c>
      <c r="D3324" s="16" t="s">
        <v>6312</v>
      </c>
      <c r="E3324" s="17" t="s">
        <v>6313</v>
      </c>
      <c r="F3324" s="16" t="n">
        <v>35.59922139</v>
      </c>
      <c r="G3324" s="16" t="n">
        <v>45.37157082</v>
      </c>
      <c r="H3324" s="18" t="n">
        <v>120</v>
      </c>
      <c r="I3324" s="18" t="n">
        <v>720</v>
      </c>
      <c r="J3324" s="19" t="n">
        <v>45</v>
      </c>
      <c r="K3324" s="19"/>
      <c r="L3324" s="19" t="n">
        <v>12</v>
      </c>
      <c r="M3324" s="19"/>
      <c r="N3324" s="19"/>
      <c r="O3324" s="19" t="n">
        <v>26</v>
      </c>
      <c r="P3324" s="19"/>
      <c r="Q3324" s="19"/>
      <c r="R3324" s="19"/>
      <c r="S3324" s="19"/>
      <c r="T3324" s="19"/>
      <c r="U3324" s="19"/>
      <c r="V3324" s="19" t="n">
        <v>37</v>
      </c>
      <c r="W3324" s="19"/>
      <c r="X3324" s="19"/>
      <c r="Y3324" s="19"/>
      <c r="Z3324" s="19"/>
      <c r="AA3324" s="19"/>
      <c r="AB3324" s="19"/>
      <c r="AC3324" s="19"/>
      <c r="AD3324" s="19"/>
      <c r="AE3324" s="19"/>
      <c r="AF3324" s="19" t="n">
        <v>43</v>
      </c>
      <c r="AG3324" s="19"/>
      <c r="AH3324" s="19" t="n">
        <v>77</v>
      </c>
      <c r="AI3324" s="19"/>
      <c r="AJ3324" s="19"/>
      <c r="AK3324" s="19"/>
      <c r="AL3324" s="19" t="n">
        <v>12</v>
      </c>
      <c r="AM3324" s="19" t="n">
        <v>26</v>
      </c>
      <c r="AN3324" s="19" t="n">
        <v>39</v>
      </c>
      <c r="AO3324" s="19" t="n">
        <v>22</v>
      </c>
      <c r="AP3324" s="19" t="n">
        <v>21</v>
      </c>
      <c r="AQ3324" s="19"/>
      <c r="AR3324" s="19"/>
      <c r="AS3324" s="20" t="str">
        <f aca="false">HYPERLINK("http://www.openstreetmap.org/?mlat=35.5992&amp;mlon=45.3716&amp;zoom=12#map=12/35.5992/45.3716","Maplink1")</f>
        <v>Maplink1</v>
      </c>
      <c r="AT3324" s="20" t="str">
        <f aca="false">HYPERLINK("https://www.google.iq/maps/search/+35.5992,45.3716/@35.5992,45.3716,14z?hl=en","Maplink2")</f>
        <v>Maplink2</v>
      </c>
      <c r="AU3324" s="20" t="str">
        <f aca="false">HYPERLINK("http://www.bing.com/maps/?lvl=14&amp;sty=h&amp;cp=35.5992~45.3716&amp;sp=point.35.5992_45.3716","Maplink3")</f>
        <v>Maplink3</v>
      </c>
    </row>
    <row r="3325" customFormat="false" ht="15" hidden="false" customHeight="true" outlineLevel="0" collapsed="false">
      <c r="A3325" s="15" t="n">
        <v>4592</v>
      </c>
      <c r="B3325" s="16" t="s">
        <v>30</v>
      </c>
      <c r="C3325" s="16" t="s">
        <v>6287</v>
      </c>
      <c r="D3325" s="16" t="s">
        <v>6314</v>
      </c>
      <c r="E3325" s="17" t="s">
        <v>6315</v>
      </c>
      <c r="F3325" s="16" t="n">
        <v>35.57935205</v>
      </c>
      <c r="G3325" s="16" t="n">
        <v>45.2683964</v>
      </c>
      <c r="H3325" s="18" t="n">
        <v>48</v>
      </c>
      <c r="I3325" s="18" t="n">
        <v>288</v>
      </c>
      <c r="J3325" s="19" t="n">
        <v>35</v>
      </c>
      <c r="K3325" s="19" t="n">
        <v>4</v>
      </c>
      <c r="L3325" s="19" t="n">
        <v>4</v>
      </c>
      <c r="M3325" s="19"/>
      <c r="N3325" s="19"/>
      <c r="O3325" s="19" t="n">
        <v>1</v>
      </c>
      <c r="P3325" s="19"/>
      <c r="Q3325" s="19"/>
      <c r="R3325" s="19"/>
      <c r="S3325" s="19"/>
      <c r="T3325" s="19"/>
      <c r="U3325" s="19"/>
      <c r="V3325" s="19"/>
      <c r="W3325" s="19"/>
      <c r="X3325" s="19" t="n">
        <v>4</v>
      </c>
      <c r="Y3325" s="19"/>
      <c r="Z3325" s="19"/>
      <c r="AA3325" s="19"/>
      <c r="AB3325" s="19"/>
      <c r="AC3325" s="19"/>
      <c r="AD3325" s="19"/>
      <c r="AE3325" s="19"/>
      <c r="AF3325" s="19"/>
      <c r="AG3325" s="19"/>
      <c r="AH3325" s="19" t="n">
        <v>48</v>
      </c>
      <c r="AI3325" s="19"/>
      <c r="AJ3325" s="19"/>
      <c r="AK3325" s="19"/>
      <c r="AL3325" s="19" t="n">
        <v>18</v>
      </c>
      <c r="AM3325" s="19" t="n">
        <v>12</v>
      </c>
      <c r="AN3325" s="19"/>
      <c r="AO3325" s="19" t="n">
        <v>6</v>
      </c>
      <c r="AP3325" s="19" t="n">
        <v>12</v>
      </c>
      <c r="AQ3325" s="19"/>
      <c r="AR3325" s="19"/>
      <c r="AS3325" s="20" t="str">
        <f aca="false">HYPERLINK("http://www.openstreetmap.org/?mlat=35.5794&amp;mlon=45.2684&amp;zoom=12#map=12/35.5794/45.2684","Maplink1")</f>
        <v>Maplink1</v>
      </c>
      <c r="AT3325" s="20" t="str">
        <f aca="false">HYPERLINK("https://www.google.iq/maps/search/+35.5794,45.2684/@35.5794,45.2684,14z?hl=en","Maplink2")</f>
        <v>Maplink2</v>
      </c>
      <c r="AU3325" s="20" t="str">
        <f aca="false">HYPERLINK("http://www.bing.com/maps/?lvl=14&amp;sty=h&amp;cp=35.5794~45.2684&amp;sp=point.35.5794_45.2684","Maplink3")</f>
        <v>Maplink3</v>
      </c>
    </row>
    <row r="3326" customFormat="false" ht="15" hidden="false" customHeight="true" outlineLevel="0" collapsed="false">
      <c r="A3326" s="15" t="n">
        <v>24900</v>
      </c>
      <c r="B3326" s="16" t="s">
        <v>30</v>
      </c>
      <c r="C3326" s="16" t="s">
        <v>6287</v>
      </c>
      <c r="D3326" s="16" t="s">
        <v>6316</v>
      </c>
      <c r="E3326" s="17" t="s">
        <v>6317</v>
      </c>
      <c r="F3326" s="16" t="n">
        <v>35.5606205</v>
      </c>
      <c r="G3326" s="16" t="n">
        <v>45.35238083</v>
      </c>
      <c r="H3326" s="18" t="n">
        <v>827</v>
      </c>
      <c r="I3326" s="18" t="n">
        <v>4962</v>
      </c>
      <c r="J3326" s="19" t="n">
        <v>530</v>
      </c>
      <c r="K3326" s="19"/>
      <c r="L3326" s="19" t="n">
        <v>169</v>
      </c>
      <c r="M3326" s="19"/>
      <c r="N3326" s="19"/>
      <c r="O3326" s="19" t="n">
        <v>36</v>
      </c>
      <c r="P3326" s="19"/>
      <c r="Q3326" s="19"/>
      <c r="R3326" s="19"/>
      <c r="S3326" s="19"/>
      <c r="T3326" s="19"/>
      <c r="U3326" s="19"/>
      <c r="V3326" s="19" t="n">
        <v>73</v>
      </c>
      <c r="W3326" s="19"/>
      <c r="X3326" s="19" t="n">
        <v>19</v>
      </c>
      <c r="Y3326" s="19"/>
      <c r="Z3326" s="19"/>
      <c r="AA3326" s="19"/>
      <c r="AB3326" s="19"/>
      <c r="AC3326" s="19"/>
      <c r="AD3326" s="19"/>
      <c r="AE3326" s="19"/>
      <c r="AF3326" s="19"/>
      <c r="AG3326" s="19"/>
      <c r="AH3326" s="19" t="n">
        <v>827</v>
      </c>
      <c r="AI3326" s="19"/>
      <c r="AJ3326" s="19"/>
      <c r="AK3326" s="19"/>
      <c r="AL3326" s="19" t="n">
        <v>218</v>
      </c>
      <c r="AM3326" s="19" t="n">
        <v>69</v>
      </c>
      <c r="AN3326" s="19" t="n">
        <v>191</v>
      </c>
      <c r="AO3326" s="19" t="n">
        <v>303</v>
      </c>
      <c r="AP3326" s="19" t="n">
        <v>28</v>
      </c>
      <c r="AQ3326" s="19" t="n">
        <v>16</v>
      </c>
      <c r="AR3326" s="19" t="n">
        <v>2</v>
      </c>
      <c r="AS3326" s="20" t="str">
        <f aca="false">HYPERLINK("http://www.openstreetmap.org/?mlat=35.5606&amp;mlon=45.3524&amp;zoom=12#map=12/35.5606/45.3524","Maplink1")</f>
        <v>Maplink1</v>
      </c>
      <c r="AT3326" s="20" t="str">
        <f aca="false">HYPERLINK("https://www.google.iq/maps/search/+35.5606,45.3524/@35.5606,45.3524,14z?hl=en","Maplink2")</f>
        <v>Maplink2</v>
      </c>
      <c r="AU3326" s="20" t="str">
        <f aca="false">HYPERLINK("http://www.bing.com/maps/?lvl=14&amp;sty=h&amp;cp=35.5606~45.3524&amp;sp=point.35.5606_45.3524","Maplink3")</f>
        <v>Maplink3</v>
      </c>
    </row>
    <row r="3327" customFormat="false" ht="15" hidden="false" customHeight="true" outlineLevel="0" collapsed="false">
      <c r="A3327" s="15" t="n">
        <v>4527</v>
      </c>
      <c r="B3327" s="16" t="s">
        <v>30</v>
      </c>
      <c r="C3327" s="16" t="s">
        <v>6287</v>
      </c>
      <c r="D3327" s="16" t="s">
        <v>6318</v>
      </c>
      <c r="E3327" s="17" t="s">
        <v>6319</v>
      </c>
      <c r="F3327" s="16" t="n">
        <v>35.56550414</v>
      </c>
      <c r="G3327" s="16" t="n">
        <v>45.41785295</v>
      </c>
      <c r="H3327" s="18" t="n">
        <v>54</v>
      </c>
      <c r="I3327" s="18" t="n">
        <v>324</v>
      </c>
      <c r="J3327" s="19" t="n">
        <v>31</v>
      </c>
      <c r="K3327" s="19"/>
      <c r="L3327" s="19" t="n">
        <v>19</v>
      </c>
      <c r="M3327" s="19"/>
      <c r="N3327" s="19"/>
      <c r="O3327" s="19" t="n">
        <v>2</v>
      </c>
      <c r="P3327" s="19"/>
      <c r="Q3327" s="19"/>
      <c r="R3327" s="19"/>
      <c r="S3327" s="19"/>
      <c r="T3327" s="19"/>
      <c r="U3327" s="19"/>
      <c r="V3327" s="19"/>
      <c r="W3327" s="19"/>
      <c r="X3327" s="19" t="n">
        <v>2</v>
      </c>
      <c r="Y3327" s="19"/>
      <c r="Z3327" s="19"/>
      <c r="AA3327" s="19"/>
      <c r="AB3327" s="19"/>
      <c r="AC3327" s="19"/>
      <c r="AD3327" s="19"/>
      <c r="AE3327" s="19"/>
      <c r="AF3327" s="19"/>
      <c r="AG3327" s="19"/>
      <c r="AH3327" s="19" t="n">
        <v>54</v>
      </c>
      <c r="AI3327" s="19"/>
      <c r="AJ3327" s="19"/>
      <c r="AK3327" s="19"/>
      <c r="AL3327" s="19" t="n">
        <v>11</v>
      </c>
      <c r="AM3327" s="19" t="n">
        <v>10</v>
      </c>
      <c r="AN3327" s="19" t="n">
        <v>6</v>
      </c>
      <c r="AO3327" s="19" t="n">
        <v>10</v>
      </c>
      <c r="AP3327" s="19" t="n">
        <v>10</v>
      </c>
      <c r="AQ3327" s="19" t="n">
        <v>7</v>
      </c>
      <c r="AR3327" s="19"/>
      <c r="AS3327" s="20" t="str">
        <f aca="false">HYPERLINK("http://www.openstreetmap.org/?mlat=35.5655&amp;mlon=45.4179&amp;zoom=12#map=12/35.5655/45.4179","Maplink1")</f>
        <v>Maplink1</v>
      </c>
      <c r="AT3327" s="20" t="str">
        <f aca="false">HYPERLINK("https://www.google.iq/maps/search/+35.5655,45.4179/@35.5655,45.4179,14z?hl=en","Maplink2")</f>
        <v>Maplink2</v>
      </c>
      <c r="AU3327" s="20" t="str">
        <f aca="false">HYPERLINK("http://www.bing.com/maps/?lvl=14&amp;sty=h&amp;cp=35.5655~45.4179&amp;sp=point.35.5655_45.4179","Maplink3")</f>
        <v>Maplink3</v>
      </c>
    </row>
    <row r="3328" customFormat="false" ht="15" hidden="false" customHeight="true" outlineLevel="0" collapsed="false">
      <c r="A3328" s="15" t="n">
        <v>5744</v>
      </c>
      <c r="B3328" s="16" t="s">
        <v>30</v>
      </c>
      <c r="C3328" s="16" t="s">
        <v>6287</v>
      </c>
      <c r="D3328" s="16" t="s">
        <v>6320</v>
      </c>
      <c r="E3328" s="17" t="s">
        <v>6321</v>
      </c>
      <c r="F3328" s="16" t="n">
        <v>35.44971953</v>
      </c>
      <c r="G3328" s="16" t="n">
        <v>45.44695974</v>
      </c>
      <c r="H3328" s="18" t="n">
        <v>71</v>
      </c>
      <c r="I3328" s="18" t="n">
        <v>426</v>
      </c>
      <c r="J3328" s="19" t="n">
        <v>4</v>
      </c>
      <c r="K3328" s="19" t="n">
        <v>5</v>
      </c>
      <c r="L3328" s="19" t="n">
        <v>4</v>
      </c>
      <c r="M3328" s="19"/>
      <c r="N3328" s="19"/>
      <c r="O3328" s="19" t="n">
        <v>41</v>
      </c>
      <c r="P3328" s="19"/>
      <c r="Q3328" s="19"/>
      <c r="R3328" s="19"/>
      <c r="S3328" s="19"/>
      <c r="T3328" s="19"/>
      <c r="U3328" s="19"/>
      <c r="V3328" s="19" t="n">
        <v>2</v>
      </c>
      <c r="W3328" s="19"/>
      <c r="X3328" s="19" t="n">
        <v>15</v>
      </c>
      <c r="Y3328" s="19"/>
      <c r="Z3328" s="19"/>
      <c r="AA3328" s="19"/>
      <c r="AB3328" s="19"/>
      <c r="AC3328" s="19"/>
      <c r="AD3328" s="19"/>
      <c r="AE3328" s="19"/>
      <c r="AF3328" s="19"/>
      <c r="AG3328" s="19"/>
      <c r="AH3328" s="19" t="n">
        <v>71</v>
      </c>
      <c r="AI3328" s="19"/>
      <c r="AJ3328" s="19"/>
      <c r="AK3328" s="19"/>
      <c r="AL3328" s="19" t="n">
        <v>9</v>
      </c>
      <c r="AM3328" s="19" t="n">
        <v>26</v>
      </c>
      <c r="AN3328" s="19" t="n">
        <v>1</v>
      </c>
      <c r="AO3328" s="19" t="n">
        <v>16</v>
      </c>
      <c r="AP3328" s="19" t="n">
        <v>15</v>
      </c>
      <c r="AQ3328" s="19" t="n">
        <v>4</v>
      </c>
      <c r="AR3328" s="19"/>
      <c r="AS3328" s="20" t="str">
        <f aca="false">HYPERLINK("http://www.openstreetmap.org/?mlat=35.4497&amp;mlon=45.447&amp;zoom=12#map=12/35.4497/45.447","Maplink1")</f>
        <v>Maplink1</v>
      </c>
      <c r="AT3328" s="20" t="str">
        <f aca="false">HYPERLINK("https://www.google.iq/maps/search/+35.4497,45.447/@35.4497,45.447,14z?hl=en","Maplink2")</f>
        <v>Maplink2</v>
      </c>
      <c r="AU3328" s="20" t="str">
        <f aca="false">HYPERLINK("http://www.bing.com/maps/?lvl=14&amp;sty=h&amp;cp=35.4497~45.447&amp;sp=point.35.4497_45.447","Maplink3")</f>
        <v>Maplink3</v>
      </c>
    </row>
    <row r="3329" customFormat="false" ht="15" hidden="false" customHeight="true" outlineLevel="0" collapsed="false">
      <c r="A3329" s="15" t="n">
        <v>25300</v>
      </c>
      <c r="B3329" s="16" t="s">
        <v>30</v>
      </c>
      <c r="C3329" s="16" t="s">
        <v>6287</v>
      </c>
      <c r="D3329" s="16" t="s">
        <v>6322</v>
      </c>
      <c r="E3329" s="17" t="s">
        <v>6323</v>
      </c>
      <c r="F3329" s="16" t="n">
        <v>35.65004991</v>
      </c>
      <c r="G3329" s="16" t="n">
        <v>45.0656717</v>
      </c>
      <c r="H3329" s="18" t="n">
        <v>52</v>
      </c>
      <c r="I3329" s="18" t="n">
        <v>312</v>
      </c>
      <c r="J3329" s="19" t="n">
        <v>40</v>
      </c>
      <c r="K3329" s="19"/>
      <c r="L3329" s="19" t="n">
        <v>8</v>
      </c>
      <c r="M3329" s="19"/>
      <c r="N3329" s="19"/>
      <c r="O3329" s="19"/>
      <c r="P3329" s="19"/>
      <c r="Q3329" s="19"/>
      <c r="R3329" s="19"/>
      <c r="S3329" s="19"/>
      <c r="T3329" s="19"/>
      <c r="U3329" s="19"/>
      <c r="V3329" s="19"/>
      <c r="W3329" s="19"/>
      <c r="X3329" s="19" t="n">
        <v>4</v>
      </c>
      <c r="Y3329" s="19"/>
      <c r="Z3329" s="19"/>
      <c r="AA3329" s="19"/>
      <c r="AB3329" s="19"/>
      <c r="AC3329" s="19"/>
      <c r="AD3329" s="19"/>
      <c r="AE3329" s="19"/>
      <c r="AF3329" s="19"/>
      <c r="AG3329" s="19"/>
      <c r="AH3329" s="19" t="n">
        <v>52</v>
      </c>
      <c r="AI3329" s="19"/>
      <c r="AJ3329" s="19"/>
      <c r="AK3329" s="19"/>
      <c r="AL3329" s="19" t="n">
        <v>14</v>
      </c>
      <c r="AM3329" s="19" t="n">
        <v>15</v>
      </c>
      <c r="AN3329" s="19"/>
      <c r="AO3329" s="19" t="n">
        <v>19</v>
      </c>
      <c r="AP3329" s="19" t="n">
        <v>4</v>
      </c>
      <c r="AQ3329" s="19"/>
      <c r="AR3329" s="19"/>
      <c r="AS3329" s="20" t="str">
        <f aca="false">HYPERLINK("http://www.openstreetmap.org/?mlat=35.65&amp;mlon=45.0657&amp;zoom=12#map=12/35.65/45.0657","Maplink1")</f>
        <v>Maplink1</v>
      </c>
      <c r="AT3329" s="20" t="str">
        <f aca="false">HYPERLINK("https://www.google.iq/maps/search/+35.65,45.0657/@35.65,45.0657,14z?hl=en","Maplink2")</f>
        <v>Maplink2</v>
      </c>
      <c r="AU3329" s="20" t="str">
        <f aca="false">HYPERLINK("http://www.bing.com/maps/?lvl=14&amp;sty=h&amp;cp=35.65~45.0657&amp;sp=point.35.65_45.0657","Maplink3")</f>
        <v>Maplink3</v>
      </c>
    </row>
    <row r="3330" customFormat="false" ht="15" hidden="false" customHeight="true" outlineLevel="0" collapsed="false">
      <c r="A3330" s="15" t="n">
        <v>25299</v>
      </c>
      <c r="B3330" s="16" t="s">
        <v>30</v>
      </c>
      <c r="C3330" s="16" t="s">
        <v>6287</v>
      </c>
      <c r="D3330" s="16" t="s">
        <v>6324</v>
      </c>
      <c r="E3330" s="17" t="s">
        <v>6325</v>
      </c>
      <c r="F3330" s="16" t="n">
        <v>35.6454855</v>
      </c>
      <c r="G3330" s="16" t="n">
        <v>45.064014</v>
      </c>
      <c r="H3330" s="18" t="n">
        <v>71</v>
      </c>
      <c r="I3330" s="18" t="n">
        <v>426</v>
      </c>
      <c r="J3330" s="19" t="n">
        <v>38</v>
      </c>
      <c r="K3330" s="19"/>
      <c r="L3330" s="19" t="n">
        <v>23</v>
      </c>
      <c r="M3330" s="19"/>
      <c r="N3330" s="19"/>
      <c r="O3330" s="19"/>
      <c r="P3330" s="19"/>
      <c r="Q3330" s="19"/>
      <c r="R3330" s="19"/>
      <c r="S3330" s="19"/>
      <c r="T3330" s="19"/>
      <c r="U3330" s="19"/>
      <c r="V3330" s="19" t="n">
        <v>10</v>
      </c>
      <c r="W3330" s="19"/>
      <c r="X3330" s="19"/>
      <c r="Y3330" s="19"/>
      <c r="Z3330" s="19"/>
      <c r="AA3330" s="19"/>
      <c r="AB3330" s="19"/>
      <c r="AC3330" s="19"/>
      <c r="AD3330" s="19"/>
      <c r="AE3330" s="19"/>
      <c r="AF3330" s="19"/>
      <c r="AG3330" s="19"/>
      <c r="AH3330" s="19" t="n">
        <v>71</v>
      </c>
      <c r="AI3330" s="19"/>
      <c r="AJ3330" s="19"/>
      <c r="AK3330" s="19"/>
      <c r="AL3330" s="19" t="n">
        <v>14</v>
      </c>
      <c r="AM3330" s="19" t="n">
        <v>8</v>
      </c>
      <c r="AN3330" s="19" t="n">
        <v>20</v>
      </c>
      <c r="AO3330" s="19" t="n">
        <v>12</v>
      </c>
      <c r="AP3330" s="19" t="n">
        <v>16</v>
      </c>
      <c r="AQ3330" s="19" t="n">
        <v>1</v>
      </c>
      <c r="AR3330" s="19"/>
      <c r="AS3330" s="20" t="str">
        <f aca="false">HYPERLINK("http://www.openstreetmap.org/?mlat=35.6455&amp;mlon=45.064&amp;zoom=12#map=12/35.6455/45.064","Maplink1")</f>
        <v>Maplink1</v>
      </c>
      <c r="AT3330" s="20" t="str">
        <f aca="false">HYPERLINK("https://www.google.iq/maps/search/+35.6455,45.064/@35.6455,45.064,14z?hl=en","Maplink2")</f>
        <v>Maplink2</v>
      </c>
      <c r="AU3330" s="20" t="str">
        <f aca="false">HYPERLINK("http://www.bing.com/maps/?lvl=14&amp;sty=h&amp;cp=35.6455~45.064&amp;sp=point.35.6455_45.064","Maplink3")</f>
        <v>Maplink3</v>
      </c>
    </row>
    <row r="3331" customFormat="false" ht="15" hidden="false" customHeight="true" outlineLevel="0" collapsed="false">
      <c r="A3331" s="15" t="n">
        <v>4464</v>
      </c>
      <c r="B3331" s="16" t="s">
        <v>30</v>
      </c>
      <c r="C3331" s="16" t="s">
        <v>6287</v>
      </c>
      <c r="D3331" s="16" t="s">
        <v>6326</v>
      </c>
      <c r="E3331" s="17" t="s">
        <v>6327</v>
      </c>
      <c r="F3331" s="16" t="n">
        <v>35.64495795</v>
      </c>
      <c r="G3331" s="16" t="n">
        <v>45.03817288</v>
      </c>
      <c r="H3331" s="18" t="n">
        <v>47</v>
      </c>
      <c r="I3331" s="18" t="n">
        <v>282</v>
      </c>
      <c r="J3331" s="19" t="n">
        <v>35</v>
      </c>
      <c r="K3331" s="19" t="n">
        <v>5</v>
      </c>
      <c r="L3331" s="19" t="n">
        <v>1</v>
      </c>
      <c r="M3331" s="19"/>
      <c r="N3331" s="19"/>
      <c r="O3331" s="19"/>
      <c r="P3331" s="19"/>
      <c r="Q3331" s="19"/>
      <c r="R3331" s="19"/>
      <c r="S3331" s="19"/>
      <c r="T3331" s="19"/>
      <c r="U3331" s="19"/>
      <c r="V3331" s="19" t="n">
        <v>6</v>
      </c>
      <c r="W3331" s="19"/>
      <c r="X3331" s="19"/>
      <c r="Y3331" s="19"/>
      <c r="Z3331" s="19"/>
      <c r="AA3331" s="19"/>
      <c r="AB3331" s="19"/>
      <c r="AC3331" s="19"/>
      <c r="AD3331" s="19"/>
      <c r="AE3331" s="19"/>
      <c r="AF3331" s="19"/>
      <c r="AG3331" s="19"/>
      <c r="AH3331" s="19" t="n">
        <v>47</v>
      </c>
      <c r="AI3331" s="19"/>
      <c r="AJ3331" s="19"/>
      <c r="AK3331" s="19"/>
      <c r="AL3331" s="19" t="n">
        <v>12</v>
      </c>
      <c r="AM3331" s="19" t="n">
        <v>19</v>
      </c>
      <c r="AN3331" s="19" t="n">
        <v>6</v>
      </c>
      <c r="AO3331" s="19"/>
      <c r="AP3331" s="19" t="n">
        <v>10</v>
      </c>
      <c r="AQ3331" s="19"/>
      <c r="AR3331" s="19"/>
      <c r="AS3331" s="20" t="str">
        <f aca="false">HYPERLINK("http://www.openstreetmap.org/?mlat=35.645&amp;mlon=45.0382&amp;zoom=12#map=12/35.645/45.0382","Maplink1")</f>
        <v>Maplink1</v>
      </c>
      <c r="AT3331" s="20" t="str">
        <f aca="false">HYPERLINK("https://www.google.iq/maps/search/+35.645,45.0382/@35.645,45.0382,14z?hl=en","Maplink2")</f>
        <v>Maplink2</v>
      </c>
      <c r="AU3331" s="20" t="str">
        <f aca="false">HYPERLINK("http://www.bing.com/maps/?lvl=14&amp;sty=h&amp;cp=35.645~45.0382&amp;sp=point.35.645_45.0382","Maplink3")</f>
        <v>Maplink3</v>
      </c>
    </row>
    <row r="3332" customFormat="false" ht="15" hidden="false" customHeight="true" outlineLevel="0" collapsed="false">
      <c r="A3332" s="15" t="n">
        <v>6143</v>
      </c>
      <c r="B3332" s="16" t="s">
        <v>30</v>
      </c>
      <c r="C3332" s="16" t="s">
        <v>6287</v>
      </c>
      <c r="D3332" s="16" t="s">
        <v>6328</v>
      </c>
      <c r="E3332" s="17" t="s">
        <v>6329</v>
      </c>
      <c r="F3332" s="16" t="n">
        <v>35.651219</v>
      </c>
      <c r="G3332" s="16" t="n">
        <v>45.0828519</v>
      </c>
      <c r="H3332" s="18" t="n">
        <v>2</v>
      </c>
      <c r="I3332" s="18" t="n">
        <v>12</v>
      </c>
      <c r="J3332" s="19"/>
      <c r="K3332" s="19"/>
      <c r="L3332" s="19"/>
      <c r="M3332" s="19"/>
      <c r="N3332" s="19"/>
      <c r="O3332" s="19"/>
      <c r="P3332" s="19"/>
      <c r="Q3332" s="19"/>
      <c r="R3332" s="19"/>
      <c r="S3332" s="19"/>
      <c r="T3332" s="19"/>
      <c r="U3332" s="19"/>
      <c r="V3332" s="19"/>
      <c r="W3332" s="19"/>
      <c r="X3332" s="19" t="n">
        <v>2</v>
      </c>
      <c r="Y3332" s="19"/>
      <c r="Z3332" s="19"/>
      <c r="AA3332" s="19"/>
      <c r="AB3332" s="19"/>
      <c r="AC3332" s="19"/>
      <c r="AD3332" s="19"/>
      <c r="AE3332" s="19"/>
      <c r="AF3332" s="19"/>
      <c r="AG3332" s="19"/>
      <c r="AH3332" s="19" t="n">
        <v>2</v>
      </c>
      <c r="AI3332" s="19"/>
      <c r="AJ3332" s="19"/>
      <c r="AK3332" s="19"/>
      <c r="AL3332" s="19"/>
      <c r="AM3332" s="19" t="n">
        <v>2</v>
      </c>
      <c r="AN3332" s="19"/>
      <c r="AO3332" s="19"/>
      <c r="AP3332" s="19"/>
      <c r="AQ3332" s="19"/>
      <c r="AR3332" s="19"/>
      <c r="AS3332" s="20" t="str">
        <f aca="false">HYPERLINK("http://www.openstreetmap.org/?mlat=35.6512&amp;mlon=45.0829&amp;zoom=12#map=12/35.6512/45.0829","Maplink1")</f>
        <v>Maplink1</v>
      </c>
      <c r="AT3332" s="20" t="str">
        <f aca="false">HYPERLINK("https://www.google.iq/maps/search/+35.6512,45.0829/@35.6512,45.0829,14z?hl=en","Maplink2")</f>
        <v>Maplink2</v>
      </c>
      <c r="AU3332" s="20" t="str">
        <f aca="false">HYPERLINK("http://www.bing.com/maps/?lvl=14&amp;sty=h&amp;cp=35.6512~45.0829&amp;sp=point.35.6512_45.0829","Maplink3")</f>
        <v>Maplink3</v>
      </c>
    </row>
    <row r="3333" customFormat="false" ht="15" hidden="false" customHeight="true" outlineLevel="0" collapsed="false">
      <c r="A3333" s="15" t="n">
        <v>23598</v>
      </c>
      <c r="B3333" s="16" t="s">
        <v>30</v>
      </c>
      <c r="C3333" s="16" t="s">
        <v>6287</v>
      </c>
      <c r="D3333" s="16" t="s">
        <v>6330</v>
      </c>
      <c r="E3333" s="17" t="s">
        <v>6331</v>
      </c>
      <c r="F3333" s="16" t="n">
        <v>35.65300284</v>
      </c>
      <c r="G3333" s="16" t="n">
        <v>45.06697649</v>
      </c>
      <c r="H3333" s="18" t="n">
        <v>52</v>
      </c>
      <c r="I3333" s="18" t="n">
        <v>312</v>
      </c>
      <c r="J3333" s="19" t="n">
        <v>45</v>
      </c>
      <c r="K3333" s="19"/>
      <c r="L3333" s="19" t="n">
        <v>7</v>
      </c>
      <c r="M3333" s="19"/>
      <c r="N3333" s="19"/>
      <c r="O3333" s="19"/>
      <c r="P3333" s="19"/>
      <c r="Q3333" s="19"/>
      <c r="R3333" s="19"/>
      <c r="S3333" s="19"/>
      <c r="T3333" s="19"/>
      <c r="U3333" s="19"/>
      <c r="V3333" s="19"/>
      <c r="W3333" s="19"/>
      <c r="X3333" s="19"/>
      <c r="Y3333" s="19"/>
      <c r="Z3333" s="19"/>
      <c r="AA3333" s="19"/>
      <c r="AB3333" s="19"/>
      <c r="AC3333" s="19"/>
      <c r="AD3333" s="19"/>
      <c r="AE3333" s="19"/>
      <c r="AF3333" s="19"/>
      <c r="AG3333" s="19"/>
      <c r="AH3333" s="19" t="n">
        <v>52</v>
      </c>
      <c r="AI3333" s="19"/>
      <c r="AJ3333" s="19"/>
      <c r="AK3333" s="19"/>
      <c r="AL3333" s="19" t="n">
        <v>18</v>
      </c>
      <c r="AM3333" s="19" t="n">
        <v>14</v>
      </c>
      <c r="AN3333" s="19"/>
      <c r="AO3333" s="19" t="n">
        <v>14</v>
      </c>
      <c r="AP3333" s="19" t="n">
        <v>6</v>
      </c>
      <c r="AQ3333" s="19"/>
      <c r="AR3333" s="19"/>
      <c r="AS3333" s="20" t="str">
        <f aca="false">HYPERLINK("http://www.openstreetmap.org/?mlat=35.653&amp;mlon=45.067&amp;zoom=12#map=12/35.653/45.067","Maplink1")</f>
        <v>Maplink1</v>
      </c>
      <c r="AT3333" s="20" t="str">
        <f aca="false">HYPERLINK("https://www.google.iq/maps/search/+35.653,45.067/@35.653,45.067,14z?hl=en","Maplink2")</f>
        <v>Maplink2</v>
      </c>
      <c r="AU3333" s="20" t="str">
        <f aca="false">HYPERLINK("http://www.bing.com/maps/?lvl=14&amp;sty=h&amp;cp=35.653~45.067&amp;sp=point.35.653_45.067","Maplink3")</f>
        <v>Maplink3</v>
      </c>
    </row>
    <row r="3334" customFormat="false" ht="15" hidden="false" customHeight="true" outlineLevel="0" collapsed="false">
      <c r="A3334" s="15" t="n">
        <v>5806</v>
      </c>
      <c r="B3334" s="16" t="s">
        <v>30</v>
      </c>
      <c r="C3334" s="16" t="s">
        <v>6287</v>
      </c>
      <c r="D3334" s="16" t="s">
        <v>6332</v>
      </c>
      <c r="E3334" s="17" t="s">
        <v>6333</v>
      </c>
      <c r="F3334" s="16" t="n">
        <v>35.62083375</v>
      </c>
      <c r="G3334" s="16" t="n">
        <v>45.0963078</v>
      </c>
      <c r="H3334" s="18" t="n">
        <v>37</v>
      </c>
      <c r="I3334" s="18" t="n">
        <v>222</v>
      </c>
      <c r="J3334" s="19" t="n">
        <v>25</v>
      </c>
      <c r="K3334" s="19"/>
      <c r="L3334" s="19"/>
      <c r="M3334" s="19"/>
      <c r="N3334" s="19"/>
      <c r="O3334" s="19" t="n">
        <v>3</v>
      </c>
      <c r="P3334" s="19"/>
      <c r="Q3334" s="19"/>
      <c r="R3334" s="19"/>
      <c r="S3334" s="19"/>
      <c r="T3334" s="19"/>
      <c r="U3334" s="19"/>
      <c r="V3334" s="19" t="n">
        <v>3</v>
      </c>
      <c r="W3334" s="19"/>
      <c r="X3334" s="19" t="n">
        <v>6</v>
      </c>
      <c r="Y3334" s="19"/>
      <c r="Z3334" s="19"/>
      <c r="AA3334" s="19"/>
      <c r="AB3334" s="19"/>
      <c r="AC3334" s="19"/>
      <c r="AD3334" s="19"/>
      <c r="AE3334" s="19"/>
      <c r="AF3334" s="19"/>
      <c r="AG3334" s="19"/>
      <c r="AH3334" s="19" t="n">
        <v>37</v>
      </c>
      <c r="AI3334" s="19"/>
      <c r="AJ3334" s="19"/>
      <c r="AK3334" s="19"/>
      <c r="AL3334" s="19" t="n">
        <v>12</v>
      </c>
      <c r="AM3334" s="19" t="n">
        <v>3</v>
      </c>
      <c r="AN3334" s="19" t="n">
        <v>3</v>
      </c>
      <c r="AO3334" s="19" t="n">
        <v>9</v>
      </c>
      <c r="AP3334" s="19" t="n">
        <v>10</v>
      </c>
      <c r="AQ3334" s="19"/>
      <c r="AR3334" s="19"/>
      <c r="AS3334" s="20" t="str">
        <f aca="false">HYPERLINK("http://www.openstreetmap.org/?mlat=35.6208&amp;mlon=45.0963&amp;zoom=12#map=12/35.6208/45.0963","Maplink1")</f>
        <v>Maplink1</v>
      </c>
      <c r="AT3334" s="20" t="str">
        <f aca="false">HYPERLINK("https://www.google.iq/maps/search/+35.6208,45.0963/@35.6208,45.0963,14z?hl=en","Maplink2")</f>
        <v>Maplink2</v>
      </c>
      <c r="AU3334" s="20" t="str">
        <f aca="false">HYPERLINK("http://www.bing.com/maps/?lvl=14&amp;sty=h&amp;cp=35.6208~45.0963&amp;sp=point.35.6208_45.0963","Maplink3")</f>
        <v>Maplink3</v>
      </c>
    </row>
    <row r="3335" customFormat="false" ht="15" hidden="false" customHeight="true" outlineLevel="0" collapsed="false">
      <c r="A3335" s="15" t="n">
        <v>24102</v>
      </c>
      <c r="B3335" s="16" t="s">
        <v>30</v>
      </c>
      <c r="C3335" s="16" t="s">
        <v>6287</v>
      </c>
      <c r="D3335" s="16" t="s">
        <v>6334</v>
      </c>
      <c r="E3335" s="17" t="s">
        <v>6335</v>
      </c>
      <c r="F3335" s="16" t="n">
        <v>35.5940532</v>
      </c>
      <c r="G3335" s="16" t="n">
        <v>45.3429455</v>
      </c>
      <c r="H3335" s="18" t="n">
        <v>218</v>
      </c>
      <c r="I3335" s="18" t="n">
        <v>1308</v>
      </c>
      <c r="J3335" s="19" t="n">
        <v>208</v>
      </c>
      <c r="K3335" s="19" t="n">
        <v>4</v>
      </c>
      <c r="L3335" s="19" t="n">
        <v>4</v>
      </c>
      <c r="M3335" s="19"/>
      <c r="N3335" s="19"/>
      <c r="O3335" s="19"/>
      <c r="P3335" s="19"/>
      <c r="Q3335" s="19"/>
      <c r="R3335" s="19"/>
      <c r="S3335" s="19"/>
      <c r="T3335" s="19"/>
      <c r="U3335" s="19"/>
      <c r="V3335" s="19"/>
      <c r="W3335" s="19"/>
      <c r="X3335" s="19" t="n">
        <v>2</v>
      </c>
      <c r="Y3335" s="19"/>
      <c r="Z3335" s="19"/>
      <c r="AA3335" s="19"/>
      <c r="AB3335" s="19"/>
      <c r="AC3335" s="19"/>
      <c r="AD3335" s="19"/>
      <c r="AE3335" s="19"/>
      <c r="AF3335" s="19"/>
      <c r="AG3335" s="19"/>
      <c r="AH3335" s="19" t="n">
        <v>218</v>
      </c>
      <c r="AI3335" s="19"/>
      <c r="AJ3335" s="19"/>
      <c r="AK3335" s="19"/>
      <c r="AL3335" s="19" t="n">
        <v>128</v>
      </c>
      <c r="AM3335" s="19" t="n">
        <v>4</v>
      </c>
      <c r="AN3335" s="19"/>
      <c r="AO3335" s="19" t="n">
        <v>55</v>
      </c>
      <c r="AP3335" s="19" t="n">
        <v>31</v>
      </c>
      <c r="AQ3335" s="19"/>
      <c r="AR3335" s="19"/>
      <c r="AS3335" s="20" t="str">
        <f aca="false">HYPERLINK("http://www.openstreetmap.org/?mlat=35.5941&amp;mlon=45.3429&amp;zoom=12#map=12/35.5941/45.3429","Maplink1")</f>
        <v>Maplink1</v>
      </c>
      <c r="AT3335" s="20" t="str">
        <f aca="false">HYPERLINK("https://www.google.iq/maps/search/+35.5941,45.3429/@35.5941,45.3429,14z?hl=en","Maplink2")</f>
        <v>Maplink2</v>
      </c>
      <c r="AU3335" s="20" t="str">
        <f aca="false">HYPERLINK("http://www.bing.com/maps/?lvl=14&amp;sty=h&amp;cp=35.5941~45.3429&amp;sp=point.35.5941_45.3429","Maplink3")</f>
        <v>Maplink3</v>
      </c>
    </row>
    <row r="3336" customFormat="false" ht="15" hidden="false" customHeight="true" outlineLevel="0" collapsed="false">
      <c r="A3336" s="15" t="n">
        <v>25078</v>
      </c>
      <c r="B3336" s="16" t="s">
        <v>30</v>
      </c>
      <c r="C3336" s="16" t="s">
        <v>6287</v>
      </c>
      <c r="D3336" s="16" t="s">
        <v>6336</v>
      </c>
      <c r="E3336" s="17" t="s">
        <v>6337</v>
      </c>
      <c r="F3336" s="16" t="n">
        <v>35.39599857</v>
      </c>
      <c r="G3336" s="16" t="n">
        <v>45.59650688</v>
      </c>
      <c r="H3336" s="18" t="n">
        <v>63</v>
      </c>
      <c r="I3336" s="18" t="n">
        <v>378</v>
      </c>
      <c r="J3336" s="19" t="n">
        <v>23</v>
      </c>
      <c r="K3336" s="19" t="n">
        <v>34</v>
      </c>
      <c r="L3336" s="19"/>
      <c r="M3336" s="19"/>
      <c r="N3336" s="19"/>
      <c r="O3336" s="19" t="n">
        <v>4</v>
      </c>
      <c r="P3336" s="19"/>
      <c r="Q3336" s="19"/>
      <c r="R3336" s="19"/>
      <c r="S3336" s="19"/>
      <c r="T3336" s="19"/>
      <c r="U3336" s="19"/>
      <c r="V3336" s="19"/>
      <c r="W3336" s="19"/>
      <c r="X3336" s="19" t="n">
        <v>2</v>
      </c>
      <c r="Y3336" s="19"/>
      <c r="Z3336" s="19"/>
      <c r="AA3336" s="19"/>
      <c r="AB3336" s="19"/>
      <c r="AC3336" s="19"/>
      <c r="AD3336" s="19"/>
      <c r="AE3336" s="19"/>
      <c r="AF3336" s="19"/>
      <c r="AG3336" s="19"/>
      <c r="AH3336" s="19" t="n">
        <v>63</v>
      </c>
      <c r="AI3336" s="19"/>
      <c r="AJ3336" s="19"/>
      <c r="AK3336" s="19"/>
      <c r="AL3336" s="19" t="n">
        <v>6</v>
      </c>
      <c r="AM3336" s="19" t="n">
        <v>20</v>
      </c>
      <c r="AN3336" s="19" t="n">
        <v>12</v>
      </c>
      <c r="AO3336" s="19" t="n">
        <v>17</v>
      </c>
      <c r="AP3336" s="19" t="n">
        <v>8</v>
      </c>
      <c r="AQ3336" s="19"/>
      <c r="AR3336" s="19"/>
      <c r="AS3336" s="20" t="str">
        <f aca="false">HYPERLINK("http://www.openstreetmap.org/?mlat=35.396&amp;mlon=45.5965&amp;zoom=12#map=12/35.396/45.5965","Maplink1")</f>
        <v>Maplink1</v>
      </c>
      <c r="AT3336" s="20" t="str">
        <f aca="false">HYPERLINK("https://www.google.iq/maps/search/+35.396,45.5965/@35.396,45.5965,14z?hl=en","Maplink2")</f>
        <v>Maplink2</v>
      </c>
      <c r="AU3336" s="20" t="str">
        <f aca="false">HYPERLINK("http://www.bing.com/maps/?lvl=14&amp;sty=h&amp;cp=35.396~45.5965&amp;sp=point.35.396_45.5965","Maplink3")</f>
        <v>Maplink3</v>
      </c>
    </row>
    <row r="3337" customFormat="false" ht="15" hidden="false" customHeight="true" outlineLevel="0" collapsed="false">
      <c r="A3337" s="15" t="n">
        <v>23771</v>
      </c>
      <c r="B3337" s="16" t="s">
        <v>30</v>
      </c>
      <c r="C3337" s="16" t="s">
        <v>6287</v>
      </c>
      <c r="D3337" s="16" t="s">
        <v>6338</v>
      </c>
      <c r="E3337" s="17" t="s">
        <v>6339</v>
      </c>
      <c r="F3337" s="16" t="n">
        <v>35.58096294</v>
      </c>
      <c r="G3337" s="16" t="n">
        <v>45.17323971</v>
      </c>
      <c r="H3337" s="18" t="n">
        <v>315</v>
      </c>
      <c r="I3337" s="18" t="n">
        <v>1890</v>
      </c>
      <c r="J3337" s="19" t="n">
        <v>79</v>
      </c>
      <c r="K3337" s="19"/>
      <c r="L3337" s="19" t="n">
        <v>28</v>
      </c>
      <c r="M3337" s="19"/>
      <c r="N3337" s="19"/>
      <c r="O3337" s="19" t="n">
        <v>23</v>
      </c>
      <c r="P3337" s="19"/>
      <c r="Q3337" s="19"/>
      <c r="R3337" s="19"/>
      <c r="S3337" s="19"/>
      <c r="T3337" s="19"/>
      <c r="U3337" s="19"/>
      <c r="V3337" s="19" t="n">
        <v>151</v>
      </c>
      <c r="W3337" s="19"/>
      <c r="X3337" s="19" t="n">
        <v>34</v>
      </c>
      <c r="Y3337" s="19"/>
      <c r="Z3337" s="19"/>
      <c r="AA3337" s="19"/>
      <c r="AB3337" s="19"/>
      <c r="AC3337" s="19"/>
      <c r="AD3337" s="19"/>
      <c r="AE3337" s="19"/>
      <c r="AF3337" s="19" t="n">
        <v>149</v>
      </c>
      <c r="AG3337" s="19"/>
      <c r="AH3337" s="19" t="n">
        <v>166</v>
      </c>
      <c r="AI3337" s="19"/>
      <c r="AJ3337" s="19"/>
      <c r="AK3337" s="19"/>
      <c r="AL3337" s="19" t="n">
        <v>38</v>
      </c>
      <c r="AM3337" s="19" t="n">
        <v>80</v>
      </c>
      <c r="AN3337" s="19" t="n">
        <v>112</v>
      </c>
      <c r="AO3337" s="19" t="n">
        <v>55</v>
      </c>
      <c r="AP3337" s="19" t="n">
        <v>15</v>
      </c>
      <c r="AQ3337" s="19" t="n">
        <v>15</v>
      </c>
      <c r="AR3337" s="19"/>
      <c r="AS3337" s="20" t="str">
        <f aca="false">HYPERLINK("http://www.openstreetmap.org/?mlat=35.581&amp;mlon=45.1732&amp;zoom=12#map=12/35.581/45.1732","Maplink1")</f>
        <v>Maplink1</v>
      </c>
      <c r="AT3337" s="20" t="str">
        <f aca="false">HYPERLINK("https://www.google.iq/maps/search/+35.581,45.1732/@35.581,45.1732,14z?hl=en","Maplink2")</f>
        <v>Maplink2</v>
      </c>
      <c r="AU3337" s="20" t="str">
        <f aca="false">HYPERLINK("http://www.bing.com/maps/?lvl=14&amp;sty=h&amp;cp=35.581~45.1732&amp;sp=point.35.581_45.1732","Maplink3")</f>
        <v>Maplink3</v>
      </c>
    </row>
    <row r="3338" customFormat="false" ht="15" hidden="false" customHeight="true" outlineLevel="0" collapsed="false">
      <c r="A3338" s="15" t="n">
        <v>23927</v>
      </c>
      <c r="B3338" s="16" t="s">
        <v>30</v>
      </c>
      <c r="C3338" s="16" t="s">
        <v>6287</v>
      </c>
      <c r="D3338" s="16" t="s">
        <v>6340</v>
      </c>
      <c r="E3338" s="17" t="s">
        <v>6341</v>
      </c>
      <c r="F3338" s="16" t="n">
        <v>35.59439999</v>
      </c>
      <c r="G3338" s="16" t="n">
        <v>45.13949648</v>
      </c>
      <c r="H3338" s="18" t="n">
        <v>93</v>
      </c>
      <c r="I3338" s="18" t="n">
        <v>558</v>
      </c>
      <c r="J3338" s="19" t="n">
        <v>38</v>
      </c>
      <c r="K3338" s="19"/>
      <c r="L3338" s="19" t="n">
        <v>14</v>
      </c>
      <c r="M3338" s="19"/>
      <c r="N3338" s="19"/>
      <c r="O3338" s="19" t="n">
        <v>5</v>
      </c>
      <c r="P3338" s="19"/>
      <c r="Q3338" s="19"/>
      <c r="R3338" s="19"/>
      <c r="S3338" s="19"/>
      <c r="T3338" s="19"/>
      <c r="U3338" s="19"/>
      <c r="V3338" s="19" t="n">
        <v>33</v>
      </c>
      <c r="W3338" s="19"/>
      <c r="X3338" s="19" t="n">
        <v>3</v>
      </c>
      <c r="Y3338" s="19"/>
      <c r="Z3338" s="19"/>
      <c r="AA3338" s="19"/>
      <c r="AB3338" s="19"/>
      <c r="AC3338" s="19"/>
      <c r="AD3338" s="19"/>
      <c r="AE3338" s="19"/>
      <c r="AF3338" s="19"/>
      <c r="AG3338" s="19"/>
      <c r="AH3338" s="19" t="n">
        <v>93</v>
      </c>
      <c r="AI3338" s="19"/>
      <c r="AJ3338" s="19"/>
      <c r="AK3338" s="19"/>
      <c r="AL3338" s="19" t="n">
        <v>21</v>
      </c>
      <c r="AM3338" s="19" t="n">
        <v>11</v>
      </c>
      <c r="AN3338" s="19" t="n">
        <v>25</v>
      </c>
      <c r="AO3338" s="19" t="n">
        <v>18</v>
      </c>
      <c r="AP3338" s="19" t="n">
        <v>12</v>
      </c>
      <c r="AQ3338" s="19" t="n">
        <v>6</v>
      </c>
      <c r="AR3338" s="19"/>
      <c r="AS3338" s="20" t="str">
        <f aca="false">HYPERLINK("http://www.openstreetmap.org/?mlat=35.5944&amp;mlon=45.1395&amp;zoom=12#map=12/35.5944/45.1395","Maplink1")</f>
        <v>Maplink1</v>
      </c>
      <c r="AT3338" s="20" t="str">
        <f aca="false">HYPERLINK("https://www.google.iq/maps/search/+35.5944,45.1395/@35.5944,45.1395,14z?hl=en","Maplink2")</f>
        <v>Maplink2</v>
      </c>
      <c r="AU3338" s="20" t="str">
        <f aca="false">HYPERLINK("http://www.bing.com/maps/?lvl=14&amp;sty=h&amp;cp=35.5944~45.1395&amp;sp=point.35.5944_45.1395","Maplink3")</f>
        <v>Maplink3</v>
      </c>
    </row>
    <row r="3339" customFormat="false" ht="15" hidden="false" customHeight="true" outlineLevel="0" collapsed="false">
      <c r="A3339" s="15" t="n">
        <v>23536</v>
      </c>
      <c r="B3339" s="16" t="s">
        <v>30</v>
      </c>
      <c r="C3339" s="16" t="s">
        <v>6287</v>
      </c>
      <c r="D3339" s="16" t="s">
        <v>6342</v>
      </c>
      <c r="E3339" s="17" t="s">
        <v>6114</v>
      </c>
      <c r="F3339" s="16" t="n">
        <v>35.59122532</v>
      </c>
      <c r="G3339" s="16" t="n">
        <v>45.14570205</v>
      </c>
      <c r="H3339" s="18" t="n">
        <v>47</v>
      </c>
      <c r="I3339" s="18" t="n">
        <v>282</v>
      </c>
      <c r="J3339" s="19" t="n">
        <v>21</v>
      </c>
      <c r="K3339" s="19"/>
      <c r="L3339" s="19"/>
      <c r="M3339" s="19"/>
      <c r="N3339" s="19"/>
      <c r="O3339" s="19"/>
      <c r="P3339" s="19"/>
      <c r="Q3339" s="19"/>
      <c r="R3339" s="19"/>
      <c r="S3339" s="19"/>
      <c r="T3339" s="19"/>
      <c r="U3339" s="19"/>
      <c r="V3339" s="19" t="n">
        <v>22</v>
      </c>
      <c r="W3339" s="19"/>
      <c r="X3339" s="19" t="n">
        <v>4</v>
      </c>
      <c r="Y3339" s="19"/>
      <c r="Z3339" s="19"/>
      <c r="AA3339" s="19"/>
      <c r="AB3339" s="19"/>
      <c r="AC3339" s="19"/>
      <c r="AD3339" s="19"/>
      <c r="AE3339" s="19"/>
      <c r="AF3339" s="19"/>
      <c r="AG3339" s="19"/>
      <c r="AH3339" s="19" t="n">
        <v>47</v>
      </c>
      <c r="AI3339" s="19"/>
      <c r="AJ3339" s="19"/>
      <c r="AK3339" s="19"/>
      <c r="AL3339" s="19" t="n">
        <v>3</v>
      </c>
      <c r="AM3339" s="19" t="n">
        <v>5</v>
      </c>
      <c r="AN3339" s="19" t="n">
        <v>22</v>
      </c>
      <c r="AO3339" s="19" t="n">
        <v>3</v>
      </c>
      <c r="AP3339" s="19" t="n">
        <v>9</v>
      </c>
      <c r="AQ3339" s="19" t="n">
        <v>5</v>
      </c>
      <c r="AR3339" s="19"/>
      <c r="AS3339" s="20" t="str">
        <f aca="false">HYPERLINK("http://www.openstreetmap.org/?mlat=35.5912&amp;mlon=45.1457&amp;zoom=12#map=12/35.5912/45.1457","Maplink1")</f>
        <v>Maplink1</v>
      </c>
      <c r="AT3339" s="20" t="str">
        <f aca="false">HYPERLINK("https://www.google.iq/maps/search/+35.5912,45.1457/@35.5912,45.1457,14z?hl=en","Maplink2")</f>
        <v>Maplink2</v>
      </c>
      <c r="AU3339" s="20" t="str">
        <f aca="false">HYPERLINK("http://www.bing.com/maps/?lvl=14&amp;sty=h&amp;cp=35.5912~45.1457&amp;sp=point.35.5912_45.1457","Maplink3")</f>
        <v>Maplink3</v>
      </c>
    </row>
    <row r="3340" customFormat="false" ht="15" hidden="false" customHeight="true" outlineLevel="0" collapsed="false">
      <c r="A3340" s="15" t="n">
        <v>21283</v>
      </c>
      <c r="B3340" s="16" t="s">
        <v>30</v>
      </c>
      <c r="C3340" s="16" t="s">
        <v>6287</v>
      </c>
      <c r="D3340" s="16" t="s">
        <v>6343</v>
      </c>
      <c r="E3340" s="17" t="s">
        <v>6121</v>
      </c>
      <c r="F3340" s="16" t="n">
        <v>35.59939011</v>
      </c>
      <c r="G3340" s="16" t="n">
        <v>45.13362844</v>
      </c>
      <c r="H3340" s="18" t="n">
        <v>43</v>
      </c>
      <c r="I3340" s="18" t="n">
        <v>258</v>
      </c>
      <c r="J3340" s="19" t="n">
        <v>19</v>
      </c>
      <c r="K3340" s="19"/>
      <c r="L3340" s="19" t="n">
        <v>7</v>
      </c>
      <c r="M3340" s="19"/>
      <c r="N3340" s="19"/>
      <c r="O3340" s="19" t="n">
        <v>3</v>
      </c>
      <c r="P3340" s="19"/>
      <c r="Q3340" s="19"/>
      <c r="R3340" s="19"/>
      <c r="S3340" s="19"/>
      <c r="T3340" s="19"/>
      <c r="U3340" s="19"/>
      <c r="V3340" s="19" t="n">
        <v>6</v>
      </c>
      <c r="W3340" s="19"/>
      <c r="X3340" s="19" t="n">
        <v>8</v>
      </c>
      <c r="Y3340" s="19"/>
      <c r="Z3340" s="19"/>
      <c r="AA3340" s="19"/>
      <c r="AB3340" s="19"/>
      <c r="AC3340" s="19"/>
      <c r="AD3340" s="19"/>
      <c r="AE3340" s="19"/>
      <c r="AF3340" s="19"/>
      <c r="AG3340" s="19"/>
      <c r="AH3340" s="19" t="n">
        <v>43</v>
      </c>
      <c r="AI3340" s="19"/>
      <c r="AJ3340" s="19"/>
      <c r="AK3340" s="19"/>
      <c r="AL3340" s="19"/>
      <c r="AM3340" s="19" t="n">
        <v>7</v>
      </c>
      <c r="AN3340" s="19" t="n">
        <v>6</v>
      </c>
      <c r="AO3340" s="19" t="n">
        <v>12</v>
      </c>
      <c r="AP3340" s="19" t="n">
        <v>10</v>
      </c>
      <c r="AQ3340" s="19" t="n">
        <v>8</v>
      </c>
      <c r="AR3340" s="19"/>
      <c r="AS3340" s="20" t="str">
        <f aca="false">HYPERLINK("http://www.openstreetmap.org/?mlat=35.5994&amp;mlon=45.1336&amp;zoom=12#map=12/35.5994/45.1336","Maplink1")</f>
        <v>Maplink1</v>
      </c>
      <c r="AT3340" s="20" t="str">
        <f aca="false">HYPERLINK("https://www.google.iq/maps/search/+35.5994,45.1336/@35.5994,45.1336,14z?hl=en","Maplink2")</f>
        <v>Maplink2</v>
      </c>
      <c r="AU3340" s="20" t="str">
        <f aca="false">HYPERLINK("http://www.bing.com/maps/?lvl=14&amp;sty=h&amp;cp=35.5994~45.1336&amp;sp=point.35.5994_45.1336","Maplink3")</f>
        <v>Maplink3</v>
      </c>
    </row>
    <row r="3341" customFormat="false" ht="15" hidden="false" customHeight="true" outlineLevel="0" collapsed="false">
      <c r="A3341" s="15" t="n">
        <v>25892</v>
      </c>
      <c r="B3341" s="16" t="s">
        <v>30</v>
      </c>
      <c r="C3341" s="16" t="s">
        <v>6287</v>
      </c>
      <c r="D3341" s="16" t="s">
        <v>6344</v>
      </c>
      <c r="E3341" s="17" t="s">
        <v>6345</v>
      </c>
      <c r="F3341" s="16" t="n">
        <v>35.5885437</v>
      </c>
      <c r="G3341" s="16" t="n">
        <v>45.15077954</v>
      </c>
      <c r="H3341" s="18" t="n">
        <v>55</v>
      </c>
      <c r="I3341" s="18" t="n">
        <v>330</v>
      </c>
      <c r="J3341" s="19" t="n">
        <v>31</v>
      </c>
      <c r="K3341" s="19"/>
      <c r="L3341" s="19" t="n">
        <v>2</v>
      </c>
      <c r="M3341" s="19"/>
      <c r="N3341" s="19"/>
      <c r="O3341" s="19" t="n">
        <v>11</v>
      </c>
      <c r="P3341" s="19"/>
      <c r="Q3341" s="19"/>
      <c r="R3341" s="19"/>
      <c r="S3341" s="19"/>
      <c r="T3341" s="19"/>
      <c r="U3341" s="19"/>
      <c r="V3341" s="19" t="n">
        <v>11</v>
      </c>
      <c r="W3341" s="19"/>
      <c r="X3341" s="19"/>
      <c r="Y3341" s="19"/>
      <c r="Z3341" s="19"/>
      <c r="AA3341" s="19"/>
      <c r="AB3341" s="19"/>
      <c r="AC3341" s="19"/>
      <c r="AD3341" s="19"/>
      <c r="AE3341" s="19"/>
      <c r="AF3341" s="19"/>
      <c r="AG3341" s="19"/>
      <c r="AH3341" s="19" t="n">
        <v>55</v>
      </c>
      <c r="AI3341" s="19"/>
      <c r="AJ3341" s="19"/>
      <c r="AK3341" s="19"/>
      <c r="AL3341" s="19" t="n">
        <v>10</v>
      </c>
      <c r="AM3341" s="19"/>
      <c r="AN3341" s="19" t="n">
        <v>11</v>
      </c>
      <c r="AO3341" s="19" t="n">
        <v>14</v>
      </c>
      <c r="AP3341" s="19" t="n">
        <v>16</v>
      </c>
      <c r="AQ3341" s="19" t="n">
        <v>2</v>
      </c>
      <c r="AR3341" s="19" t="n">
        <v>2</v>
      </c>
      <c r="AS3341" s="20" t="str">
        <f aca="false">HYPERLINK("http://www.openstreetmap.org/?mlat=35.5885&amp;mlon=45.1508&amp;zoom=12#map=12/35.5885/45.1508","Maplink1")</f>
        <v>Maplink1</v>
      </c>
      <c r="AT3341" s="20" t="str">
        <f aca="false">HYPERLINK("https://www.google.iq/maps/search/+35.5885,45.1508/@35.5885,45.1508,14z?hl=en","Maplink2")</f>
        <v>Maplink2</v>
      </c>
      <c r="AU3341" s="20" t="str">
        <f aca="false">HYPERLINK("http://www.bing.com/maps/?lvl=14&amp;sty=h&amp;cp=35.5885~45.1508&amp;sp=point.35.5885_45.1508","Maplink3")</f>
        <v>Maplink3</v>
      </c>
    </row>
    <row r="3342" customFormat="false" ht="15" hidden="false" customHeight="true" outlineLevel="0" collapsed="false">
      <c r="A3342" s="15" t="n">
        <v>28414</v>
      </c>
      <c r="B3342" s="16" t="s">
        <v>30</v>
      </c>
      <c r="C3342" s="16" t="s">
        <v>6287</v>
      </c>
      <c r="D3342" s="16" t="s">
        <v>6346</v>
      </c>
      <c r="E3342" s="17" t="s">
        <v>6038</v>
      </c>
      <c r="F3342" s="16" t="n">
        <v>35.59394175</v>
      </c>
      <c r="G3342" s="16" t="n">
        <v>45.40140065</v>
      </c>
      <c r="H3342" s="18" t="n">
        <v>183</v>
      </c>
      <c r="I3342" s="18" t="n">
        <v>1098</v>
      </c>
      <c r="J3342" s="19" t="n">
        <v>154</v>
      </c>
      <c r="K3342" s="19"/>
      <c r="L3342" s="19" t="n">
        <v>22</v>
      </c>
      <c r="M3342" s="19"/>
      <c r="N3342" s="19"/>
      <c r="O3342" s="19"/>
      <c r="P3342" s="19"/>
      <c r="Q3342" s="19"/>
      <c r="R3342" s="19"/>
      <c r="S3342" s="19"/>
      <c r="T3342" s="19"/>
      <c r="U3342" s="19"/>
      <c r="V3342" s="19"/>
      <c r="W3342" s="19"/>
      <c r="X3342" s="19" t="n">
        <v>7</v>
      </c>
      <c r="Y3342" s="19"/>
      <c r="Z3342" s="19"/>
      <c r="AA3342" s="19"/>
      <c r="AB3342" s="19"/>
      <c r="AC3342" s="19"/>
      <c r="AD3342" s="19"/>
      <c r="AE3342" s="19"/>
      <c r="AF3342" s="19"/>
      <c r="AG3342" s="19"/>
      <c r="AH3342" s="19" t="n">
        <v>183</v>
      </c>
      <c r="AI3342" s="19"/>
      <c r="AJ3342" s="19"/>
      <c r="AK3342" s="19"/>
      <c r="AL3342" s="19" t="n">
        <v>25</v>
      </c>
      <c r="AM3342" s="19" t="n">
        <v>23</v>
      </c>
      <c r="AN3342" s="19"/>
      <c r="AO3342" s="19" t="n">
        <v>40</v>
      </c>
      <c r="AP3342" s="19" t="n">
        <v>61</v>
      </c>
      <c r="AQ3342" s="19" t="n">
        <v>34</v>
      </c>
      <c r="AR3342" s="19"/>
      <c r="AS3342" s="20" t="str">
        <f aca="false">HYPERLINK("http://www.openstreetmap.org/?mlat=35.5939&amp;mlon=45.4014&amp;zoom=12#map=12/35.5939/45.4014","Maplink1")</f>
        <v>Maplink1</v>
      </c>
      <c r="AT3342" s="20" t="str">
        <f aca="false">HYPERLINK("https://www.google.iq/maps/search/+35.5939,45.4014/@35.5939,45.4014,14z?hl=en","Maplink2")</f>
        <v>Maplink2</v>
      </c>
      <c r="AU3342" s="20" t="str">
        <f aca="false">HYPERLINK("http://www.bing.com/maps/?lvl=14&amp;sty=h&amp;cp=35.5939~45.4014&amp;sp=point.35.5939_45.4014","Maplink3")</f>
        <v>Maplink3</v>
      </c>
    </row>
    <row r="3343" customFormat="false" ht="15" hidden="false" customHeight="true" outlineLevel="0" collapsed="false">
      <c r="A3343" s="15" t="n">
        <v>21285</v>
      </c>
      <c r="B3343" s="16" t="s">
        <v>30</v>
      </c>
      <c r="C3343" s="16" t="s">
        <v>6287</v>
      </c>
      <c r="D3343" s="16" t="s">
        <v>6347</v>
      </c>
      <c r="E3343" s="17" t="s">
        <v>6348</v>
      </c>
      <c r="F3343" s="16" t="n">
        <v>35.55286289</v>
      </c>
      <c r="G3343" s="16" t="n">
        <v>45.4272282</v>
      </c>
      <c r="H3343" s="18" t="n">
        <v>90</v>
      </c>
      <c r="I3343" s="18" t="n">
        <v>540</v>
      </c>
      <c r="J3343" s="19" t="n">
        <v>61</v>
      </c>
      <c r="K3343" s="19"/>
      <c r="L3343" s="19" t="n">
        <v>15</v>
      </c>
      <c r="M3343" s="19"/>
      <c r="N3343" s="19"/>
      <c r="O3343" s="19" t="n">
        <v>4</v>
      </c>
      <c r="P3343" s="19"/>
      <c r="Q3343" s="19"/>
      <c r="R3343" s="19"/>
      <c r="S3343" s="19"/>
      <c r="T3343" s="19"/>
      <c r="U3343" s="19"/>
      <c r="V3343" s="19" t="n">
        <v>10</v>
      </c>
      <c r="W3343" s="19"/>
      <c r="X3343" s="19"/>
      <c r="Y3343" s="19"/>
      <c r="Z3343" s="19"/>
      <c r="AA3343" s="19"/>
      <c r="AB3343" s="19"/>
      <c r="AC3343" s="19"/>
      <c r="AD3343" s="19"/>
      <c r="AE3343" s="19"/>
      <c r="AF3343" s="19"/>
      <c r="AG3343" s="19"/>
      <c r="AH3343" s="19" t="n">
        <v>90</v>
      </c>
      <c r="AI3343" s="19"/>
      <c r="AJ3343" s="19"/>
      <c r="AK3343" s="19"/>
      <c r="AL3343" s="19" t="n">
        <v>12</v>
      </c>
      <c r="AM3343" s="19" t="n">
        <v>19</v>
      </c>
      <c r="AN3343" s="19" t="n">
        <v>4</v>
      </c>
      <c r="AO3343" s="19" t="n">
        <v>29</v>
      </c>
      <c r="AP3343" s="19" t="n">
        <v>21</v>
      </c>
      <c r="AQ3343" s="19" t="n">
        <v>5</v>
      </c>
      <c r="AR3343" s="19"/>
      <c r="AS3343" s="20" t="str">
        <f aca="false">HYPERLINK("http://www.openstreetmap.org/?mlat=35.5529&amp;mlon=45.4272&amp;zoom=12#map=12/35.5529/45.4272","Maplink1")</f>
        <v>Maplink1</v>
      </c>
      <c r="AT3343" s="20" t="str">
        <f aca="false">HYPERLINK("https://www.google.iq/maps/search/+35.5529,45.4272/@35.5529,45.4272,14z?hl=en","Maplink2")</f>
        <v>Maplink2</v>
      </c>
      <c r="AU3343" s="20" t="str">
        <f aca="false">HYPERLINK("http://www.bing.com/maps/?lvl=14&amp;sty=h&amp;cp=35.5529~45.4272&amp;sp=point.35.5529_45.4272","Maplink3")</f>
        <v>Maplink3</v>
      </c>
    </row>
    <row r="3344" customFormat="false" ht="15" hidden="false" customHeight="true" outlineLevel="0" collapsed="false">
      <c r="A3344" s="15" t="n">
        <v>21287</v>
      </c>
      <c r="B3344" s="16" t="s">
        <v>30</v>
      </c>
      <c r="C3344" s="16" t="s">
        <v>6287</v>
      </c>
      <c r="D3344" s="16" t="s">
        <v>6349</v>
      </c>
      <c r="E3344" s="17" t="s">
        <v>6251</v>
      </c>
      <c r="F3344" s="16" t="n">
        <v>35.54917672</v>
      </c>
      <c r="G3344" s="16" t="n">
        <v>45.41371957</v>
      </c>
      <c r="H3344" s="18" t="n">
        <v>89</v>
      </c>
      <c r="I3344" s="18" t="n">
        <v>534</v>
      </c>
      <c r="J3344" s="19" t="n">
        <v>59</v>
      </c>
      <c r="K3344" s="19"/>
      <c r="L3344" s="19" t="n">
        <v>14</v>
      </c>
      <c r="M3344" s="19"/>
      <c r="N3344" s="19"/>
      <c r="O3344" s="19"/>
      <c r="P3344" s="19"/>
      <c r="Q3344" s="19"/>
      <c r="R3344" s="19"/>
      <c r="S3344" s="19"/>
      <c r="T3344" s="19"/>
      <c r="U3344" s="19"/>
      <c r="V3344" s="19" t="n">
        <v>10</v>
      </c>
      <c r="W3344" s="19"/>
      <c r="X3344" s="19" t="n">
        <v>6</v>
      </c>
      <c r="Y3344" s="19"/>
      <c r="Z3344" s="19"/>
      <c r="AA3344" s="19"/>
      <c r="AB3344" s="19"/>
      <c r="AC3344" s="19"/>
      <c r="AD3344" s="19" t="n">
        <v>13</v>
      </c>
      <c r="AE3344" s="19"/>
      <c r="AF3344" s="19"/>
      <c r="AG3344" s="19" t="n">
        <v>9</v>
      </c>
      <c r="AH3344" s="19" t="n">
        <v>67</v>
      </c>
      <c r="AI3344" s="19"/>
      <c r="AJ3344" s="19"/>
      <c r="AK3344" s="19"/>
      <c r="AL3344" s="19" t="n">
        <v>10</v>
      </c>
      <c r="AM3344" s="19" t="n">
        <v>17</v>
      </c>
      <c r="AN3344" s="19" t="n">
        <v>15</v>
      </c>
      <c r="AO3344" s="19"/>
      <c r="AP3344" s="19" t="n">
        <v>27</v>
      </c>
      <c r="AQ3344" s="19" t="n">
        <v>20</v>
      </c>
      <c r="AR3344" s="19"/>
      <c r="AS3344" s="20" t="str">
        <f aca="false">HYPERLINK("http://www.openstreetmap.org/?mlat=35.5492&amp;mlon=45.4137&amp;zoom=12#map=12/35.5492/45.4137","Maplink1")</f>
        <v>Maplink1</v>
      </c>
      <c r="AT3344" s="20" t="str">
        <f aca="false">HYPERLINK("https://www.google.iq/maps/search/+35.5492,45.4137/@35.5492,45.4137,14z?hl=en","Maplink2")</f>
        <v>Maplink2</v>
      </c>
      <c r="AU3344" s="20" t="str">
        <f aca="false">HYPERLINK("http://www.bing.com/maps/?lvl=14&amp;sty=h&amp;cp=35.5492~45.4137&amp;sp=point.35.5492_45.4137","Maplink3")</f>
        <v>Maplink3</v>
      </c>
    </row>
    <row r="3345" customFormat="false" ht="15" hidden="false" customHeight="true" outlineLevel="0" collapsed="false">
      <c r="A3345" s="15" t="n">
        <v>4513</v>
      </c>
      <c r="B3345" s="16" t="s">
        <v>30</v>
      </c>
      <c r="C3345" s="16" t="s">
        <v>6287</v>
      </c>
      <c r="D3345" s="16" t="s">
        <v>6350</v>
      </c>
      <c r="E3345" s="17" t="s">
        <v>6351</v>
      </c>
      <c r="F3345" s="16" t="n">
        <v>35.45321953</v>
      </c>
      <c r="G3345" s="16" t="n">
        <v>45.5093054</v>
      </c>
      <c r="H3345" s="18" t="n">
        <v>6</v>
      </c>
      <c r="I3345" s="18" t="n">
        <v>36</v>
      </c>
      <c r="J3345" s="19"/>
      <c r="K3345" s="19"/>
      <c r="L3345" s="19" t="n">
        <v>1</v>
      </c>
      <c r="M3345" s="19"/>
      <c r="N3345" s="19"/>
      <c r="O3345" s="19" t="n">
        <v>4</v>
      </c>
      <c r="P3345" s="19"/>
      <c r="Q3345" s="19"/>
      <c r="R3345" s="19"/>
      <c r="S3345" s="19"/>
      <c r="T3345" s="19"/>
      <c r="U3345" s="19"/>
      <c r="V3345" s="19" t="n">
        <v>1</v>
      </c>
      <c r="W3345" s="19"/>
      <c r="X3345" s="19"/>
      <c r="Y3345" s="19"/>
      <c r="Z3345" s="19"/>
      <c r="AA3345" s="19"/>
      <c r="AB3345" s="19"/>
      <c r="AC3345" s="19"/>
      <c r="AD3345" s="19"/>
      <c r="AE3345" s="19" t="n">
        <v>6</v>
      </c>
      <c r="AF3345" s="19"/>
      <c r="AG3345" s="19"/>
      <c r="AH3345" s="19"/>
      <c r="AI3345" s="19"/>
      <c r="AJ3345" s="19"/>
      <c r="AK3345" s="19"/>
      <c r="AL3345" s="19" t="n">
        <v>2</v>
      </c>
      <c r="AM3345" s="19"/>
      <c r="AN3345" s="19" t="n">
        <v>4</v>
      </c>
      <c r="AO3345" s="19"/>
      <c r="AP3345" s="19"/>
      <c r="AQ3345" s="19"/>
      <c r="AR3345" s="19"/>
      <c r="AS3345" s="20" t="str">
        <f aca="false">HYPERLINK("http://www.openstreetmap.org/?mlat=35.4532&amp;mlon=45.5093&amp;zoom=12#map=12/35.4532/45.5093","Maplink1")</f>
        <v>Maplink1</v>
      </c>
      <c r="AT3345" s="20" t="str">
        <f aca="false">HYPERLINK("https://www.google.iq/maps/search/+35.4532,45.5093/@35.4532,45.5093,14z?hl=en","Maplink2")</f>
        <v>Maplink2</v>
      </c>
      <c r="AU3345" s="20" t="str">
        <f aca="false">HYPERLINK("http://www.bing.com/maps/?lvl=14&amp;sty=h&amp;cp=35.4532~45.5093&amp;sp=point.35.4532_45.5093","Maplink3")</f>
        <v>Maplink3</v>
      </c>
    </row>
    <row r="3346" customFormat="false" ht="15" hidden="false" customHeight="true" outlineLevel="0" collapsed="false">
      <c r="A3346" s="15" t="n">
        <v>23926</v>
      </c>
      <c r="B3346" s="16" t="s">
        <v>30</v>
      </c>
      <c r="C3346" s="16" t="s">
        <v>6287</v>
      </c>
      <c r="D3346" s="16" t="s">
        <v>6352</v>
      </c>
      <c r="E3346" s="17" t="s">
        <v>6353</v>
      </c>
      <c r="F3346" s="16" t="n">
        <v>35.55117306</v>
      </c>
      <c r="G3346" s="16" t="n">
        <v>45.44318032</v>
      </c>
      <c r="H3346" s="18" t="n">
        <v>69</v>
      </c>
      <c r="I3346" s="18" t="n">
        <v>414</v>
      </c>
      <c r="J3346" s="19" t="n">
        <v>46</v>
      </c>
      <c r="K3346" s="19"/>
      <c r="L3346" s="19"/>
      <c r="M3346" s="19"/>
      <c r="N3346" s="19"/>
      <c r="O3346" s="19" t="n">
        <v>6</v>
      </c>
      <c r="P3346" s="19"/>
      <c r="Q3346" s="19"/>
      <c r="R3346" s="19"/>
      <c r="S3346" s="19"/>
      <c r="T3346" s="19"/>
      <c r="U3346" s="19"/>
      <c r="V3346" s="19" t="n">
        <v>3</v>
      </c>
      <c r="W3346" s="19"/>
      <c r="X3346" s="19" t="n">
        <v>14</v>
      </c>
      <c r="Y3346" s="19"/>
      <c r="Z3346" s="19"/>
      <c r="AA3346" s="19"/>
      <c r="AB3346" s="19"/>
      <c r="AC3346" s="19"/>
      <c r="AD3346" s="19" t="n">
        <v>34</v>
      </c>
      <c r="AE3346" s="19"/>
      <c r="AF3346" s="19"/>
      <c r="AG3346" s="19"/>
      <c r="AH3346" s="19" t="n">
        <v>35</v>
      </c>
      <c r="AI3346" s="19"/>
      <c r="AJ3346" s="19"/>
      <c r="AK3346" s="19"/>
      <c r="AL3346" s="19" t="n">
        <v>5</v>
      </c>
      <c r="AM3346" s="19" t="n">
        <v>10</v>
      </c>
      <c r="AN3346" s="19" t="n">
        <v>3</v>
      </c>
      <c r="AO3346" s="19" t="n">
        <v>47</v>
      </c>
      <c r="AP3346" s="19"/>
      <c r="AQ3346" s="19" t="n">
        <v>4</v>
      </c>
      <c r="AR3346" s="19"/>
      <c r="AS3346" s="20" t="str">
        <f aca="false">HYPERLINK("http://www.openstreetmap.org/?mlat=35.5512&amp;mlon=45.4432&amp;zoom=12#map=12/35.5512/45.4432","Maplink1")</f>
        <v>Maplink1</v>
      </c>
      <c r="AT3346" s="20" t="str">
        <f aca="false">HYPERLINK("https://www.google.iq/maps/search/+35.5512,45.4432/@35.5512,45.4432,14z?hl=en","Maplink2")</f>
        <v>Maplink2</v>
      </c>
      <c r="AU3346" s="20" t="str">
        <f aca="false">HYPERLINK("http://www.bing.com/maps/?lvl=14&amp;sty=h&amp;cp=35.5512~45.4432&amp;sp=point.35.5512_45.4432","Maplink3")</f>
        <v>Maplink3</v>
      </c>
    </row>
    <row r="3347" customFormat="false" ht="15" hidden="false" customHeight="true" outlineLevel="0" collapsed="false">
      <c r="A3347" s="15" t="n">
        <v>23717</v>
      </c>
      <c r="B3347" s="16" t="s">
        <v>30</v>
      </c>
      <c r="C3347" s="16" t="s">
        <v>6287</v>
      </c>
      <c r="D3347" s="16" t="s">
        <v>6354</v>
      </c>
      <c r="E3347" s="17" t="s">
        <v>6355</v>
      </c>
      <c r="F3347" s="16" t="n">
        <v>35.5467087</v>
      </c>
      <c r="G3347" s="16" t="n">
        <v>45.47902465</v>
      </c>
      <c r="H3347" s="18" t="n">
        <v>78</v>
      </c>
      <c r="I3347" s="18" t="n">
        <v>468</v>
      </c>
      <c r="J3347" s="19" t="n">
        <v>68</v>
      </c>
      <c r="K3347" s="19"/>
      <c r="L3347" s="19" t="n">
        <v>4</v>
      </c>
      <c r="M3347" s="19"/>
      <c r="N3347" s="19"/>
      <c r="O3347" s="19" t="n">
        <v>2</v>
      </c>
      <c r="P3347" s="19"/>
      <c r="Q3347" s="19"/>
      <c r="R3347" s="19"/>
      <c r="S3347" s="19"/>
      <c r="T3347" s="19"/>
      <c r="U3347" s="19"/>
      <c r="V3347" s="19" t="n">
        <v>4</v>
      </c>
      <c r="W3347" s="19"/>
      <c r="X3347" s="19"/>
      <c r="Y3347" s="19"/>
      <c r="Z3347" s="19"/>
      <c r="AA3347" s="19"/>
      <c r="AB3347" s="19"/>
      <c r="AC3347" s="19"/>
      <c r="AD3347" s="19"/>
      <c r="AE3347" s="19"/>
      <c r="AF3347" s="19"/>
      <c r="AG3347" s="19"/>
      <c r="AH3347" s="19" t="n">
        <v>78</v>
      </c>
      <c r="AI3347" s="19"/>
      <c r="AJ3347" s="19"/>
      <c r="AK3347" s="19"/>
      <c r="AL3347" s="19"/>
      <c r="AM3347" s="19" t="n">
        <v>7</v>
      </c>
      <c r="AN3347" s="19" t="n">
        <v>10</v>
      </c>
      <c r="AO3347" s="19" t="n">
        <v>20</v>
      </c>
      <c r="AP3347" s="19" t="n">
        <v>30</v>
      </c>
      <c r="AQ3347" s="19" t="n">
        <v>11</v>
      </c>
      <c r="AR3347" s="19"/>
      <c r="AS3347" s="20" t="str">
        <f aca="false">HYPERLINK("http://www.openstreetmap.org/?mlat=35.5467&amp;mlon=45.479&amp;zoom=12#map=12/35.5467/45.479","Maplink1")</f>
        <v>Maplink1</v>
      </c>
      <c r="AT3347" s="20" t="str">
        <f aca="false">HYPERLINK("https://www.google.iq/maps/search/+35.5467,45.479/@35.5467,45.479,14z?hl=en","Maplink2")</f>
        <v>Maplink2</v>
      </c>
      <c r="AU3347" s="20" t="str">
        <f aca="false">HYPERLINK("http://www.bing.com/maps/?lvl=14&amp;sty=h&amp;cp=35.5467~45.479&amp;sp=point.35.5467_45.479","Maplink3")</f>
        <v>Maplink3</v>
      </c>
    </row>
    <row r="3348" customFormat="false" ht="15" hidden="false" customHeight="true" outlineLevel="0" collapsed="false">
      <c r="A3348" s="15" t="n">
        <v>24818</v>
      </c>
      <c r="B3348" s="16" t="s">
        <v>30</v>
      </c>
      <c r="C3348" s="16" t="s">
        <v>6287</v>
      </c>
      <c r="D3348" s="16" t="s">
        <v>6356</v>
      </c>
      <c r="E3348" s="17" t="s">
        <v>6357</v>
      </c>
      <c r="F3348" s="16" t="n">
        <v>35.53960405</v>
      </c>
      <c r="G3348" s="16" t="n">
        <v>45.42280616</v>
      </c>
      <c r="H3348" s="18" t="n">
        <v>126</v>
      </c>
      <c r="I3348" s="18" t="n">
        <v>756</v>
      </c>
      <c r="J3348" s="19" t="n">
        <v>95</v>
      </c>
      <c r="K3348" s="19"/>
      <c r="L3348" s="19" t="n">
        <v>13</v>
      </c>
      <c r="M3348" s="19"/>
      <c r="N3348" s="19"/>
      <c r="O3348" s="19" t="n">
        <v>5</v>
      </c>
      <c r="P3348" s="19"/>
      <c r="Q3348" s="19"/>
      <c r="R3348" s="19"/>
      <c r="S3348" s="19"/>
      <c r="T3348" s="19"/>
      <c r="U3348" s="19"/>
      <c r="V3348" s="19" t="n">
        <v>1</v>
      </c>
      <c r="W3348" s="19"/>
      <c r="X3348" s="19" t="n">
        <v>12</v>
      </c>
      <c r="Y3348" s="19"/>
      <c r="Z3348" s="19"/>
      <c r="AA3348" s="19"/>
      <c r="AB3348" s="19"/>
      <c r="AC3348" s="19"/>
      <c r="AD3348" s="19"/>
      <c r="AE3348" s="19"/>
      <c r="AF3348" s="19"/>
      <c r="AG3348" s="19"/>
      <c r="AH3348" s="19" t="n">
        <v>126</v>
      </c>
      <c r="AI3348" s="19"/>
      <c r="AJ3348" s="19"/>
      <c r="AK3348" s="19"/>
      <c r="AL3348" s="19" t="n">
        <v>12</v>
      </c>
      <c r="AM3348" s="19" t="n">
        <v>27</v>
      </c>
      <c r="AN3348" s="19" t="n">
        <v>1</v>
      </c>
      <c r="AO3348" s="19" t="n">
        <v>41</v>
      </c>
      <c r="AP3348" s="19" t="n">
        <v>27</v>
      </c>
      <c r="AQ3348" s="19" t="n">
        <v>18</v>
      </c>
      <c r="AR3348" s="19"/>
      <c r="AS3348" s="20" t="str">
        <f aca="false">HYPERLINK("http://www.openstreetmap.org/?mlat=35.5396&amp;mlon=45.4228&amp;zoom=12#map=12/35.5396/45.4228","Maplink1")</f>
        <v>Maplink1</v>
      </c>
      <c r="AT3348" s="20" t="str">
        <f aca="false">HYPERLINK("https://www.google.iq/maps/search/+35.5396,45.4228/@35.5396,45.4228,14z?hl=en","Maplink2")</f>
        <v>Maplink2</v>
      </c>
      <c r="AU3348" s="20" t="str">
        <f aca="false">HYPERLINK("http://www.bing.com/maps/?lvl=14&amp;sty=h&amp;cp=35.5396~45.4228&amp;sp=point.35.5396_45.4228","Maplink3")</f>
        <v>Maplink3</v>
      </c>
    </row>
    <row r="3349" customFormat="false" ht="15" hidden="false" customHeight="true" outlineLevel="0" collapsed="false">
      <c r="A3349" s="15" t="n">
        <v>21036</v>
      </c>
      <c r="B3349" s="16" t="s">
        <v>30</v>
      </c>
      <c r="C3349" s="16" t="s">
        <v>6287</v>
      </c>
      <c r="D3349" s="16" t="s">
        <v>6103</v>
      </c>
      <c r="E3349" s="17" t="s">
        <v>6104</v>
      </c>
      <c r="F3349" s="16" t="n">
        <v>35.58817172</v>
      </c>
      <c r="G3349" s="16" t="n">
        <v>45.407741</v>
      </c>
      <c r="H3349" s="18" t="n">
        <v>164</v>
      </c>
      <c r="I3349" s="18" t="n">
        <v>984</v>
      </c>
      <c r="J3349" s="19" t="n">
        <v>145</v>
      </c>
      <c r="K3349" s="19"/>
      <c r="L3349" s="19" t="n">
        <v>7</v>
      </c>
      <c r="M3349" s="19"/>
      <c r="N3349" s="19"/>
      <c r="O3349" s="19" t="n">
        <v>3</v>
      </c>
      <c r="P3349" s="19"/>
      <c r="Q3349" s="19"/>
      <c r="R3349" s="19"/>
      <c r="S3349" s="19"/>
      <c r="T3349" s="19"/>
      <c r="U3349" s="19"/>
      <c r="V3349" s="19" t="n">
        <v>4</v>
      </c>
      <c r="W3349" s="19"/>
      <c r="X3349" s="19" t="n">
        <v>5</v>
      </c>
      <c r="Y3349" s="19"/>
      <c r="Z3349" s="19"/>
      <c r="AA3349" s="19"/>
      <c r="AB3349" s="19"/>
      <c r="AC3349" s="19"/>
      <c r="AD3349" s="19"/>
      <c r="AE3349" s="19"/>
      <c r="AF3349" s="19"/>
      <c r="AG3349" s="19"/>
      <c r="AH3349" s="19" t="n">
        <v>164</v>
      </c>
      <c r="AI3349" s="19"/>
      <c r="AJ3349" s="19"/>
      <c r="AK3349" s="19"/>
      <c r="AL3349" s="19" t="n">
        <v>16</v>
      </c>
      <c r="AM3349" s="19" t="n">
        <v>14</v>
      </c>
      <c r="AN3349" s="19" t="n">
        <v>13</v>
      </c>
      <c r="AO3349" s="19" t="n">
        <v>42</v>
      </c>
      <c r="AP3349" s="19" t="n">
        <v>55</v>
      </c>
      <c r="AQ3349" s="19" t="n">
        <v>24</v>
      </c>
      <c r="AR3349" s="19"/>
      <c r="AS3349" s="20" t="str">
        <f aca="false">HYPERLINK("http://www.openstreetmap.org/?mlat=35.5882&amp;mlon=45.4077&amp;zoom=12#map=12/35.5882/45.4077","Maplink1")</f>
        <v>Maplink1</v>
      </c>
      <c r="AT3349" s="20" t="str">
        <f aca="false">HYPERLINK("https://www.google.iq/maps/search/+35.5882,45.4077/@35.5882,45.4077,14z?hl=en","Maplink2")</f>
        <v>Maplink2</v>
      </c>
      <c r="AU3349" s="20" t="str">
        <f aca="false">HYPERLINK("http://www.bing.com/maps/?lvl=14&amp;sty=h&amp;cp=35.5882~45.4077&amp;sp=point.35.5882_45.4077","Maplink3")</f>
        <v>Maplink3</v>
      </c>
    </row>
    <row r="3350" customFormat="false" ht="15" hidden="false" customHeight="true" outlineLevel="0" collapsed="false">
      <c r="A3350" s="15" t="n">
        <v>4494</v>
      </c>
      <c r="B3350" s="16" t="s">
        <v>30</v>
      </c>
      <c r="C3350" s="16" t="s">
        <v>6287</v>
      </c>
      <c r="D3350" s="16" t="s">
        <v>6358</v>
      </c>
      <c r="E3350" s="17" t="s">
        <v>6359</v>
      </c>
      <c r="F3350" s="16" t="n">
        <v>35.27833394</v>
      </c>
      <c r="G3350" s="16" t="n">
        <v>45.37515069</v>
      </c>
      <c r="H3350" s="18" t="n">
        <v>6</v>
      </c>
      <c r="I3350" s="18" t="n">
        <v>36</v>
      </c>
      <c r="J3350" s="19"/>
      <c r="K3350" s="19"/>
      <c r="L3350" s="19"/>
      <c r="M3350" s="19"/>
      <c r="N3350" s="19"/>
      <c r="O3350" s="19"/>
      <c r="P3350" s="19"/>
      <c r="Q3350" s="19"/>
      <c r="R3350" s="19"/>
      <c r="S3350" s="19"/>
      <c r="T3350" s="19"/>
      <c r="U3350" s="19"/>
      <c r="V3350" s="19" t="n">
        <v>6</v>
      </c>
      <c r="W3350" s="19"/>
      <c r="X3350" s="19"/>
      <c r="Y3350" s="19"/>
      <c r="Z3350" s="19"/>
      <c r="AA3350" s="19"/>
      <c r="AB3350" s="19"/>
      <c r="AC3350" s="19"/>
      <c r="AD3350" s="19"/>
      <c r="AE3350" s="19"/>
      <c r="AF3350" s="19"/>
      <c r="AG3350" s="19"/>
      <c r="AH3350" s="19"/>
      <c r="AI3350" s="19" t="n">
        <v>6</v>
      </c>
      <c r="AJ3350" s="19"/>
      <c r="AK3350" s="19"/>
      <c r="AL3350" s="19"/>
      <c r="AM3350" s="19"/>
      <c r="AN3350" s="19" t="n">
        <v>6</v>
      </c>
      <c r="AO3350" s="19"/>
      <c r="AP3350" s="19"/>
      <c r="AQ3350" s="19"/>
      <c r="AR3350" s="19"/>
      <c r="AS3350" s="20" t="str">
        <f aca="false">HYPERLINK("http://www.openstreetmap.org/?mlat=35.2783&amp;mlon=45.3752&amp;zoom=12#map=12/35.2783/45.3752","Maplink1")</f>
        <v>Maplink1</v>
      </c>
      <c r="AT3350" s="20" t="str">
        <f aca="false">HYPERLINK("https://www.google.iq/maps/search/+35.2783,45.3752/@35.2783,45.3752,14z?hl=en","Maplink2")</f>
        <v>Maplink2</v>
      </c>
      <c r="AU3350" s="20" t="str">
        <f aca="false">HYPERLINK("http://www.bing.com/maps/?lvl=14&amp;sty=h&amp;cp=35.2783~45.3752&amp;sp=point.35.2783_45.3752","Maplink3")</f>
        <v>Maplink3</v>
      </c>
    </row>
    <row r="3351" customFormat="false" ht="15" hidden="false" customHeight="true" outlineLevel="0" collapsed="false">
      <c r="A3351" s="15" t="n">
        <v>24097</v>
      </c>
      <c r="B3351" s="16" t="s">
        <v>30</v>
      </c>
      <c r="C3351" s="16" t="s">
        <v>6287</v>
      </c>
      <c r="D3351" s="16" t="s">
        <v>6360</v>
      </c>
      <c r="E3351" s="17" t="s">
        <v>6361</v>
      </c>
      <c r="F3351" s="16" t="n">
        <v>35.56186438</v>
      </c>
      <c r="G3351" s="16" t="n">
        <v>45.48514325</v>
      </c>
      <c r="H3351" s="18" t="n">
        <v>105</v>
      </c>
      <c r="I3351" s="18" t="n">
        <v>630</v>
      </c>
      <c r="J3351" s="19" t="n">
        <v>73</v>
      </c>
      <c r="K3351" s="19"/>
      <c r="L3351" s="19" t="n">
        <v>11</v>
      </c>
      <c r="M3351" s="19"/>
      <c r="N3351" s="19"/>
      <c r="O3351" s="19"/>
      <c r="P3351" s="19"/>
      <c r="Q3351" s="19"/>
      <c r="R3351" s="19"/>
      <c r="S3351" s="19"/>
      <c r="T3351" s="19"/>
      <c r="U3351" s="19"/>
      <c r="V3351" s="19" t="n">
        <v>17</v>
      </c>
      <c r="W3351" s="19"/>
      <c r="X3351" s="19" t="n">
        <v>4</v>
      </c>
      <c r="Y3351" s="19"/>
      <c r="Z3351" s="19"/>
      <c r="AA3351" s="19"/>
      <c r="AB3351" s="19"/>
      <c r="AC3351" s="19"/>
      <c r="AD3351" s="19"/>
      <c r="AE3351" s="19"/>
      <c r="AF3351" s="19"/>
      <c r="AG3351" s="19"/>
      <c r="AH3351" s="19" t="n">
        <v>105</v>
      </c>
      <c r="AI3351" s="19"/>
      <c r="AJ3351" s="19"/>
      <c r="AK3351" s="19"/>
      <c r="AL3351" s="19" t="n">
        <v>14</v>
      </c>
      <c r="AM3351" s="19" t="n">
        <v>36</v>
      </c>
      <c r="AN3351" s="19"/>
      <c r="AO3351" s="19" t="n">
        <v>24</v>
      </c>
      <c r="AP3351" s="19" t="n">
        <v>25</v>
      </c>
      <c r="AQ3351" s="19" t="n">
        <v>6</v>
      </c>
      <c r="AR3351" s="19"/>
      <c r="AS3351" s="20" t="str">
        <f aca="false">HYPERLINK("http://www.openstreetmap.org/?mlat=35.5619&amp;mlon=45.4851&amp;zoom=12#map=12/35.5619/45.4851","Maplink1")</f>
        <v>Maplink1</v>
      </c>
      <c r="AT3351" s="20" t="str">
        <f aca="false">HYPERLINK("https://www.google.iq/maps/search/+35.5619,45.4851/@35.5619,45.4851,14z?hl=en","Maplink2")</f>
        <v>Maplink2</v>
      </c>
      <c r="AU3351" s="20" t="str">
        <f aca="false">HYPERLINK("http://www.bing.com/maps/?lvl=14&amp;sty=h&amp;cp=35.5619~45.4851&amp;sp=point.35.5619_45.4851","Maplink3")</f>
        <v>Maplink3</v>
      </c>
    </row>
    <row r="3352" customFormat="false" ht="15" hidden="false" customHeight="true" outlineLevel="0" collapsed="false">
      <c r="A3352" s="15" t="n">
        <v>21319</v>
      </c>
      <c r="B3352" s="16" t="s">
        <v>30</v>
      </c>
      <c r="C3352" s="16" t="s">
        <v>6287</v>
      </c>
      <c r="D3352" s="16" t="s">
        <v>6362</v>
      </c>
      <c r="E3352" s="17" t="s">
        <v>6363</v>
      </c>
      <c r="F3352" s="16" t="n">
        <v>35.57472513</v>
      </c>
      <c r="G3352" s="16" t="n">
        <v>45.38726401</v>
      </c>
      <c r="H3352" s="18" t="n">
        <v>104</v>
      </c>
      <c r="I3352" s="18" t="n">
        <v>624</v>
      </c>
      <c r="J3352" s="19" t="n">
        <v>93</v>
      </c>
      <c r="K3352" s="19"/>
      <c r="L3352" s="19"/>
      <c r="M3352" s="19"/>
      <c r="N3352" s="19"/>
      <c r="O3352" s="19" t="n">
        <v>2</v>
      </c>
      <c r="P3352" s="19"/>
      <c r="Q3352" s="19"/>
      <c r="R3352" s="19"/>
      <c r="S3352" s="19"/>
      <c r="T3352" s="19"/>
      <c r="U3352" s="19"/>
      <c r="V3352" s="19" t="n">
        <v>9</v>
      </c>
      <c r="W3352" s="19"/>
      <c r="X3352" s="19"/>
      <c r="Y3352" s="19"/>
      <c r="Z3352" s="19"/>
      <c r="AA3352" s="19"/>
      <c r="AB3352" s="19"/>
      <c r="AC3352" s="19"/>
      <c r="AD3352" s="19"/>
      <c r="AE3352" s="19"/>
      <c r="AF3352" s="19"/>
      <c r="AG3352" s="19"/>
      <c r="AH3352" s="19" t="n">
        <v>104</v>
      </c>
      <c r="AI3352" s="19"/>
      <c r="AJ3352" s="19"/>
      <c r="AK3352" s="19"/>
      <c r="AL3352" s="19" t="n">
        <v>10</v>
      </c>
      <c r="AM3352" s="19" t="n">
        <v>7</v>
      </c>
      <c r="AN3352" s="19" t="n">
        <v>7</v>
      </c>
      <c r="AO3352" s="19" t="n">
        <v>42</v>
      </c>
      <c r="AP3352" s="19" t="n">
        <v>38</v>
      </c>
      <c r="AQ3352" s="19"/>
      <c r="AR3352" s="19"/>
      <c r="AS3352" s="20" t="str">
        <f aca="false">HYPERLINK("http://www.openstreetmap.org/?mlat=35.5747&amp;mlon=45.3873&amp;zoom=12#map=12/35.5747/45.3873","Maplink1")</f>
        <v>Maplink1</v>
      </c>
      <c r="AT3352" s="20" t="str">
        <f aca="false">HYPERLINK("https://www.google.iq/maps/search/+35.5747,45.3873/@35.5747,45.3873,14z?hl=en","Maplink2")</f>
        <v>Maplink2</v>
      </c>
      <c r="AU3352" s="20" t="str">
        <f aca="false">HYPERLINK("http://www.bing.com/maps/?lvl=14&amp;sty=h&amp;cp=35.5747~45.3873&amp;sp=point.35.5747_45.3873","Maplink3")</f>
        <v>Maplink3</v>
      </c>
    </row>
    <row r="3353" customFormat="false" ht="15" hidden="false" customHeight="true" outlineLevel="0" collapsed="false">
      <c r="A3353" s="15" t="n">
        <v>25383</v>
      </c>
      <c r="B3353" s="16" t="s">
        <v>30</v>
      </c>
      <c r="C3353" s="16" t="s">
        <v>6287</v>
      </c>
      <c r="D3353" s="16" t="s">
        <v>6364</v>
      </c>
      <c r="E3353" s="17" t="s">
        <v>6365</v>
      </c>
      <c r="F3353" s="16" t="n">
        <v>35.52140613</v>
      </c>
      <c r="G3353" s="16" t="n">
        <v>45.43790431</v>
      </c>
      <c r="H3353" s="18" t="n">
        <v>20</v>
      </c>
      <c r="I3353" s="18" t="n">
        <v>120</v>
      </c>
      <c r="J3353" s="19" t="n">
        <v>16</v>
      </c>
      <c r="K3353" s="19"/>
      <c r="L3353" s="19" t="n">
        <v>2</v>
      </c>
      <c r="M3353" s="19"/>
      <c r="N3353" s="19"/>
      <c r="O3353" s="19" t="n">
        <v>1</v>
      </c>
      <c r="P3353" s="19"/>
      <c r="Q3353" s="19"/>
      <c r="R3353" s="19"/>
      <c r="S3353" s="19"/>
      <c r="T3353" s="19"/>
      <c r="U3353" s="19"/>
      <c r="V3353" s="19" t="n">
        <v>1</v>
      </c>
      <c r="W3353" s="19"/>
      <c r="X3353" s="19"/>
      <c r="Y3353" s="19"/>
      <c r="Z3353" s="19"/>
      <c r="AA3353" s="19"/>
      <c r="AB3353" s="19"/>
      <c r="AC3353" s="19"/>
      <c r="AD3353" s="19"/>
      <c r="AE3353" s="19"/>
      <c r="AF3353" s="19"/>
      <c r="AG3353" s="19"/>
      <c r="AH3353" s="19" t="n">
        <v>20</v>
      </c>
      <c r="AI3353" s="19"/>
      <c r="AJ3353" s="19"/>
      <c r="AK3353" s="19"/>
      <c r="AL3353" s="19" t="n">
        <v>2</v>
      </c>
      <c r="AM3353" s="19" t="n">
        <v>5</v>
      </c>
      <c r="AN3353" s="19"/>
      <c r="AO3353" s="19" t="n">
        <v>9</v>
      </c>
      <c r="AP3353" s="19" t="n">
        <v>2</v>
      </c>
      <c r="AQ3353" s="19" t="n">
        <v>2</v>
      </c>
      <c r="AR3353" s="19"/>
      <c r="AS3353" s="20" t="str">
        <f aca="false">HYPERLINK("http://www.openstreetmap.org/?mlat=35.5214&amp;mlon=45.4379&amp;zoom=12#map=12/35.5214/45.4379","Maplink1")</f>
        <v>Maplink1</v>
      </c>
      <c r="AT3353" s="20" t="str">
        <f aca="false">HYPERLINK("https://www.google.iq/maps/search/+35.5214,45.4379/@35.5214,45.4379,14z?hl=en","Maplink2")</f>
        <v>Maplink2</v>
      </c>
      <c r="AU3353" s="20" t="str">
        <f aca="false">HYPERLINK("http://www.bing.com/maps/?lvl=14&amp;sty=h&amp;cp=35.5214~45.4379&amp;sp=point.35.5214_45.4379","Maplink3")</f>
        <v>Maplink3</v>
      </c>
    </row>
    <row r="3354" customFormat="false" ht="15" hidden="false" customHeight="true" outlineLevel="0" collapsed="false">
      <c r="A3354" s="15" t="n">
        <v>21254</v>
      </c>
      <c r="B3354" s="16" t="s">
        <v>30</v>
      </c>
      <c r="C3354" s="16" t="s">
        <v>6287</v>
      </c>
      <c r="D3354" s="16" t="s">
        <v>6366</v>
      </c>
      <c r="E3354" s="17" t="s">
        <v>6367</v>
      </c>
      <c r="F3354" s="16" t="n">
        <v>35.57088844</v>
      </c>
      <c r="G3354" s="16" t="n">
        <v>45.46524348</v>
      </c>
      <c r="H3354" s="18" t="n">
        <v>95</v>
      </c>
      <c r="I3354" s="18" t="n">
        <v>570</v>
      </c>
      <c r="J3354" s="19" t="n">
        <v>87</v>
      </c>
      <c r="K3354" s="19"/>
      <c r="L3354" s="19" t="n">
        <v>6</v>
      </c>
      <c r="M3354" s="19"/>
      <c r="N3354" s="19"/>
      <c r="O3354" s="19"/>
      <c r="P3354" s="19"/>
      <c r="Q3354" s="19"/>
      <c r="R3354" s="19"/>
      <c r="S3354" s="19"/>
      <c r="T3354" s="19"/>
      <c r="U3354" s="19"/>
      <c r="V3354" s="19"/>
      <c r="W3354" s="19"/>
      <c r="X3354" s="19" t="n">
        <v>2</v>
      </c>
      <c r="Y3354" s="19"/>
      <c r="Z3354" s="19"/>
      <c r="AA3354" s="19"/>
      <c r="AB3354" s="19"/>
      <c r="AC3354" s="19"/>
      <c r="AD3354" s="19" t="n">
        <v>23</v>
      </c>
      <c r="AE3354" s="19"/>
      <c r="AF3354" s="19"/>
      <c r="AG3354" s="19"/>
      <c r="AH3354" s="19" t="n">
        <v>72</v>
      </c>
      <c r="AI3354" s="19"/>
      <c r="AJ3354" s="19"/>
      <c r="AK3354" s="19"/>
      <c r="AL3354" s="19" t="n">
        <v>20</v>
      </c>
      <c r="AM3354" s="19" t="n">
        <v>7</v>
      </c>
      <c r="AN3354" s="19"/>
      <c r="AO3354" s="19" t="n">
        <v>38</v>
      </c>
      <c r="AP3354" s="19" t="n">
        <v>22</v>
      </c>
      <c r="AQ3354" s="19" t="n">
        <v>8</v>
      </c>
      <c r="AR3354" s="19"/>
      <c r="AS3354" s="20" t="str">
        <f aca="false">HYPERLINK("http://www.openstreetmap.org/?mlat=35.5709&amp;mlon=45.4652&amp;zoom=12#map=12/35.5709/45.4652","Maplink1")</f>
        <v>Maplink1</v>
      </c>
      <c r="AT3354" s="20" t="str">
        <f aca="false">HYPERLINK("https://www.google.iq/maps/search/+35.5709,45.4652/@35.5709,45.4652,14z?hl=en","Maplink2")</f>
        <v>Maplink2</v>
      </c>
      <c r="AU3354" s="20" t="str">
        <f aca="false">HYPERLINK("http://www.bing.com/maps/?lvl=14&amp;sty=h&amp;cp=35.5709~45.4652&amp;sp=point.35.5709_45.4652","Maplink3")</f>
        <v>Maplink3</v>
      </c>
    </row>
    <row r="3355" customFormat="false" ht="15" hidden="false" customHeight="true" outlineLevel="0" collapsed="false">
      <c r="A3355" s="15" t="n">
        <v>25384</v>
      </c>
      <c r="B3355" s="16" t="s">
        <v>30</v>
      </c>
      <c r="C3355" s="16" t="s">
        <v>6287</v>
      </c>
      <c r="D3355" s="16" t="s">
        <v>6368</v>
      </c>
      <c r="E3355" s="17" t="s">
        <v>6369</v>
      </c>
      <c r="F3355" s="16" t="n">
        <v>35.5265958</v>
      </c>
      <c r="G3355" s="16" t="n">
        <v>45.43371608</v>
      </c>
      <c r="H3355" s="18" t="n">
        <v>156</v>
      </c>
      <c r="I3355" s="18" t="n">
        <v>936</v>
      </c>
      <c r="J3355" s="19" t="n">
        <v>116</v>
      </c>
      <c r="K3355" s="19"/>
      <c r="L3355" s="19" t="n">
        <v>18</v>
      </c>
      <c r="M3355" s="19"/>
      <c r="N3355" s="19"/>
      <c r="O3355" s="19" t="n">
        <v>2</v>
      </c>
      <c r="P3355" s="19"/>
      <c r="Q3355" s="19"/>
      <c r="R3355" s="19"/>
      <c r="S3355" s="19"/>
      <c r="T3355" s="19"/>
      <c r="U3355" s="19"/>
      <c r="V3355" s="19" t="n">
        <v>4</v>
      </c>
      <c r="W3355" s="19"/>
      <c r="X3355" s="19" t="n">
        <v>16</v>
      </c>
      <c r="Y3355" s="19"/>
      <c r="Z3355" s="19"/>
      <c r="AA3355" s="19"/>
      <c r="AB3355" s="19"/>
      <c r="AC3355" s="19"/>
      <c r="AD3355" s="19"/>
      <c r="AE3355" s="19"/>
      <c r="AF3355" s="19"/>
      <c r="AG3355" s="19"/>
      <c r="AH3355" s="19" t="n">
        <v>156</v>
      </c>
      <c r="AI3355" s="19"/>
      <c r="AJ3355" s="19"/>
      <c r="AK3355" s="19"/>
      <c r="AL3355" s="19" t="n">
        <v>8</v>
      </c>
      <c r="AM3355" s="19" t="n">
        <v>19</v>
      </c>
      <c r="AN3355" s="19" t="n">
        <v>13</v>
      </c>
      <c r="AO3355" s="19" t="n">
        <v>33</v>
      </c>
      <c r="AP3355" s="19" t="n">
        <v>60</v>
      </c>
      <c r="AQ3355" s="19" t="n">
        <v>23</v>
      </c>
      <c r="AR3355" s="19"/>
      <c r="AS3355" s="20" t="str">
        <f aca="false">HYPERLINK("http://www.openstreetmap.org/?mlat=35.5266&amp;mlon=45.4337&amp;zoom=12#map=12/35.5266/45.4337","Maplink1")</f>
        <v>Maplink1</v>
      </c>
      <c r="AT3355" s="20" t="str">
        <f aca="false">HYPERLINK("https://www.google.iq/maps/search/+35.5266,45.4337/@35.5266,45.4337,14z?hl=en","Maplink2")</f>
        <v>Maplink2</v>
      </c>
      <c r="AU3355" s="20" t="str">
        <f aca="false">HYPERLINK("http://www.bing.com/maps/?lvl=14&amp;sty=h&amp;cp=35.5266~45.4337&amp;sp=point.35.5266_45.4337","Maplink3")</f>
        <v>Maplink3</v>
      </c>
    </row>
    <row r="3356" customFormat="false" ht="15" hidden="false" customHeight="true" outlineLevel="0" collapsed="false">
      <c r="A3356" s="15" t="n">
        <v>21061</v>
      </c>
      <c r="B3356" s="16" t="s">
        <v>30</v>
      </c>
      <c r="C3356" s="16" t="s">
        <v>6287</v>
      </c>
      <c r="D3356" s="16" t="s">
        <v>6370</v>
      </c>
      <c r="E3356" s="17" t="s">
        <v>6371</v>
      </c>
      <c r="F3356" s="16" t="n">
        <v>35.5804644</v>
      </c>
      <c r="G3356" s="16" t="n">
        <v>45.45790711</v>
      </c>
      <c r="H3356" s="18" t="n">
        <v>53</v>
      </c>
      <c r="I3356" s="18" t="n">
        <v>318</v>
      </c>
      <c r="J3356" s="19" t="n">
        <v>32</v>
      </c>
      <c r="K3356" s="19"/>
      <c r="L3356" s="19" t="n">
        <v>4</v>
      </c>
      <c r="M3356" s="19"/>
      <c r="N3356" s="19"/>
      <c r="O3356" s="19"/>
      <c r="P3356" s="19"/>
      <c r="Q3356" s="19"/>
      <c r="R3356" s="19"/>
      <c r="S3356" s="19"/>
      <c r="T3356" s="19"/>
      <c r="U3356" s="19"/>
      <c r="V3356" s="19" t="n">
        <v>7</v>
      </c>
      <c r="W3356" s="19"/>
      <c r="X3356" s="19" t="n">
        <v>10</v>
      </c>
      <c r="Y3356" s="19"/>
      <c r="Z3356" s="19"/>
      <c r="AA3356" s="19"/>
      <c r="AB3356" s="19"/>
      <c r="AC3356" s="19"/>
      <c r="AD3356" s="19"/>
      <c r="AE3356" s="19"/>
      <c r="AF3356" s="19"/>
      <c r="AG3356" s="19"/>
      <c r="AH3356" s="19" t="n">
        <v>53</v>
      </c>
      <c r="AI3356" s="19"/>
      <c r="AJ3356" s="19"/>
      <c r="AK3356" s="19"/>
      <c r="AL3356" s="19" t="n">
        <v>14</v>
      </c>
      <c r="AM3356" s="19" t="n">
        <v>9</v>
      </c>
      <c r="AN3356" s="19" t="n">
        <v>7</v>
      </c>
      <c r="AO3356" s="19" t="n">
        <v>2</v>
      </c>
      <c r="AP3356" s="19" t="n">
        <v>16</v>
      </c>
      <c r="AQ3356" s="19" t="n">
        <v>5</v>
      </c>
      <c r="AR3356" s="19"/>
      <c r="AS3356" s="20" t="str">
        <f aca="false">HYPERLINK("http://www.openstreetmap.org/?mlat=35.5805&amp;mlon=45.4579&amp;zoom=12#map=12/35.5805/45.4579","Maplink1")</f>
        <v>Maplink1</v>
      </c>
      <c r="AT3356" s="20" t="str">
        <f aca="false">HYPERLINK("https://www.google.iq/maps/search/+35.5805,45.4579/@35.5805,45.4579,14z?hl=en","Maplink2")</f>
        <v>Maplink2</v>
      </c>
      <c r="AU3356" s="20" t="str">
        <f aca="false">HYPERLINK("http://www.bing.com/maps/?lvl=14&amp;sty=h&amp;cp=35.5805~45.4579&amp;sp=point.35.5805_45.4579","Maplink3")</f>
        <v>Maplink3</v>
      </c>
    </row>
    <row r="3357" customFormat="false" ht="15" hidden="false" customHeight="true" outlineLevel="0" collapsed="false">
      <c r="A3357" s="15" t="n">
        <v>23718</v>
      </c>
      <c r="B3357" s="16" t="s">
        <v>30</v>
      </c>
      <c r="C3357" s="16" t="s">
        <v>6287</v>
      </c>
      <c r="D3357" s="16" t="s">
        <v>6372</v>
      </c>
      <c r="E3357" s="17" t="s">
        <v>6373</v>
      </c>
      <c r="F3357" s="16" t="n">
        <v>35.60643116</v>
      </c>
      <c r="G3357" s="16" t="n">
        <v>45.41239521</v>
      </c>
      <c r="H3357" s="18" t="n">
        <v>217</v>
      </c>
      <c r="I3357" s="18" t="n">
        <v>1302</v>
      </c>
      <c r="J3357" s="19" t="n">
        <v>190</v>
      </c>
      <c r="K3357" s="19"/>
      <c r="L3357" s="19" t="n">
        <v>15</v>
      </c>
      <c r="M3357" s="19"/>
      <c r="N3357" s="19"/>
      <c r="O3357" s="19" t="n">
        <v>4</v>
      </c>
      <c r="P3357" s="19"/>
      <c r="Q3357" s="19"/>
      <c r="R3357" s="19"/>
      <c r="S3357" s="19"/>
      <c r="T3357" s="19"/>
      <c r="U3357" s="19"/>
      <c r="V3357" s="19" t="n">
        <v>3</v>
      </c>
      <c r="W3357" s="19"/>
      <c r="X3357" s="19" t="n">
        <v>5</v>
      </c>
      <c r="Y3357" s="19"/>
      <c r="Z3357" s="19"/>
      <c r="AA3357" s="19"/>
      <c r="AB3357" s="19"/>
      <c r="AC3357" s="19"/>
      <c r="AD3357" s="19"/>
      <c r="AE3357" s="19"/>
      <c r="AF3357" s="19"/>
      <c r="AG3357" s="19"/>
      <c r="AH3357" s="19" t="n">
        <v>217</v>
      </c>
      <c r="AI3357" s="19"/>
      <c r="AJ3357" s="19"/>
      <c r="AK3357" s="19"/>
      <c r="AL3357" s="19" t="n">
        <v>43</v>
      </c>
      <c r="AM3357" s="19" t="n">
        <v>41</v>
      </c>
      <c r="AN3357" s="19" t="n">
        <v>25</v>
      </c>
      <c r="AO3357" s="19" t="n">
        <v>38</v>
      </c>
      <c r="AP3357" s="19" t="n">
        <v>37</v>
      </c>
      <c r="AQ3357" s="19" t="n">
        <v>33</v>
      </c>
      <c r="AR3357" s="19"/>
      <c r="AS3357" s="20" t="str">
        <f aca="false">HYPERLINK("http://www.openstreetmap.org/?mlat=35.6064&amp;mlon=45.4124&amp;zoom=12#map=12/35.6064/45.4124","Maplink1")</f>
        <v>Maplink1</v>
      </c>
      <c r="AT3357" s="20" t="str">
        <f aca="false">HYPERLINK("https://www.google.iq/maps/search/+35.6064,45.4124/@35.6064,45.4124,14z?hl=en","Maplink2")</f>
        <v>Maplink2</v>
      </c>
      <c r="AU3357" s="20" t="str">
        <f aca="false">HYPERLINK("http://www.bing.com/maps/?lvl=14&amp;sty=h&amp;cp=35.6064~45.4124&amp;sp=point.35.6064_45.4124","Maplink3")</f>
        <v>Maplink3</v>
      </c>
    </row>
    <row r="3358" customFormat="false" ht="15" hidden="false" customHeight="true" outlineLevel="0" collapsed="false">
      <c r="A3358" s="15" t="n">
        <v>23870</v>
      </c>
      <c r="B3358" s="16" t="s">
        <v>30</v>
      </c>
      <c r="C3358" s="16" t="s">
        <v>6287</v>
      </c>
      <c r="D3358" s="16" t="s">
        <v>6374</v>
      </c>
      <c r="E3358" s="17" t="s">
        <v>6375</v>
      </c>
      <c r="F3358" s="16" t="n">
        <v>35.57730427</v>
      </c>
      <c r="G3358" s="16" t="n">
        <v>45.44892911</v>
      </c>
      <c r="H3358" s="18" t="n">
        <v>26</v>
      </c>
      <c r="I3358" s="18" t="n">
        <v>156</v>
      </c>
      <c r="J3358" s="19" t="n">
        <v>19</v>
      </c>
      <c r="K3358" s="19"/>
      <c r="L3358" s="19"/>
      <c r="M3358" s="19"/>
      <c r="N3358" s="19"/>
      <c r="O3358" s="19"/>
      <c r="P3358" s="19"/>
      <c r="Q3358" s="19"/>
      <c r="R3358" s="19"/>
      <c r="S3358" s="19"/>
      <c r="T3358" s="19"/>
      <c r="U3358" s="19"/>
      <c r="V3358" s="19" t="n">
        <v>4</v>
      </c>
      <c r="W3358" s="19"/>
      <c r="X3358" s="19" t="n">
        <v>3</v>
      </c>
      <c r="Y3358" s="19"/>
      <c r="Z3358" s="19"/>
      <c r="AA3358" s="19"/>
      <c r="AB3358" s="19"/>
      <c r="AC3358" s="19"/>
      <c r="AD3358" s="19"/>
      <c r="AE3358" s="19"/>
      <c r="AF3358" s="19"/>
      <c r="AG3358" s="19"/>
      <c r="AH3358" s="19" t="n">
        <v>26</v>
      </c>
      <c r="AI3358" s="19"/>
      <c r="AJ3358" s="19"/>
      <c r="AK3358" s="19"/>
      <c r="AL3358" s="19"/>
      <c r="AM3358" s="19" t="n">
        <v>2</v>
      </c>
      <c r="AN3358" s="19" t="n">
        <v>4</v>
      </c>
      <c r="AO3358" s="19" t="n">
        <v>10</v>
      </c>
      <c r="AP3358" s="19" t="n">
        <v>10</v>
      </c>
      <c r="AQ3358" s="19"/>
      <c r="AR3358" s="19"/>
      <c r="AS3358" s="20" t="str">
        <f aca="false">HYPERLINK("http://www.openstreetmap.org/?mlat=35.5773&amp;mlon=45.4489&amp;zoom=12#map=12/35.5773/45.4489","Maplink1")</f>
        <v>Maplink1</v>
      </c>
      <c r="AT3358" s="20" t="str">
        <f aca="false">HYPERLINK("https://www.google.iq/maps/search/+35.5773,45.4489/@35.5773,45.4489,14z?hl=en","Maplink2")</f>
        <v>Maplink2</v>
      </c>
      <c r="AU3358" s="20" t="str">
        <f aca="false">HYPERLINK("http://www.bing.com/maps/?lvl=14&amp;sty=h&amp;cp=35.5773~45.4489&amp;sp=point.35.5773_45.4489","Maplink3")</f>
        <v>Maplink3</v>
      </c>
    </row>
    <row r="3359" customFormat="false" ht="15" hidden="false" customHeight="true" outlineLevel="0" collapsed="false">
      <c r="A3359" s="15" t="n">
        <v>4486</v>
      </c>
      <c r="B3359" s="16" t="s">
        <v>30</v>
      </c>
      <c r="C3359" s="16" t="s">
        <v>6287</v>
      </c>
      <c r="D3359" s="16" t="s">
        <v>6376</v>
      </c>
      <c r="E3359" s="17" t="s">
        <v>6377</v>
      </c>
      <c r="F3359" s="16" t="n">
        <v>35.49992888</v>
      </c>
      <c r="G3359" s="16" t="n">
        <v>45.4384516</v>
      </c>
      <c r="H3359" s="18" t="n">
        <v>72</v>
      </c>
      <c r="I3359" s="18" t="n">
        <v>432</v>
      </c>
      <c r="J3359" s="19" t="n">
        <v>26</v>
      </c>
      <c r="K3359" s="19"/>
      <c r="L3359" s="19" t="n">
        <v>7</v>
      </c>
      <c r="M3359" s="19"/>
      <c r="N3359" s="19"/>
      <c r="O3359" s="19" t="n">
        <v>18</v>
      </c>
      <c r="P3359" s="19"/>
      <c r="Q3359" s="19"/>
      <c r="R3359" s="19"/>
      <c r="S3359" s="19"/>
      <c r="T3359" s="19"/>
      <c r="U3359" s="19"/>
      <c r="V3359" s="19" t="n">
        <v>13</v>
      </c>
      <c r="W3359" s="19"/>
      <c r="X3359" s="19" t="n">
        <v>8</v>
      </c>
      <c r="Y3359" s="19"/>
      <c r="Z3359" s="19"/>
      <c r="AA3359" s="19"/>
      <c r="AB3359" s="19"/>
      <c r="AC3359" s="19"/>
      <c r="AD3359" s="19"/>
      <c r="AE3359" s="19"/>
      <c r="AF3359" s="19"/>
      <c r="AG3359" s="19"/>
      <c r="AH3359" s="19" t="n">
        <v>72</v>
      </c>
      <c r="AI3359" s="19"/>
      <c r="AJ3359" s="19"/>
      <c r="AK3359" s="19"/>
      <c r="AL3359" s="19"/>
      <c r="AM3359" s="19" t="n">
        <v>33</v>
      </c>
      <c r="AN3359" s="19" t="n">
        <v>5</v>
      </c>
      <c r="AO3359" s="19" t="n">
        <v>9</v>
      </c>
      <c r="AP3359" s="19" t="n">
        <v>6</v>
      </c>
      <c r="AQ3359" s="19" t="n">
        <v>19</v>
      </c>
      <c r="AR3359" s="19"/>
      <c r="AS3359" s="20" t="str">
        <f aca="false">HYPERLINK("http://www.openstreetmap.org/?mlat=35.4999&amp;mlon=45.4385&amp;zoom=12#map=12/35.4999/45.4385","Maplink1")</f>
        <v>Maplink1</v>
      </c>
      <c r="AT3359" s="20" t="str">
        <f aca="false">HYPERLINK("https://www.google.iq/maps/search/+35.4999,45.4385/@35.4999,45.4385,14z?hl=en","Maplink2")</f>
        <v>Maplink2</v>
      </c>
      <c r="AU3359" s="20" t="str">
        <f aca="false">HYPERLINK("http://www.bing.com/maps/?lvl=14&amp;sty=h&amp;cp=35.4999~45.4385&amp;sp=point.35.4999_45.4385","Maplink3")</f>
        <v>Maplink3</v>
      </c>
    </row>
    <row r="3360" customFormat="false" ht="15" hidden="false" customHeight="true" outlineLevel="0" collapsed="false">
      <c r="A3360" s="15" t="n">
        <v>21205</v>
      </c>
      <c r="B3360" s="16" t="s">
        <v>30</v>
      </c>
      <c r="C3360" s="16" t="s">
        <v>6287</v>
      </c>
      <c r="D3360" s="16" t="s">
        <v>6378</v>
      </c>
      <c r="E3360" s="17" t="s">
        <v>6379</v>
      </c>
      <c r="F3360" s="16" t="n">
        <v>35.54902275</v>
      </c>
      <c r="G3360" s="16" t="n">
        <v>45.47341811</v>
      </c>
      <c r="H3360" s="18" t="n">
        <v>143</v>
      </c>
      <c r="I3360" s="18" t="n">
        <v>858</v>
      </c>
      <c r="J3360" s="19" t="n">
        <v>110</v>
      </c>
      <c r="K3360" s="19"/>
      <c r="L3360" s="19" t="n">
        <v>16</v>
      </c>
      <c r="M3360" s="19"/>
      <c r="N3360" s="19"/>
      <c r="O3360" s="19" t="n">
        <v>4</v>
      </c>
      <c r="P3360" s="19"/>
      <c r="Q3360" s="19"/>
      <c r="R3360" s="19"/>
      <c r="S3360" s="19"/>
      <c r="T3360" s="19"/>
      <c r="U3360" s="19"/>
      <c r="V3360" s="19" t="n">
        <v>4</v>
      </c>
      <c r="W3360" s="19"/>
      <c r="X3360" s="19" t="n">
        <v>9</v>
      </c>
      <c r="Y3360" s="19"/>
      <c r="Z3360" s="19"/>
      <c r="AA3360" s="19"/>
      <c r="AB3360" s="19"/>
      <c r="AC3360" s="19"/>
      <c r="AD3360" s="19"/>
      <c r="AE3360" s="19"/>
      <c r="AF3360" s="19"/>
      <c r="AG3360" s="19"/>
      <c r="AH3360" s="19" t="n">
        <v>143</v>
      </c>
      <c r="AI3360" s="19"/>
      <c r="AJ3360" s="19"/>
      <c r="AK3360" s="19"/>
      <c r="AL3360" s="19" t="n">
        <v>8</v>
      </c>
      <c r="AM3360" s="19" t="n">
        <v>13</v>
      </c>
      <c r="AN3360" s="19" t="n">
        <v>11</v>
      </c>
      <c r="AO3360" s="19" t="n">
        <v>50</v>
      </c>
      <c r="AP3360" s="19" t="n">
        <v>51</v>
      </c>
      <c r="AQ3360" s="19" t="n">
        <v>10</v>
      </c>
      <c r="AR3360" s="19"/>
      <c r="AS3360" s="20" t="str">
        <f aca="false">HYPERLINK("http://www.openstreetmap.org/?mlat=35.549&amp;mlon=45.4734&amp;zoom=12#map=12/35.549/45.4734","Maplink1")</f>
        <v>Maplink1</v>
      </c>
      <c r="AT3360" s="20" t="str">
        <f aca="false">HYPERLINK("https://www.google.iq/maps/search/+35.549,45.4734/@35.549,45.4734,14z?hl=en","Maplink2")</f>
        <v>Maplink2</v>
      </c>
      <c r="AU3360" s="20" t="str">
        <f aca="false">HYPERLINK("http://www.bing.com/maps/?lvl=14&amp;sty=h&amp;cp=35.549~45.4734&amp;sp=point.35.549_45.4734","Maplink3")</f>
        <v>Maplink3</v>
      </c>
    </row>
    <row r="3361" customFormat="false" ht="15" hidden="false" customHeight="true" outlineLevel="0" collapsed="false">
      <c r="A3361" s="15" t="n">
        <v>25302</v>
      </c>
      <c r="B3361" s="16" t="s">
        <v>30</v>
      </c>
      <c r="C3361" s="16" t="s">
        <v>6287</v>
      </c>
      <c r="D3361" s="16" t="s">
        <v>6380</v>
      </c>
      <c r="E3361" s="17" t="s">
        <v>6381</v>
      </c>
      <c r="F3361" s="16" t="n">
        <v>35.55884685</v>
      </c>
      <c r="G3361" s="16" t="n">
        <v>45.45270853</v>
      </c>
      <c r="H3361" s="18" t="n">
        <v>80</v>
      </c>
      <c r="I3361" s="18" t="n">
        <v>480</v>
      </c>
      <c r="J3361" s="19" t="n">
        <v>73</v>
      </c>
      <c r="K3361" s="19"/>
      <c r="L3361" s="19"/>
      <c r="M3361" s="19"/>
      <c r="N3361" s="19"/>
      <c r="O3361" s="19" t="n">
        <v>2</v>
      </c>
      <c r="P3361" s="19"/>
      <c r="Q3361" s="19"/>
      <c r="R3361" s="19"/>
      <c r="S3361" s="19"/>
      <c r="T3361" s="19"/>
      <c r="U3361" s="19"/>
      <c r="V3361" s="19"/>
      <c r="W3361" s="19"/>
      <c r="X3361" s="19" t="n">
        <v>5</v>
      </c>
      <c r="Y3361" s="19"/>
      <c r="Z3361" s="19"/>
      <c r="AA3361" s="19"/>
      <c r="AB3361" s="19"/>
      <c r="AC3361" s="19"/>
      <c r="AD3361" s="19" t="n">
        <v>9</v>
      </c>
      <c r="AE3361" s="19"/>
      <c r="AF3361" s="19"/>
      <c r="AG3361" s="19"/>
      <c r="AH3361" s="19" t="n">
        <v>71</v>
      </c>
      <c r="AI3361" s="19"/>
      <c r="AJ3361" s="19"/>
      <c r="AK3361" s="19"/>
      <c r="AL3361" s="19" t="n">
        <v>14</v>
      </c>
      <c r="AM3361" s="19" t="n">
        <v>3</v>
      </c>
      <c r="AN3361" s="19" t="n">
        <v>16</v>
      </c>
      <c r="AO3361" s="19" t="n">
        <v>22</v>
      </c>
      <c r="AP3361" s="19" t="n">
        <v>14</v>
      </c>
      <c r="AQ3361" s="19" t="n">
        <v>11</v>
      </c>
      <c r="AR3361" s="19"/>
      <c r="AS3361" s="20" t="str">
        <f aca="false">HYPERLINK("http://www.openstreetmap.org/?mlat=35.5588&amp;mlon=45.4527&amp;zoom=12#map=12/35.5588/45.4527","Maplink1")</f>
        <v>Maplink1</v>
      </c>
      <c r="AT3361" s="20" t="str">
        <f aca="false">HYPERLINK("https://www.google.iq/maps/search/+35.5588,45.4527/@35.5588,45.4527,14z?hl=en","Maplink2")</f>
        <v>Maplink2</v>
      </c>
      <c r="AU3361" s="20" t="str">
        <f aca="false">HYPERLINK("http://www.bing.com/maps/?lvl=14&amp;sty=h&amp;cp=35.5588~45.4527&amp;sp=point.35.5588_45.4527","Maplink3")</f>
        <v>Maplink3</v>
      </c>
    </row>
    <row r="3362" customFormat="false" ht="15" hidden="false" customHeight="true" outlineLevel="0" collapsed="false">
      <c r="A3362" s="15" t="n">
        <v>25304</v>
      </c>
      <c r="B3362" s="16" t="s">
        <v>30</v>
      </c>
      <c r="C3362" s="16" t="s">
        <v>6287</v>
      </c>
      <c r="D3362" s="16" t="s">
        <v>6382</v>
      </c>
      <c r="E3362" s="17" t="s">
        <v>6383</v>
      </c>
      <c r="F3362" s="16" t="n">
        <v>35.56890571</v>
      </c>
      <c r="G3362" s="16" t="n">
        <v>45.4489815</v>
      </c>
      <c r="H3362" s="18" t="n">
        <v>29</v>
      </c>
      <c r="I3362" s="18" t="n">
        <v>174</v>
      </c>
      <c r="J3362" s="19" t="n">
        <v>26</v>
      </c>
      <c r="K3362" s="19"/>
      <c r="L3362" s="19"/>
      <c r="M3362" s="19"/>
      <c r="N3362" s="19"/>
      <c r="O3362" s="19"/>
      <c r="P3362" s="19"/>
      <c r="Q3362" s="19"/>
      <c r="R3362" s="19"/>
      <c r="S3362" s="19"/>
      <c r="T3362" s="19"/>
      <c r="U3362" s="19"/>
      <c r="V3362" s="19"/>
      <c r="W3362" s="19"/>
      <c r="X3362" s="19" t="n">
        <v>3</v>
      </c>
      <c r="Y3362" s="19"/>
      <c r="Z3362" s="19"/>
      <c r="AA3362" s="19"/>
      <c r="AB3362" s="19"/>
      <c r="AC3362" s="19"/>
      <c r="AD3362" s="19"/>
      <c r="AE3362" s="19"/>
      <c r="AF3362" s="19"/>
      <c r="AG3362" s="19"/>
      <c r="AH3362" s="19" t="n">
        <v>29</v>
      </c>
      <c r="AI3362" s="19"/>
      <c r="AJ3362" s="19"/>
      <c r="AK3362" s="19"/>
      <c r="AL3362" s="19" t="n">
        <v>8</v>
      </c>
      <c r="AM3362" s="19" t="n">
        <v>4</v>
      </c>
      <c r="AN3362" s="19"/>
      <c r="AO3362" s="19" t="n">
        <v>9</v>
      </c>
      <c r="AP3362" s="19" t="n">
        <v>8</v>
      </c>
      <c r="AQ3362" s="19"/>
      <c r="AR3362" s="19"/>
      <c r="AS3362" s="20" t="str">
        <f aca="false">HYPERLINK("http://www.openstreetmap.org/?mlat=35.5689&amp;mlon=45.449&amp;zoom=12#map=12/35.5689/45.449","Maplink1")</f>
        <v>Maplink1</v>
      </c>
      <c r="AT3362" s="20" t="str">
        <f aca="false">HYPERLINK("https://www.google.iq/maps/search/+35.5689,45.449/@35.5689,45.449,14z?hl=en","Maplink2")</f>
        <v>Maplink2</v>
      </c>
      <c r="AU3362" s="20" t="str">
        <f aca="false">HYPERLINK("http://www.bing.com/maps/?lvl=14&amp;sty=h&amp;cp=35.5689~45.449&amp;sp=point.35.5689_45.449","Maplink3")</f>
        <v>Maplink3</v>
      </c>
    </row>
    <row r="3363" customFormat="false" ht="15" hidden="false" customHeight="true" outlineLevel="0" collapsed="false">
      <c r="A3363" s="15" t="n">
        <v>5766</v>
      </c>
      <c r="B3363" s="16" t="s">
        <v>30</v>
      </c>
      <c r="C3363" s="16" t="s">
        <v>6287</v>
      </c>
      <c r="D3363" s="16" t="s">
        <v>6384</v>
      </c>
      <c r="E3363" s="17" t="s">
        <v>6385</v>
      </c>
      <c r="F3363" s="16" t="n">
        <v>35.60028389</v>
      </c>
      <c r="G3363" s="16" t="n">
        <v>45.42451335</v>
      </c>
      <c r="H3363" s="18" t="n">
        <v>41</v>
      </c>
      <c r="I3363" s="18" t="n">
        <v>246</v>
      </c>
      <c r="J3363" s="19" t="n">
        <v>28</v>
      </c>
      <c r="K3363" s="19"/>
      <c r="L3363" s="19"/>
      <c r="M3363" s="19"/>
      <c r="N3363" s="19"/>
      <c r="O3363" s="19"/>
      <c r="P3363" s="19"/>
      <c r="Q3363" s="19"/>
      <c r="R3363" s="19"/>
      <c r="S3363" s="19"/>
      <c r="T3363" s="19"/>
      <c r="U3363" s="19"/>
      <c r="V3363" s="19" t="n">
        <v>10</v>
      </c>
      <c r="W3363" s="19"/>
      <c r="X3363" s="19" t="n">
        <v>3</v>
      </c>
      <c r="Y3363" s="19"/>
      <c r="Z3363" s="19"/>
      <c r="AA3363" s="19"/>
      <c r="AB3363" s="19"/>
      <c r="AC3363" s="19"/>
      <c r="AD3363" s="19"/>
      <c r="AE3363" s="19"/>
      <c r="AF3363" s="19"/>
      <c r="AG3363" s="19"/>
      <c r="AH3363" s="19" t="n">
        <v>41</v>
      </c>
      <c r="AI3363" s="19"/>
      <c r="AJ3363" s="19"/>
      <c r="AK3363" s="19"/>
      <c r="AL3363" s="19" t="n">
        <v>7</v>
      </c>
      <c r="AM3363" s="19" t="n">
        <v>3</v>
      </c>
      <c r="AN3363" s="19" t="n">
        <v>10</v>
      </c>
      <c r="AO3363" s="19" t="n">
        <v>7</v>
      </c>
      <c r="AP3363" s="19" t="n">
        <v>8</v>
      </c>
      <c r="AQ3363" s="19" t="n">
        <v>6</v>
      </c>
      <c r="AR3363" s="19"/>
      <c r="AS3363" s="20" t="str">
        <f aca="false">HYPERLINK("http://www.openstreetmap.org/?mlat=35.6003&amp;mlon=45.4245&amp;zoom=12#map=12/35.6003/45.4245","Maplink1")</f>
        <v>Maplink1</v>
      </c>
      <c r="AT3363" s="20" t="str">
        <f aca="false">HYPERLINK("https://www.google.iq/maps/search/+35.6003,45.4245/@35.6003,45.4245,14z?hl=en","Maplink2")</f>
        <v>Maplink2</v>
      </c>
      <c r="AU3363" s="20" t="str">
        <f aca="false">HYPERLINK("http://www.bing.com/maps/?lvl=14&amp;sty=h&amp;cp=35.6003~45.4245&amp;sp=point.35.6003_45.4245","Maplink3")</f>
        <v>Maplink3</v>
      </c>
    </row>
    <row r="3364" customFormat="false" ht="15" hidden="false" customHeight="true" outlineLevel="0" collapsed="false">
      <c r="A3364" s="15" t="n">
        <v>24254</v>
      </c>
      <c r="B3364" s="16" t="s">
        <v>30</v>
      </c>
      <c r="C3364" s="16" t="s">
        <v>6287</v>
      </c>
      <c r="D3364" s="16" t="s">
        <v>6386</v>
      </c>
      <c r="E3364" s="17" t="s">
        <v>6387</v>
      </c>
      <c r="F3364" s="16" t="n">
        <v>35.59558103</v>
      </c>
      <c r="G3364" s="16" t="n">
        <v>45.25618484</v>
      </c>
      <c r="H3364" s="18" t="n">
        <v>90</v>
      </c>
      <c r="I3364" s="18" t="n">
        <v>540</v>
      </c>
      <c r="J3364" s="19" t="n">
        <v>25</v>
      </c>
      <c r="K3364" s="19" t="n">
        <v>2</v>
      </c>
      <c r="L3364" s="19" t="n">
        <v>2</v>
      </c>
      <c r="M3364" s="19"/>
      <c r="N3364" s="19"/>
      <c r="O3364" s="19" t="n">
        <v>3</v>
      </c>
      <c r="P3364" s="19"/>
      <c r="Q3364" s="19"/>
      <c r="R3364" s="19"/>
      <c r="S3364" s="19"/>
      <c r="T3364" s="19"/>
      <c r="U3364" s="19"/>
      <c r="V3364" s="19" t="n">
        <v>56</v>
      </c>
      <c r="W3364" s="19"/>
      <c r="X3364" s="19" t="n">
        <v>2</v>
      </c>
      <c r="Y3364" s="19"/>
      <c r="Z3364" s="19"/>
      <c r="AA3364" s="19"/>
      <c r="AB3364" s="19"/>
      <c r="AC3364" s="19"/>
      <c r="AD3364" s="19"/>
      <c r="AE3364" s="19"/>
      <c r="AF3364" s="19"/>
      <c r="AG3364" s="19"/>
      <c r="AH3364" s="19" t="n">
        <v>82</v>
      </c>
      <c r="AI3364" s="19"/>
      <c r="AJ3364" s="19" t="n">
        <v>8</v>
      </c>
      <c r="AK3364" s="19"/>
      <c r="AL3364" s="19" t="n">
        <v>11</v>
      </c>
      <c r="AM3364" s="19" t="n">
        <v>6</v>
      </c>
      <c r="AN3364" s="19" t="n">
        <v>59</v>
      </c>
      <c r="AO3364" s="19" t="n">
        <v>5</v>
      </c>
      <c r="AP3364" s="19" t="n">
        <v>9</v>
      </c>
      <c r="AQ3364" s="19"/>
      <c r="AR3364" s="19"/>
      <c r="AS3364" s="20" t="str">
        <f aca="false">HYPERLINK("http://www.openstreetmap.org/?mlat=35.5956&amp;mlon=45.2562&amp;zoom=12#map=12/35.5956/45.2562","Maplink1")</f>
        <v>Maplink1</v>
      </c>
      <c r="AT3364" s="20" t="str">
        <f aca="false">HYPERLINK("https://www.google.iq/maps/search/+35.5956,45.2562/@35.5956,45.2562,14z?hl=en","Maplink2")</f>
        <v>Maplink2</v>
      </c>
      <c r="AU3364" s="20" t="str">
        <f aca="false">HYPERLINK("http://www.bing.com/maps/?lvl=14&amp;sty=h&amp;cp=35.5956~45.2562&amp;sp=point.35.5956_45.2562","Maplink3")</f>
        <v>Maplink3</v>
      </c>
    </row>
    <row r="3365" customFormat="false" ht="15" hidden="false" customHeight="true" outlineLevel="0" collapsed="false">
      <c r="A3365" s="15" t="n">
        <v>5771</v>
      </c>
      <c r="B3365" s="16" t="s">
        <v>30</v>
      </c>
      <c r="C3365" s="16" t="s">
        <v>6287</v>
      </c>
      <c r="D3365" s="16" t="s">
        <v>6388</v>
      </c>
      <c r="E3365" s="17" t="s">
        <v>6389</v>
      </c>
      <c r="F3365" s="16" t="n">
        <v>35.53713245</v>
      </c>
      <c r="G3365" s="16" t="n">
        <v>45.38801098</v>
      </c>
      <c r="H3365" s="18" t="n">
        <v>56</v>
      </c>
      <c r="I3365" s="18" t="n">
        <v>336</v>
      </c>
      <c r="J3365" s="19" t="n">
        <v>27</v>
      </c>
      <c r="K3365" s="19"/>
      <c r="L3365" s="19" t="n">
        <v>20</v>
      </c>
      <c r="M3365" s="19"/>
      <c r="N3365" s="19"/>
      <c r="O3365" s="19" t="n">
        <v>2</v>
      </c>
      <c r="P3365" s="19"/>
      <c r="Q3365" s="19"/>
      <c r="R3365" s="19"/>
      <c r="S3365" s="19"/>
      <c r="T3365" s="19"/>
      <c r="U3365" s="19"/>
      <c r="V3365" s="19"/>
      <c r="W3365" s="19"/>
      <c r="X3365" s="19" t="n">
        <v>7</v>
      </c>
      <c r="Y3365" s="19"/>
      <c r="Z3365" s="19"/>
      <c r="AA3365" s="19"/>
      <c r="AB3365" s="19"/>
      <c r="AC3365" s="19"/>
      <c r="AD3365" s="19"/>
      <c r="AE3365" s="19"/>
      <c r="AF3365" s="19"/>
      <c r="AG3365" s="19"/>
      <c r="AH3365" s="19" t="n">
        <v>56</v>
      </c>
      <c r="AI3365" s="19"/>
      <c r="AJ3365" s="19"/>
      <c r="AK3365" s="19"/>
      <c r="AL3365" s="19" t="n">
        <v>6</v>
      </c>
      <c r="AM3365" s="19" t="n">
        <v>16</v>
      </c>
      <c r="AN3365" s="19" t="n">
        <v>3</v>
      </c>
      <c r="AO3365" s="19" t="n">
        <v>15</v>
      </c>
      <c r="AP3365" s="19" t="n">
        <v>10</v>
      </c>
      <c r="AQ3365" s="19" t="n">
        <v>6</v>
      </c>
      <c r="AR3365" s="19"/>
      <c r="AS3365" s="20" t="str">
        <f aca="false">HYPERLINK("http://www.openstreetmap.org/?mlat=35.5371&amp;mlon=45.388&amp;zoom=12#map=12/35.5371/45.388","Maplink1")</f>
        <v>Maplink1</v>
      </c>
      <c r="AT3365" s="20" t="str">
        <f aca="false">HYPERLINK("https://www.google.iq/maps/search/+35.5371,45.388/@35.5371,45.388,14z?hl=en","Maplink2")</f>
        <v>Maplink2</v>
      </c>
      <c r="AU3365" s="20" t="str">
        <f aca="false">HYPERLINK("http://www.bing.com/maps/?lvl=14&amp;sty=h&amp;cp=35.5371~45.388&amp;sp=point.35.5371_45.388","Maplink3")</f>
        <v>Maplink3</v>
      </c>
    </row>
    <row r="3366" customFormat="false" ht="15" hidden="false" customHeight="true" outlineLevel="0" collapsed="false">
      <c r="A3366" s="15" t="n">
        <v>5882</v>
      </c>
      <c r="B3366" s="16" t="s">
        <v>30</v>
      </c>
      <c r="C3366" s="16" t="s">
        <v>6287</v>
      </c>
      <c r="D3366" s="16" t="s">
        <v>6390</v>
      </c>
      <c r="E3366" s="17" t="s">
        <v>6391</v>
      </c>
      <c r="F3366" s="16" t="n">
        <v>35.52564283</v>
      </c>
      <c r="G3366" s="16" t="n">
        <v>45.38402731</v>
      </c>
      <c r="H3366" s="18" t="n">
        <v>116</v>
      </c>
      <c r="I3366" s="18" t="n">
        <v>696</v>
      </c>
      <c r="J3366" s="19" t="n">
        <v>78</v>
      </c>
      <c r="K3366" s="19"/>
      <c r="L3366" s="19" t="n">
        <v>17</v>
      </c>
      <c r="M3366" s="19"/>
      <c r="N3366" s="19"/>
      <c r="O3366" s="19" t="n">
        <v>17</v>
      </c>
      <c r="P3366" s="19"/>
      <c r="Q3366" s="19"/>
      <c r="R3366" s="19"/>
      <c r="S3366" s="19"/>
      <c r="T3366" s="19"/>
      <c r="U3366" s="19"/>
      <c r="V3366" s="19"/>
      <c r="W3366" s="19"/>
      <c r="X3366" s="19" t="n">
        <v>4</v>
      </c>
      <c r="Y3366" s="19"/>
      <c r="Z3366" s="19"/>
      <c r="AA3366" s="19"/>
      <c r="AB3366" s="19"/>
      <c r="AC3366" s="19"/>
      <c r="AD3366" s="19"/>
      <c r="AE3366" s="19"/>
      <c r="AF3366" s="19"/>
      <c r="AG3366" s="19"/>
      <c r="AH3366" s="19" t="n">
        <v>116</v>
      </c>
      <c r="AI3366" s="19"/>
      <c r="AJ3366" s="19"/>
      <c r="AK3366" s="19"/>
      <c r="AL3366" s="19" t="n">
        <v>48</v>
      </c>
      <c r="AM3366" s="19" t="n">
        <v>18</v>
      </c>
      <c r="AN3366" s="19"/>
      <c r="AO3366" s="19" t="n">
        <v>21</v>
      </c>
      <c r="AP3366" s="19" t="n">
        <v>20</v>
      </c>
      <c r="AQ3366" s="19" t="n">
        <v>9</v>
      </c>
      <c r="AR3366" s="19"/>
      <c r="AS3366" s="20" t="str">
        <f aca="false">HYPERLINK("http://www.openstreetmap.org/?mlat=35.5256&amp;mlon=45.384&amp;zoom=12#map=12/35.5256/45.384","Maplink1")</f>
        <v>Maplink1</v>
      </c>
      <c r="AT3366" s="20" t="str">
        <f aca="false">HYPERLINK("https://www.google.iq/maps/search/+35.5256,45.384/@35.5256,45.384,14z?hl=en","Maplink2")</f>
        <v>Maplink2</v>
      </c>
      <c r="AU3366" s="20" t="str">
        <f aca="false">HYPERLINK("http://www.bing.com/maps/?lvl=14&amp;sty=h&amp;cp=35.5256~45.384&amp;sp=point.35.5256_45.384","Maplink3")</f>
        <v>Maplink3</v>
      </c>
    </row>
    <row r="3367" customFormat="false" ht="15" hidden="false" customHeight="true" outlineLevel="0" collapsed="false">
      <c r="A3367" s="15" t="n">
        <v>25303</v>
      </c>
      <c r="B3367" s="16" t="s">
        <v>30</v>
      </c>
      <c r="C3367" s="16" t="s">
        <v>6287</v>
      </c>
      <c r="D3367" s="16" t="s">
        <v>6392</v>
      </c>
      <c r="E3367" s="17" t="s">
        <v>6393</v>
      </c>
      <c r="F3367" s="16" t="n">
        <v>35.55807455</v>
      </c>
      <c r="G3367" s="16" t="n">
        <v>45.43761891</v>
      </c>
      <c r="H3367" s="18" t="n">
        <v>103</v>
      </c>
      <c r="I3367" s="18" t="n">
        <v>618</v>
      </c>
      <c r="J3367" s="19" t="n">
        <v>81</v>
      </c>
      <c r="K3367" s="19"/>
      <c r="L3367" s="19" t="n">
        <v>7</v>
      </c>
      <c r="M3367" s="19"/>
      <c r="N3367" s="19"/>
      <c r="O3367" s="19" t="n">
        <v>2</v>
      </c>
      <c r="P3367" s="19"/>
      <c r="Q3367" s="19"/>
      <c r="R3367" s="19"/>
      <c r="S3367" s="19"/>
      <c r="T3367" s="19"/>
      <c r="U3367" s="19"/>
      <c r="V3367" s="19" t="n">
        <v>4</v>
      </c>
      <c r="W3367" s="19"/>
      <c r="X3367" s="19" t="n">
        <v>9</v>
      </c>
      <c r="Y3367" s="19"/>
      <c r="Z3367" s="19"/>
      <c r="AA3367" s="19"/>
      <c r="AB3367" s="19"/>
      <c r="AC3367" s="19"/>
      <c r="AD3367" s="19" t="n">
        <v>69</v>
      </c>
      <c r="AE3367" s="19"/>
      <c r="AF3367" s="19"/>
      <c r="AG3367" s="19"/>
      <c r="AH3367" s="19" t="n">
        <v>34</v>
      </c>
      <c r="AI3367" s="19"/>
      <c r="AJ3367" s="19"/>
      <c r="AK3367" s="19"/>
      <c r="AL3367" s="19"/>
      <c r="AM3367" s="19" t="n">
        <v>7</v>
      </c>
      <c r="AN3367" s="19" t="n">
        <v>2</v>
      </c>
      <c r="AO3367" s="19" t="n">
        <v>25</v>
      </c>
      <c r="AP3367" s="19" t="n">
        <v>53</v>
      </c>
      <c r="AQ3367" s="19" t="n">
        <v>16</v>
      </c>
      <c r="AR3367" s="19"/>
      <c r="AS3367" s="20" t="str">
        <f aca="false">HYPERLINK("http://www.openstreetmap.org/?mlat=35.5581&amp;mlon=45.4376&amp;zoom=12#map=12/35.5581/45.4376","Maplink1")</f>
        <v>Maplink1</v>
      </c>
      <c r="AT3367" s="20" t="str">
        <f aca="false">HYPERLINK("https://www.google.iq/maps/search/+35.5581,45.4376/@35.5581,45.4376,14z?hl=en","Maplink2")</f>
        <v>Maplink2</v>
      </c>
      <c r="AU3367" s="20" t="str">
        <f aca="false">HYPERLINK("http://www.bing.com/maps/?lvl=14&amp;sty=h&amp;cp=35.5581~45.4376&amp;sp=point.35.5581_45.4376","Maplink3")</f>
        <v>Maplink3</v>
      </c>
    </row>
    <row r="3368" customFormat="false" ht="15" hidden="false" customHeight="true" outlineLevel="0" collapsed="false">
      <c r="A3368" s="15" t="n">
        <v>5779</v>
      </c>
      <c r="B3368" s="16" t="s">
        <v>30</v>
      </c>
      <c r="C3368" s="16" t="s">
        <v>6287</v>
      </c>
      <c r="D3368" s="16" t="s">
        <v>6394</v>
      </c>
      <c r="E3368" s="17" t="s">
        <v>6395</v>
      </c>
      <c r="F3368" s="16" t="n">
        <v>35.58629005</v>
      </c>
      <c r="G3368" s="16" t="n">
        <v>45.40304468</v>
      </c>
      <c r="H3368" s="18" t="n">
        <v>297</v>
      </c>
      <c r="I3368" s="18" t="n">
        <v>1782</v>
      </c>
      <c r="J3368" s="19" t="n">
        <v>211</v>
      </c>
      <c r="K3368" s="19" t="n">
        <v>5</v>
      </c>
      <c r="L3368" s="19" t="n">
        <v>26</v>
      </c>
      <c r="M3368" s="19"/>
      <c r="N3368" s="19"/>
      <c r="O3368" s="19" t="n">
        <v>5</v>
      </c>
      <c r="P3368" s="19"/>
      <c r="Q3368" s="19"/>
      <c r="R3368" s="19"/>
      <c r="S3368" s="19"/>
      <c r="T3368" s="19"/>
      <c r="U3368" s="19"/>
      <c r="V3368" s="19" t="n">
        <v>41</v>
      </c>
      <c r="W3368" s="19"/>
      <c r="X3368" s="19" t="n">
        <v>9</v>
      </c>
      <c r="Y3368" s="19"/>
      <c r="Z3368" s="19"/>
      <c r="AA3368" s="19"/>
      <c r="AB3368" s="19"/>
      <c r="AC3368" s="19"/>
      <c r="AD3368" s="19"/>
      <c r="AE3368" s="19"/>
      <c r="AF3368" s="19"/>
      <c r="AG3368" s="19"/>
      <c r="AH3368" s="19" t="n">
        <v>297</v>
      </c>
      <c r="AI3368" s="19"/>
      <c r="AJ3368" s="19"/>
      <c r="AK3368" s="19"/>
      <c r="AL3368" s="19" t="n">
        <v>63</v>
      </c>
      <c r="AM3368" s="19" t="n">
        <v>29</v>
      </c>
      <c r="AN3368" s="19" t="n">
        <v>20</v>
      </c>
      <c r="AO3368" s="19" t="n">
        <v>135</v>
      </c>
      <c r="AP3368" s="19" t="n">
        <v>25</v>
      </c>
      <c r="AQ3368" s="19" t="n">
        <v>25</v>
      </c>
      <c r="AR3368" s="19"/>
      <c r="AS3368" s="20" t="str">
        <f aca="false">HYPERLINK("http://www.openstreetmap.org/?mlat=35.5863&amp;mlon=45.403&amp;zoom=12#map=12/35.5863/45.403","Maplink1")</f>
        <v>Maplink1</v>
      </c>
      <c r="AT3368" s="20" t="str">
        <f aca="false">HYPERLINK("https://www.google.iq/maps/search/+35.5863,45.403/@35.5863,45.403,14z?hl=en","Maplink2")</f>
        <v>Maplink2</v>
      </c>
      <c r="AU3368" s="20" t="str">
        <f aca="false">HYPERLINK("http://www.bing.com/maps/?lvl=14&amp;sty=h&amp;cp=35.5863~45.403&amp;sp=point.35.5863_45.403","Maplink3")</f>
        <v>Maplink3</v>
      </c>
    </row>
    <row r="3369" customFormat="false" ht="15" hidden="false" customHeight="true" outlineLevel="0" collapsed="false">
      <c r="A3369" s="15" t="n">
        <v>4599</v>
      </c>
      <c r="B3369" s="16" t="s">
        <v>30</v>
      </c>
      <c r="C3369" s="16" t="s">
        <v>6287</v>
      </c>
      <c r="D3369" s="16" t="s">
        <v>6396</v>
      </c>
      <c r="E3369" s="17" t="s">
        <v>6397</v>
      </c>
      <c r="F3369" s="16" t="n">
        <v>35.65512912</v>
      </c>
      <c r="G3369" s="16" t="n">
        <v>45.00026886</v>
      </c>
      <c r="H3369" s="18" t="n">
        <v>55</v>
      </c>
      <c r="I3369" s="18" t="n">
        <v>330</v>
      </c>
      <c r="J3369" s="19"/>
      <c r="K3369" s="19" t="n">
        <v>11</v>
      </c>
      <c r="L3369" s="19" t="n">
        <v>24</v>
      </c>
      <c r="M3369" s="19"/>
      <c r="N3369" s="19"/>
      <c r="O3369" s="19" t="n">
        <v>5</v>
      </c>
      <c r="P3369" s="19"/>
      <c r="Q3369" s="19"/>
      <c r="R3369" s="19"/>
      <c r="S3369" s="19"/>
      <c r="T3369" s="19"/>
      <c r="U3369" s="19"/>
      <c r="V3369" s="19" t="n">
        <v>13</v>
      </c>
      <c r="W3369" s="19"/>
      <c r="X3369" s="19" t="n">
        <v>2</v>
      </c>
      <c r="Y3369" s="19"/>
      <c r="Z3369" s="19"/>
      <c r="AA3369" s="19"/>
      <c r="AB3369" s="19"/>
      <c r="AC3369" s="19"/>
      <c r="AD3369" s="19"/>
      <c r="AE3369" s="19"/>
      <c r="AF3369" s="19"/>
      <c r="AG3369" s="19"/>
      <c r="AH3369" s="19" t="n">
        <v>55</v>
      </c>
      <c r="AI3369" s="19"/>
      <c r="AJ3369" s="19"/>
      <c r="AK3369" s="19"/>
      <c r="AL3369" s="19" t="n">
        <v>10</v>
      </c>
      <c r="AM3369" s="19" t="n">
        <v>24</v>
      </c>
      <c r="AN3369" s="19" t="n">
        <v>13</v>
      </c>
      <c r="AO3369" s="19" t="n">
        <v>6</v>
      </c>
      <c r="AP3369" s="19" t="n">
        <v>2</v>
      </c>
      <c r="AQ3369" s="19"/>
      <c r="AR3369" s="19"/>
      <c r="AS3369" s="20" t="str">
        <f aca="false">HYPERLINK("http://www.openstreetmap.org/?mlat=35.6551&amp;mlon=45.0003&amp;zoom=12#map=12/35.6551/45.0003","Maplink1")</f>
        <v>Maplink1</v>
      </c>
      <c r="AT3369" s="20" t="str">
        <f aca="false">HYPERLINK("https://www.google.iq/maps/search/+35.6551,45.0003/@35.6551,45.0003,14z?hl=en","Maplink2")</f>
        <v>Maplink2</v>
      </c>
      <c r="AU3369" s="20" t="str">
        <f aca="false">HYPERLINK("http://www.bing.com/maps/?lvl=14&amp;sty=h&amp;cp=35.6551~45.0003&amp;sp=point.35.6551_45.0003","Maplink3")</f>
        <v>Maplink3</v>
      </c>
    </row>
    <row r="3370" customFormat="false" ht="15" hidden="false" customHeight="true" outlineLevel="0" collapsed="false">
      <c r="A3370" s="15" t="n">
        <v>23925</v>
      </c>
      <c r="B3370" s="16" t="s">
        <v>30</v>
      </c>
      <c r="C3370" s="16" t="s">
        <v>6287</v>
      </c>
      <c r="D3370" s="16" t="s">
        <v>6398</v>
      </c>
      <c r="E3370" s="17" t="s">
        <v>6399</v>
      </c>
      <c r="F3370" s="16" t="n">
        <v>35.59642535</v>
      </c>
      <c r="G3370" s="16" t="n">
        <v>45.40756194</v>
      </c>
      <c r="H3370" s="18" t="n">
        <v>312</v>
      </c>
      <c r="I3370" s="18" t="n">
        <v>1872</v>
      </c>
      <c r="J3370" s="19" t="n">
        <v>247</v>
      </c>
      <c r="K3370" s="19"/>
      <c r="L3370" s="19" t="n">
        <v>40</v>
      </c>
      <c r="M3370" s="19"/>
      <c r="N3370" s="19"/>
      <c r="O3370" s="19" t="n">
        <v>5</v>
      </c>
      <c r="P3370" s="19"/>
      <c r="Q3370" s="19"/>
      <c r="R3370" s="19"/>
      <c r="S3370" s="19"/>
      <c r="T3370" s="19"/>
      <c r="U3370" s="19"/>
      <c r="V3370" s="19" t="n">
        <v>17</v>
      </c>
      <c r="W3370" s="19"/>
      <c r="X3370" s="19" t="n">
        <v>3</v>
      </c>
      <c r="Y3370" s="19"/>
      <c r="Z3370" s="19"/>
      <c r="AA3370" s="19"/>
      <c r="AB3370" s="19"/>
      <c r="AC3370" s="19"/>
      <c r="AD3370" s="19"/>
      <c r="AE3370" s="19"/>
      <c r="AF3370" s="19"/>
      <c r="AG3370" s="19"/>
      <c r="AH3370" s="19" t="n">
        <v>312</v>
      </c>
      <c r="AI3370" s="19"/>
      <c r="AJ3370" s="19"/>
      <c r="AK3370" s="19"/>
      <c r="AL3370" s="19" t="n">
        <v>35</v>
      </c>
      <c r="AM3370" s="19" t="n">
        <v>59</v>
      </c>
      <c r="AN3370" s="19" t="n">
        <v>43</v>
      </c>
      <c r="AO3370" s="19" t="n">
        <v>73</v>
      </c>
      <c r="AP3370" s="19" t="n">
        <v>70</v>
      </c>
      <c r="AQ3370" s="19" t="n">
        <v>32</v>
      </c>
      <c r="AR3370" s="19"/>
      <c r="AS3370" s="20" t="str">
        <f aca="false">HYPERLINK("http://www.openstreetmap.org/?mlat=35.5964&amp;mlon=45.4076&amp;zoom=12#map=12/35.5964/45.4076","Maplink1")</f>
        <v>Maplink1</v>
      </c>
      <c r="AT3370" s="20" t="str">
        <f aca="false">HYPERLINK("https://www.google.iq/maps/search/+35.5964,45.4076/@35.5964,45.4076,14z?hl=en","Maplink2")</f>
        <v>Maplink2</v>
      </c>
      <c r="AU3370" s="20" t="str">
        <f aca="false">HYPERLINK("http://www.bing.com/maps/?lvl=14&amp;sty=h&amp;cp=35.5964~45.4076&amp;sp=point.35.5964_45.4076","Maplink3")</f>
        <v>Maplink3</v>
      </c>
    </row>
    <row r="3371" customFormat="false" ht="15" hidden="false" customHeight="true" outlineLevel="0" collapsed="false">
      <c r="A3371" s="15" t="n">
        <v>21059</v>
      </c>
      <c r="B3371" s="16" t="s">
        <v>30</v>
      </c>
      <c r="C3371" s="16" t="s">
        <v>6287</v>
      </c>
      <c r="D3371" s="16" t="s">
        <v>6400</v>
      </c>
      <c r="E3371" s="17" t="s">
        <v>6401</v>
      </c>
      <c r="F3371" s="16" t="n">
        <v>35.57840242</v>
      </c>
      <c r="G3371" s="16" t="n">
        <v>45.42489913</v>
      </c>
      <c r="H3371" s="18" t="n">
        <v>127</v>
      </c>
      <c r="I3371" s="18" t="n">
        <v>762</v>
      </c>
      <c r="J3371" s="19" t="n">
        <v>95</v>
      </c>
      <c r="K3371" s="19"/>
      <c r="L3371" s="19" t="n">
        <v>14</v>
      </c>
      <c r="M3371" s="19"/>
      <c r="N3371" s="19"/>
      <c r="O3371" s="19"/>
      <c r="P3371" s="19"/>
      <c r="Q3371" s="19"/>
      <c r="R3371" s="19"/>
      <c r="S3371" s="19"/>
      <c r="T3371" s="19"/>
      <c r="U3371" s="19"/>
      <c r="V3371" s="19"/>
      <c r="W3371" s="19"/>
      <c r="X3371" s="19" t="n">
        <v>18</v>
      </c>
      <c r="Y3371" s="19"/>
      <c r="Z3371" s="19"/>
      <c r="AA3371" s="19"/>
      <c r="AB3371" s="19"/>
      <c r="AC3371" s="19"/>
      <c r="AD3371" s="19" t="n">
        <v>1</v>
      </c>
      <c r="AE3371" s="19"/>
      <c r="AF3371" s="19"/>
      <c r="AG3371" s="19"/>
      <c r="AH3371" s="19" t="n">
        <v>126</v>
      </c>
      <c r="AI3371" s="19"/>
      <c r="AJ3371" s="19"/>
      <c r="AK3371" s="19"/>
      <c r="AL3371" s="19" t="n">
        <v>8</v>
      </c>
      <c r="AM3371" s="19" t="n">
        <v>18</v>
      </c>
      <c r="AN3371" s="19" t="n">
        <v>4</v>
      </c>
      <c r="AO3371" s="19" t="n">
        <v>40</v>
      </c>
      <c r="AP3371" s="19" t="n">
        <v>48</v>
      </c>
      <c r="AQ3371" s="19" t="n">
        <v>9</v>
      </c>
      <c r="AR3371" s="19"/>
      <c r="AS3371" s="20" t="str">
        <f aca="false">HYPERLINK("http://www.openstreetmap.org/?mlat=35.5784&amp;mlon=45.4249&amp;zoom=12#map=12/35.5784/45.4249","Maplink1")</f>
        <v>Maplink1</v>
      </c>
      <c r="AT3371" s="20" t="str">
        <f aca="false">HYPERLINK("https://www.google.iq/maps/search/+35.5784,45.4249/@35.5784,45.4249,14z?hl=en","Maplink2")</f>
        <v>Maplink2</v>
      </c>
      <c r="AU3371" s="20" t="str">
        <f aca="false">HYPERLINK("http://www.bing.com/maps/?lvl=14&amp;sty=h&amp;cp=35.5784~45.4249&amp;sp=point.35.5784_45.4249","Maplink3")</f>
        <v>Maplink3</v>
      </c>
    </row>
    <row r="3372" customFormat="false" ht="15" hidden="false" customHeight="true" outlineLevel="0" collapsed="false">
      <c r="A3372" s="15" t="n">
        <v>4471</v>
      </c>
      <c r="B3372" s="16" t="s">
        <v>30</v>
      </c>
      <c r="C3372" s="16" t="s">
        <v>6287</v>
      </c>
      <c r="D3372" s="16" t="s">
        <v>6402</v>
      </c>
      <c r="E3372" s="17" t="s">
        <v>6403</v>
      </c>
      <c r="F3372" s="16" t="n">
        <v>35.58052264</v>
      </c>
      <c r="G3372" s="16" t="n">
        <v>45.27505356</v>
      </c>
      <c r="H3372" s="18" t="n">
        <v>42</v>
      </c>
      <c r="I3372" s="18" t="n">
        <v>252</v>
      </c>
      <c r="J3372" s="19" t="n">
        <v>5</v>
      </c>
      <c r="K3372" s="19" t="n">
        <v>6</v>
      </c>
      <c r="L3372" s="19"/>
      <c r="M3372" s="19"/>
      <c r="N3372" s="19"/>
      <c r="O3372" s="19" t="n">
        <v>5</v>
      </c>
      <c r="P3372" s="19"/>
      <c r="Q3372" s="19"/>
      <c r="R3372" s="19"/>
      <c r="S3372" s="19"/>
      <c r="T3372" s="19"/>
      <c r="U3372" s="19"/>
      <c r="V3372" s="19" t="n">
        <v>26</v>
      </c>
      <c r="W3372" s="19"/>
      <c r="X3372" s="19"/>
      <c r="Y3372" s="19"/>
      <c r="Z3372" s="19"/>
      <c r="AA3372" s="19"/>
      <c r="AB3372" s="19"/>
      <c r="AC3372" s="19"/>
      <c r="AD3372" s="19"/>
      <c r="AE3372" s="19"/>
      <c r="AF3372" s="19"/>
      <c r="AG3372" s="19"/>
      <c r="AH3372" s="19" t="n">
        <v>42</v>
      </c>
      <c r="AI3372" s="19"/>
      <c r="AJ3372" s="19"/>
      <c r="AK3372" s="19"/>
      <c r="AL3372" s="19"/>
      <c r="AM3372" s="19" t="n">
        <v>9</v>
      </c>
      <c r="AN3372" s="19" t="n">
        <v>26</v>
      </c>
      <c r="AO3372" s="19" t="n">
        <v>4</v>
      </c>
      <c r="AP3372" s="19" t="n">
        <v>3</v>
      </c>
      <c r="AQ3372" s="19"/>
      <c r="AR3372" s="19"/>
      <c r="AS3372" s="20" t="str">
        <f aca="false">HYPERLINK("http://www.openstreetmap.org/?mlat=35.5805&amp;mlon=45.2751&amp;zoom=12#map=12/35.5805/45.2751","Maplink1")</f>
        <v>Maplink1</v>
      </c>
      <c r="AT3372" s="20" t="str">
        <f aca="false">HYPERLINK("https://www.google.iq/maps/search/+35.5805,45.2751/@35.5805,45.2751,14z?hl=en","Maplink2")</f>
        <v>Maplink2</v>
      </c>
      <c r="AU3372" s="20" t="str">
        <f aca="false">HYPERLINK("http://www.bing.com/maps/?lvl=14&amp;sty=h&amp;cp=35.5805~45.2751&amp;sp=point.35.5805_45.2751","Maplink3")</f>
        <v>Maplink3</v>
      </c>
    </row>
    <row r="3373" customFormat="false" ht="15" hidden="false" customHeight="true" outlineLevel="0" collapsed="false">
      <c r="A3373" s="15" t="n">
        <v>21243</v>
      </c>
      <c r="B3373" s="16" t="s">
        <v>30</v>
      </c>
      <c r="C3373" s="16" t="s">
        <v>6287</v>
      </c>
      <c r="D3373" s="16" t="s">
        <v>3492</v>
      </c>
      <c r="E3373" s="17" t="s">
        <v>3493</v>
      </c>
      <c r="F3373" s="16" t="n">
        <v>35.54312617</v>
      </c>
      <c r="G3373" s="16" t="n">
        <v>45.44422531</v>
      </c>
      <c r="H3373" s="18" t="n">
        <v>172</v>
      </c>
      <c r="I3373" s="18" t="n">
        <v>1032</v>
      </c>
      <c r="J3373" s="19" t="n">
        <v>147</v>
      </c>
      <c r="K3373" s="19" t="n">
        <v>2</v>
      </c>
      <c r="L3373" s="19" t="n">
        <v>12</v>
      </c>
      <c r="M3373" s="19"/>
      <c r="N3373" s="19"/>
      <c r="O3373" s="19" t="n">
        <v>1</v>
      </c>
      <c r="P3373" s="19"/>
      <c r="Q3373" s="19"/>
      <c r="R3373" s="19"/>
      <c r="S3373" s="19"/>
      <c r="T3373" s="19"/>
      <c r="U3373" s="19"/>
      <c r="V3373" s="19"/>
      <c r="W3373" s="19"/>
      <c r="X3373" s="19" t="n">
        <v>10</v>
      </c>
      <c r="Y3373" s="19"/>
      <c r="Z3373" s="19"/>
      <c r="AA3373" s="19"/>
      <c r="AB3373" s="19"/>
      <c r="AC3373" s="19"/>
      <c r="AD3373" s="19"/>
      <c r="AE3373" s="19"/>
      <c r="AF3373" s="19"/>
      <c r="AG3373" s="19"/>
      <c r="AH3373" s="19" t="n">
        <v>172</v>
      </c>
      <c r="AI3373" s="19"/>
      <c r="AJ3373" s="19"/>
      <c r="AK3373" s="19"/>
      <c r="AL3373" s="19" t="n">
        <v>20</v>
      </c>
      <c r="AM3373" s="19" t="n">
        <v>9</v>
      </c>
      <c r="AN3373" s="19" t="n">
        <v>2</v>
      </c>
      <c r="AO3373" s="19" t="n">
        <v>69</v>
      </c>
      <c r="AP3373" s="19" t="n">
        <v>52</v>
      </c>
      <c r="AQ3373" s="19" t="n">
        <v>20</v>
      </c>
      <c r="AR3373" s="19"/>
      <c r="AS3373" s="20" t="str">
        <f aca="false">HYPERLINK("http://www.openstreetmap.org/?mlat=35.5431&amp;mlon=45.4442&amp;zoom=12#map=12/35.5431/45.4442","Maplink1")</f>
        <v>Maplink1</v>
      </c>
      <c r="AT3373" s="20" t="str">
        <f aca="false">HYPERLINK("https://www.google.iq/maps/search/+35.5431,45.4442/@35.5431,45.4442,14z?hl=en","Maplink2")</f>
        <v>Maplink2</v>
      </c>
      <c r="AU3373" s="20" t="str">
        <f aca="false">HYPERLINK("http://www.bing.com/maps/?lvl=14&amp;sty=h&amp;cp=35.5431~45.4442&amp;sp=point.35.5431_45.4442","Maplink3")</f>
        <v>Maplink3</v>
      </c>
    </row>
    <row r="3374" customFormat="false" ht="15" hidden="false" customHeight="true" outlineLevel="0" collapsed="false">
      <c r="A3374" s="15" t="n">
        <v>25570</v>
      </c>
      <c r="B3374" s="16" t="s">
        <v>30</v>
      </c>
      <c r="C3374" s="16" t="s">
        <v>6287</v>
      </c>
      <c r="D3374" s="16" t="s">
        <v>6404</v>
      </c>
      <c r="E3374" s="17" t="s">
        <v>6405</v>
      </c>
      <c r="F3374" s="16" t="n">
        <v>35.58367313</v>
      </c>
      <c r="G3374" s="16" t="n">
        <v>45.31831929</v>
      </c>
      <c r="H3374" s="18" t="n">
        <v>71</v>
      </c>
      <c r="I3374" s="18" t="n">
        <v>426</v>
      </c>
      <c r="J3374" s="19" t="n">
        <v>13</v>
      </c>
      <c r="K3374" s="19"/>
      <c r="L3374" s="19"/>
      <c r="M3374" s="19"/>
      <c r="N3374" s="19"/>
      <c r="O3374" s="19" t="n">
        <v>5</v>
      </c>
      <c r="P3374" s="19"/>
      <c r="Q3374" s="19"/>
      <c r="R3374" s="19"/>
      <c r="S3374" s="19"/>
      <c r="T3374" s="19"/>
      <c r="U3374" s="19"/>
      <c r="V3374" s="19" t="n">
        <v>53</v>
      </c>
      <c r="W3374" s="19"/>
      <c r="X3374" s="19"/>
      <c r="Y3374" s="19"/>
      <c r="Z3374" s="19"/>
      <c r="AA3374" s="19"/>
      <c r="AB3374" s="19"/>
      <c r="AC3374" s="19"/>
      <c r="AD3374" s="19"/>
      <c r="AE3374" s="19" t="n">
        <v>38</v>
      </c>
      <c r="AF3374" s="19"/>
      <c r="AG3374" s="19"/>
      <c r="AH3374" s="19" t="n">
        <v>28</v>
      </c>
      <c r="AI3374" s="19" t="n">
        <v>2</v>
      </c>
      <c r="AJ3374" s="19" t="n">
        <v>3</v>
      </c>
      <c r="AK3374" s="19"/>
      <c r="AL3374" s="19" t="n">
        <v>4</v>
      </c>
      <c r="AM3374" s="19" t="n">
        <v>3</v>
      </c>
      <c r="AN3374" s="19" t="n">
        <v>53</v>
      </c>
      <c r="AO3374" s="19" t="n">
        <v>3</v>
      </c>
      <c r="AP3374" s="19" t="n">
        <v>8</v>
      </c>
      <c r="AQ3374" s="19"/>
      <c r="AR3374" s="19"/>
      <c r="AS3374" s="20" t="str">
        <f aca="false">HYPERLINK("http://www.openstreetmap.org/?mlat=35.5837&amp;mlon=45.3183&amp;zoom=12#map=12/35.5837/45.3183","Maplink1")</f>
        <v>Maplink1</v>
      </c>
      <c r="AT3374" s="20" t="str">
        <f aca="false">HYPERLINK("https://www.google.iq/maps/search/+35.5837,45.3183/@35.5837,45.3183,14z?hl=en","Maplink2")</f>
        <v>Maplink2</v>
      </c>
      <c r="AU3374" s="20" t="str">
        <f aca="false">HYPERLINK("http://www.bing.com/maps/?lvl=14&amp;sty=h&amp;cp=35.5837~45.3183&amp;sp=point.35.5837_45.3183","Maplink3")</f>
        <v>Maplink3</v>
      </c>
    </row>
    <row r="3375" customFormat="false" ht="15" hidden="false" customHeight="true" outlineLevel="0" collapsed="false">
      <c r="A3375" s="15" t="n">
        <v>24899</v>
      </c>
      <c r="B3375" s="16" t="s">
        <v>30</v>
      </c>
      <c r="C3375" s="16" t="s">
        <v>6287</v>
      </c>
      <c r="D3375" s="16" t="s">
        <v>6406</v>
      </c>
      <c r="E3375" s="17" t="s">
        <v>6407</v>
      </c>
      <c r="F3375" s="16" t="n">
        <v>35.54940051</v>
      </c>
      <c r="G3375" s="16" t="n">
        <v>45.37284042</v>
      </c>
      <c r="H3375" s="18" t="n">
        <v>38</v>
      </c>
      <c r="I3375" s="18" t="n">
        <v>228</v>
      </c>
      <c r="J3375" s="19" t="n">
        <v>23</v>
      </c>
      <c r="K3375" s="19"/>
      <c r="L3375" s="19"/>
      <c r="M3375" s="19"/>
      <c r="N3375" s="19"/>
      <c r="O3375" s="19" t="n">
        <v>5</v>
      </c>
      <c r="P3375" s="19"/>
      <c r="Q3375" s="19"/>
      <c r="R3375" s="19"/>
      <c r="S3375" s="19"/>
      <c r="T3375" s="19"/>
      <c r="U3375" s="19"/>
      <c r="V3375" s="19" t="n">
        <v>10</v>
      </c>
      <c r="W3375" s="19"/>
      <c r="X3375" s="19"/>
      <c r="Y3375" s="19"/>
      <c r="Z3375" s="19"/>
      <c r="AA3375" s="19"/>
      <c r="AB3375" s="19"/>
      <c r="AC3375" s="19"/>
      <c r="AD3375" s="19"/>
      <c r="AE3375" s="19"/>
      <c r="AF3375" s="19"/>
      <c r="AG3375" s="19"/>
      <c r="AH3375" s="19" t="n">
        <v>38</v>
      </c>
      <c r="AI3375" s="19"/>
      <c r="AJ3375" s="19"/>
      <c r="AK3375" s="19"/>
      <c r="AL3375" s="19" t="n">
        <v>12</v>
      </c>
      <c r="AM3375" s="19" t="n">
        <v>11</v>
      </c>
      <c r="AN3375" s="19" t="n">
        <v>4</v>
      </c>
      <c r="AO3375" s="19" t="n">
        <v>8</v>
      </c>
      <c r="AP3375" s="19" t="n">
        <v>3</v>
      </c>
      <c r="AQ3375" s="19"/>
      <c r="AR3375" s="19"/>
      <c r="AS3375" s="20" t="str">
        <f aca="false">HYPERLINK("http://www.openstreetmap.org/?mlat=35.5494&amp;mlon=45.3728&amp;zoom=12#map=12/35.5494/45.3728","Maplink1")</f>
        <v>Maplink1</v>
      </c>
      <c r="AT3375" s="20" t="str">
        <f aca="false">HYPERLINK("https://www.google.iq/maps/search/+35.5494,45.3728/@35.5494,45.3728,14z?hl=en","Maplink2")</f>
        <v>Maplink2</v>
      </c>
      <c r="AU3375" s="20" t="str">
        <f aca="false">HYPERLINK("http://www.bing.com/maps/?lvl=14&amp;sty=h&amp;cp=35.5494~45.3728&amp;sp=point.35.5494_45.3728","Maplink3")</f>
        <v>Maplink3</v>
      </c>
    </row>
    <row r="3376" customFormat="false" ht="15" hidden="false" customHeight="true" outlineLevel="0" collapsed="false">
      <c r="A3376" s="15" t="n">
        <v>24260</v>
      </c>
      <c r="B3376" s="16" t="s">
        <v>30</v>
      </c>
      <c r="C3376" s="16" t="s">
        <v>6287</v>
      </c>
      <c r="D3376" s="16" t="s">
        <v>6408</v>
      </c>
      <c r="E3376" s="17" t="s">
        <v>6409</v>
      </c>
      <c r="F3376" s="16" t="n">
        <v>35.53751003</v>
      </c>
      <c r="G3376" s="16" t="n">
        <v>45.41074674</v>
      </c>
      <c r="H3376" s="18" t="n">
        <v>116</v>
      </c>
      <c r="I3376" s="18" t="n">
        <v>696</v>
      </c>
      <c r="J3376" s="19" t="n">
        <v>54</v>
      </c>
      <c r="K3376" s="19"/>
      <c r="L3376" s="19" t="n">
        <v>43</v>
      </c>
      <c r="M3376" s="19"/>
      <c r="N3376" s="19"/>
      <c r="O3376" s="19" t="n">
        <v>5</v>
      </c>
      <c r="P3376" s="19"/>
      <c r="Q3376" s="19"/>
      <c r="R3376" s="19"/>
      <c r="S3376" s="19"/>
      <c r="T3376" s="19"/>
      <c r="U3376" s="19"/>
      <c r="V3376" s="19" t="n">
        <v>10</v>
      </c>
      <c r="W3376" s="19"/>
      <c r="X3376" s="19" t="n">
        <v>4</v>
      </c>
      <c r="Y3376" s="19"/>
      <c r="Z3376" s="19"/>
      <c r="AA3376" s="19"/>
      <c r="AB3376" s="19"/>
      <c r="AC3376" s="19"/>
      <c r="AD3376" s="19"/>
      <c r="AE3376" s="19"/>
      <c r="AF3376" s="19"/>
      <c r="AG3376" s="19"/>
      <c r="AH3376" s="19" t="n">
        <v>116</v>
      </c>
      <c r="AI3376" s="19"/>
      <c r="AJ3376" s="19"/>
      <c r="AK3376" s="19"/>
      <c r="AL3376" s="19" t="n">
        <v>11</v>
      </c>
      <c r="AM3376" s="19" t="n">
        <v>20</v>
      </c>
      <c r="AN3376" s="19"/>
      <c r="AO3376" s="19" t="n">
        <v>33</v>
      </c>
      <c r="AP3376" s="19" t="n">
        <v>28</v>
      </c>
      <c r="AQ3376" s="19" t="n">
        <v>24</v>
      </c>
      <c r="AR3376" s="19"/>
      <c r="AS3376" s="20" t="str">
        <f aca="false">HYPERLINK("http://www.openstreetmap.org/?mlat=35.5375&amp;mlon=45.4107&amp;zoom=12#map=12/35.5375/45.4107","Maplink1")</f>
        <v>Maplink1</v>
      </c>
      <c r="AT3376" s="20" t="str">
        <f aca="false">HYPERLINK("https://www.google.iq/maps/search/+35.5375,45.4107/@35.5375,45.4107,14z?hl=en","Maplink2")</f>
        <v>Maplink2</v>
      </c>
      <c r="AU3376" s="20" t="str">
        <f aca="false">HYPERLINK("http://www.bing.com/maps/?lvl=14&amp;sty=h&amp;cp=35.5375~45.4107&amp;sp=point.35.5375_45.4107","Maplink3")</f>
        <v>Maplink3</v>
      </c>
    </row>
    <row r="3377" customFormat="false" ht="15" hidden="false" customHeight="true" outlineLevel="0" collapsed="false">
      <c r="A3377" s="15" t="n">
        <v>23719</v>
      </c>
      <c r="B3377" s="16" t="s">
        <v>30</v>
      </c>
      <c r="C3377" s="16" t="s">
        <v>6287</v>
      </c>
      <c r="D3377" s="16" t="s">
        <v>6410</v>
      </c>
      <c r="E3377" s="17" t="s">
        <v>6411</v>
      </c>
      <c r="F3377" s="16" t="n">
        <v>35.59488025</v>
      </c>
      <c r="G3377" s="16" t="n">
        <v>45.44289878</v>
      </c>
      <c r="H3377" s="18" t="n">
        <v>96</v>
      </c>
      <c r="I3377" s="18" t="n">
        <v>576</v>
      </c>
      <c r="J3377" s="19" t="n">
        <v>76</v>
      </c>
      <c r="K3377" s="19"/>
      <c r="L3377" s="19" t="n">
        <v>11</v>
      </c>
      <c r="M3377" s="19"/>
      <c r="N3377" s="19"/>
      <c r="O3377" s="19"/>
      <c r="P3377" s="19"/>
      <c r="Q3377" s="19"/>
      <c r="R3377" s="19"/>
      <c r="S3377" s="19"/>
      <c r="T3377" s="19"/>
      <c r="U3377" s="19"/>
      <c r="V3377" s="19" t="n">
        <v>6</v>
      </c>
      <c r="W3377" s="19"/>
      <c r="X3377" s="19" t="n">
        <v>3</v>
      </c>
      <c r="Y3377" s="19"/>
      <c r="Z3377" s="19"/>
      <c r="AA3377" s="19"/>
      <c r="AB3377" s="19"/>
      <c r="AC3377" s="19"/>
      <c r="AD3377" s="19"/>
      <c r="AE3377" s="19"/>
      <c r="AF3377" s="19"/>
      <c r="AG3377" s="19"/>
      <c r="AH3377" s="19" t="n">
        <v>96</v>
      </c>
      <c r="AI3377" s="19"/>
      <c r="AJ3377" s="19"/>
      <c r="AK3377" s="19"/>
      <c r="AL3377" s="19" t="n">
        <v>6</v>
      </c>
      <c r="AM3377" s="19" t="n">
        <v>15</v>
      </c>
      <c r="AN3377" s="19" t="n">
        <v>6</v>
      </c>
      <c r="AO3377" s="19" t="n">
        <v>40</v>
      </c>
      <c r="AP3377" s="19" t="n">
        <v>21</v>
      </c>
      <c r="AQ3377" s="19" t="n">
        <v>8</v>
      </c>
      <c r="AR3377" s="19"/>
      <c r="AS3377" s="20" t="str">
        <f aca="false">HYPERLINK("http://www.openstreetmap.org/?mlat=35.5949&amp;mlon=45.4429&amp;zoom=12#map=12/35.5949/45.4429","Maplink1")</f>
        <v>Maplink1</v>
      </c>
      <c r="AT3377" s="20" t="str">
        <f aca="false">HYPERLINK("https://www.google.iq/maps/search/+35.5949,45.4429/@35.5949,45.4429,14z?hl=en","Maplink2")</f>
        <v>Maplink2</v>
      </c>
      <c r="AU3377" s="20" t="str">
        <f aca="false">HYPERLINK("http://www.bing.com/maps/?lvl=14&amp;sty=h&amp;cp=35.5949~45.4429&amp;sp=point.35.5949_45.4429","Maplink3")</f>
        <v>Maplink3</v>
      </c>
    </row>
    <row r="3378" customFormat="false" ht="15" hidden="false" customHeight="true" outlineLevel="0" collapsed="false">
      <c r="A3378" s="15" t="n">
        <v>24817</v>
      </c>
      <c r="B3378" s="16" t="s">
        <v>30</v>
      </c>
      <c r="C3378" s="16" t="s">
        <v>6287</v>
      </c>
      <c r="D3378" s="16" t="s">
        <v>6412</v>
      </c>
      <c r="E3378" s="17" t="s">
        <v>6413</v>
      </c>
      <c r="F3378" s="16" t="n">
        <v>35.53270564</v>
      </c>
      <c r="G3378" s="16" t="n">
        <v>45.41683666</v>
      </c>
      <c r="H3378" s="18" t="n">
        <v>18</v>
      </c>
      <c r="I3378" s="18" t="n">
        <v>108</v>
      </c>
      <c r="J3378" s="19" t="n">
        <v>7</v>
      </c>
      <c r="K3378" s="19"/>
      <c r="L3378" s="19" t="n">
        <v>8</v>
      </c>
      <c r="M3378" s="19"/>
      <c r="N3378" s="19"/>
      <c r="O3378" s="19"/>
      <c r="P3378" s="19"/>
      <c r="Q3378" s="19"/>
      <c r="R3378" s="19"/>
      <c r="S3378" s="19"/>
      <c r="T3378" s="19"/>
      <c r="U3378" s="19"/>
      <c r="V3378" s="19"/>
      <c r="W3378" s="19"/>
      <c r="X3378" s="19" t="n">
        <v>3</v>
      </c>
      <c r="Y3378" s="19"/>
      <c r="Z3378" s="19"/>
      <c r="AA3378" s="19"/>
      <c r="AB3378" s="19"/>
      <c r="AC3378" s="19"/>
      <c r="AD3378" s="19"/>
      <c r="AE3378" s="19"/>
      <c r="AF3378" s="19"/>
      <c r="AG3378" s="19"/>
      <c r="AH3378" s="19" t="n">
        <v>18</v>
      </c>
      <c r="AI3378" s="19"/>
      <c r="AJ3378" s="19"/>
      <c r="AK3378" s="19"/>
      <c r="AL3378" s="19" t="n">
        <v>4</v>
      </c>
      <c r="AM3378" s="19" t="n">
        <v>3</v>
      </c>
      <c r="AN3378" s="19" t="n">
        <v>4</v>
      </c>
      <c r="AO3378" s="19" t="n">
        <v>4</v>
      </c>
      <c r="AP3378" s="19" t="n">
        <v>3</v>
      </c>
      <c r="AQ3378" s="19"/>
      <c r="AR3378" s="19"/>
      <c r="AS3378" s="20" t="str">
        <f aca="false">HYPERLINK("http://www.openstreetmap.org/?mlat=35.5327&amp;mlon=45.4168&amp;zoom=12#map=12/35.5327/45.4168","Maplink1")</f>
        <v>Maplink1</v>
      </c>
      <c r="AT3378" s="20" t="str">
        <f aca="false">HYPERLINK("https://www.google.iq/maps/search/+35.5327,45.4168/@35.5327,45.4168,14z?hl=en","Maplink2")</f>
        <v>Maplink2</v>
      </c>
      <c r="AU3378" s="20" t="str">
        <f aca="false">HYPERLINK("http://www.bing.com/maps/?lvl=14&amp;sty=h&amp;cp=35.5327~45.4168&amp;sp=point.35.5327_45.4168","Maplink3")</f>
        <v>Maplink3</v>
      </c>
    </row>
    <row r="3379" customFormat="false" ht="15" hidden="false" customHeight="true" outlineLevel="0" collapsed="false">
      <c r="A3379" s="15" t="n">
        <v>23720</v>
      </c>
      <c r="B3379" s="16" t="s">
        <v>30</v>
      </c>
      <c r="C3379" s="16" t="s">
        <v>6287</v>
      </c>
      <c r="D3379" s="16" t="s">
        <v>6414</v>
      </c>
      <c r="E3379" s="17" t="s">
        <v>6415</v>
      </c>
      <c r="F3379" s="16" t="n">
        <v>35.57461072</v>
      </c>
      <c r="G3379" s="16" t="n">
        <v>45.44631977</v>
      </c>
      <c r="H3379" s="18" t="n">
        <v>67</v>
      </c>
      <c r="I3379" s="18" t="n">
        <v>402</v>
      </c>
      <c r="J3379" s="19" t="n">
        <v>60</v>
      </c>
      <c r="K3379" s="19"/>
      <c r="L3379" s="19" t="n">
        <v>2</v>
      </c>
      <c r="M3379" s="19"/>
      <c r="N3379" s="19"/>
      <c r="O3379" s="19"/>
      <c r="P3379" s="19"/>
      <c r="Q3379" s="19"/>
      <c r="R3379" s="19"/>
      <c r="S3379" s="19"/>
      <c r="T3379" s="19"/>
      <c r="U3379" s="19"/>
      <c r="V3379" s="19"/>
      <c r="W3379" s="19"/>
      <c r="X3379" s="19" t="n">
        <v>5</v>
      </c>
      <c r="Y3379" s="19"/>
      <c r="Z3379" s="19"/>
      <c r="AA3379" s="19"/>
      <c r="AB3379" s="19"/>
      <c r="AC3379" s="19"/>
      <c r="AD3379" s="19"/>
      <c r="AE3379" s="19"/>
      <c r="AF3379" s="19"/>
      <c r="AG3379" s="19"/>
      <c r="AH3379" s="19" t="n">
        <v>67</v>
      </c>
      <c r="AI3379" s="19"/>
      <c r="AJ3379" s="19"/>
      <c r="AK3379" s="19"/>
      <c r="AL3379" s="19" t="n">
        <v>19</v>
      </c>
      <c r="AM3379" s="19" t="n">
        <v>5</v>
      </c>
      <c r="AN3379" s="19"/>
      <c r="AO3379" s="19" t="n">
        <v>5</v>
      </c>
      <c r="AP3379" s="19" t="n">
        <v>36</v>
      </c>
      <c r="AQ3379" s="19" t="n">
        <v>2</v>
      </c>
      <c r="AR3379" s="19"/>
      <c r="AS3379" s="20" t="str">
        <f aca="false">HYPERLINK("http://www.openstreetmap.org/?mlat=35.5746&amp;mlon=45.4463&amp;zoom=12#map=12/35.5746/45.4463","Maplink1")</f>
        <v>Maplink1</v>
      </c>
      <c r="AT3379" s="20" t="str">
        <f aca="false">HYPERLINK("https://www.google.iq/maps/search/+35.5746,45.4463/@35.5746,45.4463,14z?hl=en","Maplink2")</f>
        <v>Maplink2</v>
      </c>
      <c r="AU3379" s="20" t="str">
        <f aca="false">HYPERLINK("http://www.bing.com/maps/?lvl=14&amp;sty=h&amp;cp=35.5746~45.4463&amp;sp=point.35.5746_45.4463","Maplink3")</f>
        <v>Maplink3</v>
      </c>
    </row>
    <row r="3380" customFormat="false" ht="15" hidden="false" customHeight="true" outlineLevel="0" collapsed="false">
      <c r="A3380" s="15" t="n">
        <v>4456</v>
      </c>
      <c r="B3380" s="16" t="s">
        <v>30</v>
      </c>
      <c r="C3380" s="16" t="s">
        <v>6287</v>
      </c>
      <c r="D3380" s="16" t="s">
        <v>6416</v>
      </c>
      <c r="E3380" s="17" t="s">
        <v>6417</v>
      </c>
      <c r="F3380" s="16" t="n">
        <v>35.63257041</v>
      </c>
      <c r="G3380" s="16" t="n">
        <v>45.42061683</v>
      </c>
      <c r="H3380" s="18" t="n">
        <v>12</v>
      </c>
      <c r="I3380" s="18" t="n">
        <v>72</v>
      </c>
      <c r="J3380" s="19" t="n">
        <v>12</v>
      </c>
      <c r="K3380" s="19"/>
      <c r="L3380" s="19"/>
      <c r="M3380" s="19"/>
      <c r="N3380" s="19"/>
      <c r="O3380" s="19"/>
      <c r="P3380" s="19"/>
      <c r="Q3380" s="19"/>
      <c r="R3380" s="19"/>
      <c r="S3380" s="19"/>
      <c r="T3380" s="19"/>
      <c r="U3380" s="19"/>
      <c r="V3380" s="19"/>
      <c r="W3380" s="19"/>
      <c r="X3380" s="19"/>
      <c r="Y3380" s="19"/>
      <c r="Z3380" s="19"/>
      <c r="AA3380" s="19"/>
      <c r="AB3380" s="19"/>
      <c r="AC3380" s="19"/>
      <c r="AD3380" s="19"/>
      <c r="AE3380" s="19"/>
      <c r="AF3380" s="19"/>
      <c r="AG3380" s="19"/>
      <c r="AH3380" s="19" t="n">
        <v>12</v>
      </c>
      <c r="AI3380" s="19"/>
      <c r="AJ3380" s="19"/>
      <c r="AK3380" s="19"/>
      <c r="AL3380" s="19"/>
      <c r="AM3380" s="19" t="n">
        <v>3</v>
      </c>
      <c r="AN3380" s="19"/>
      <c r="AO3380" s="19" t="n">
        <v>6</v>
      </c>
      <c r="AP3380" s="19"/>
      <c r="AQ3380" s="19" t="n">
        <v>3</v>
      </c>
      <c r="AR3380" s="19"/>
      <c r="AS3380" s="20" t="str">
        <f aca="false">HYPERLINK("http://www.openstreetmap.org/?mlat=35.6326&amp;mlon=45.4206&amp;zoom=12#map=12/35.6326/45.4206","Maplink1")</f>
        <v>Maplink1</v>
      </c>
      <c r="AT3380" s="20" t="str">
        <f aca="false">HYPERLINK("https://www.google.iq/maps/search/+35.6326,45.4206/@35.6326,45.4206,14z?hl=en","Maplink2")</f>
        <v>Maplink2</v>
      </c>
      <c r="AU3380" s="20" t="str">
        <f aca="false">HYPERLINK("http://www.bing.com/maps/?lvl=14&amp;sty=h&amp;cp=35.6326~45.4206&amp;sp=point.35.6326_45.4206","Maplink3")</f>
        <v>Maplink3</v>
      </c>
    </row>
    <row r="3381" customFormat="false" ht="15" hidden="false" customHeight="true" outlineLevel="0" collapsed="false">
      <c r="A3381" s="15" t="n">
        <v>24257</v>
      </c>
      <c r="B3381" s="16" t="s">
        <v>30</v>
      </c>
      <c r="C3381" s="16" t="s">
        <v>6287</v>
      </c>
      <c r="D3381" s="16" t="s">
        <v>6418</v>
      </c>
      <c r="E3381" s="17" t="s">
        <v>6419</v>
      </c>
      <c r="F3381" s="16" t="n">
        <v>35.55870224</v>
      </c>
      <c r="G3381" s="16" t="n">
        <v>45.44940619</v>
      </c>
      <c r="H3381" s="18" t="n">
        <v>96</v>
      </c>
      <c r="I3381" s="18" t="n">
        <v>576</v>
      </c>
      <c r="J3381" s="19" t="n">
        <v>89</v>
      </c>
      <c r="K3381" s="19" t="n">
        <v>3</v>
      </c>
      <c r="L3381" s="19" t="n">
        <v>2</v>
      </c>
      <c r="M3381" s="19"/>
      <c r="N3381" s="19"/>
      <c r="O3381" s="19"/>
      <c r="P3381" s="19"/>
      <c r="Q3381" s="19"/>
      <c r="R3381" s="19"/>
      <c r="S3381" s="19"/>
      <c r="T3381" s="19"/>
      <c r="U3381" s="19"/>
      <c r="V3381" s="19"/>
      <c r="W3381" s="19"/>
      <c r="X3381" s="19" t="n">
        <v>2</v>
      </c>
      <c r="Y3381" s="19"/>
      <c r="Z3381" s="19"/>
      <c r="AA3381" s="19"/>
      <c r="AB3381" s="19"/>
      <c r="AC3381" s="19"/>
      <c r="AD3381" s="19" t="n">
        <v>15</v>
      </c>
      <c r="AE3381" s="19"/>
      <c r="AF3381" s="19"/>
      <c r="AG3381" s="19"/>
      <c r="AH3381" s="19" t="n">
        <v>81</v>
      </c>
      <c r="AI3381" s="19"/>
      <c r="AJ3381" s="19"/>
      <c r="AK3381" s="19"/>
      <c r="AL3381" s="19" t="n">
        <v>10</v>
      </c>
      <c r="AM3381" s="19" t="n">
        <v>7</v>
      </c>
      <c r="AN3381" s="19" t="n">
        <v>21</v>
      </c>
      <c r="AO3381" s="19" t="n">
        <v>33</v>
      </c>
      <c r="AP3381" s="19" t="n">
        <v>18</v>
      </c>
      <c r="AQ3381" s="19" t="n">
        <v>7</v>
      </c>
      <c r="AR3381" s="19"/>
      <c r="AS3381" s="20" t="str">
        <f aca="false">HYPERLINK("http://www.openstreetmap.org/?mlat=35.5587&amp;mlon=45.4494&amp;zoom=12#map=12/35.5587/45.4494","Maplink1")</f>
        <v>Maplink1</v>
      </c>
      <c r="AT3381" s="20" t="str">
        <f aca="false">HYPERLINK("https://www.google.iq/maps/search/+35.5587,45.4494/@35.5587,45.4494,14z?hl=en","Maplink2")</f>
        <v>Maplink2</v>
      </c>
      <c r="AU3381" s="20" t="str">
        <f aca="false">HYPERLINK("http://www.bing.com/maps/?lvl=14&amp;sty=h&amp;cp=35.5587~45.4494&amp;sp=point.35.5587_45.4494","Maplink3")</f>
        <v>Maplink3</v>
      </c>
    </row>
    <row r="3382" customFormat="false" ht="15" hidden="false" customHeight="true" outlineLevel="0" collapsed="false">
      <c r="A3382" s="15" t="n">
        <v>21050</v>
      </c>
      <c r="B3382" s="16" t="s">
        <v>30</v>
      </c>
      <c r="C3382" s="16" t="s">
        <v>6287</v>
      </c>
      <c r="D3382" s="16" t="s">
        <v>6420</v>
      </c>
      <c r="E3382" s="17" t="s">
        <v>3366</v>
      </c>
      <c r="F3382" s="16" t="n">
        <v>35.57019607</v>
      </c>
      <c r="G3382" s="16" t="n">
        <v>45.43469395</v>
      </c>
      <c r="H3382" s="18" t="n">
        <v>143</v>
      </c>
      <c r="I3382" s="18" t="n">
        <v>858</v>
      </c>
      <c r="J3382" s="19" t="n">
        <v>120</v>
      </c>
      <c r="K3382" s="19"/>
      <c r="L3382" s="19" t="n">
        <v>8</v>
      </c>
      <c r="M3382" s="19"/>
      <c r="N3382" s="19"/>
      <c r="O3382" s="19"/>
      <c r="P3382" s="19"/>
      <c r="Q3382" s="19"/>
      <c r="R3382" s="19"/>
      <c r="S3382" s="19"/>
      <c r="T3382" s="19"/>
      <c r="U3382" s="19"/>
      <c r="V3382" s="19" t="n">
        <v>9</v>
      </c>
      <c r="W3382" s="19"/>
      <c r="X3382" s="19" t="n">
        <v>6</v>
      </c>
      <c r="Y3382" s="19"/>
      <c r="Z3382" s="19"/>
      <c r="AA3382" s="19"/>
      <c r="AB3382" s="19"/>
      <c r="AC3382" s="19"/>
      <c r="AD3382" s="19"/>
      <c r="AE3382" s="19"/>
      <c r="AF3382" s="19"/>
      <c r="AG3382" s="19"/>
      <c r="AH3382" s="19" t="n">
        <v>143</v>
      </c>
      <c r="AI3382" s="19"/>
      <c r="AJ3382" s="19"/>
      <c r="AK3382" s="19"/>
      <c r="AL3382" s="19" t="n">
        <v>42</v>
      </c>
      <c r="AM3382" s="19" t="n">
        <v>20</v>
      </c>
      <c r="AN3382" s="19" t="n">
        <v>19</v>
      </c>
      <c r="AO3382" s="19" t="n">
        <v>29</v>
      </c>
      <c r="AP3382" s="19" t="n">
        <v>19</v>
      </c>
      <c r="AQ3382" s="19" t="n">
        <v>14</v>
      </c>
      <c r="AR3382" s="19"/>
      <c r="AS3382" s="20" t="str">
        <f aca="false">HYPERLINK("http://www.openstreetmap.org/?mlat=35.5702&amp;mlon=45.4347&amp;zoom=12#map=12/35.5702/45.4347","Maplink1")</f>
        <v>Maplink1</v>
      </c>
      <c r="AT3382" s="20" t="str">
        <f aca="false">HYPERLINK("https://www.google.iq/maps/search/+35.5702,45.4347/@35.5702,45.4347,14z?hl=en","Maplink2")</f>
        <v>Maplink2</v>
      </c>
      <c r="AU3382" s="20" t="str">
        <f aca="false">HYPERLINK("http://www.bing.com/maps/?lvl=14&amp;sty=h&amp;cp=35.5702~45.4347&amp;sp=point.35.5702_45.4347","Maplink3")</f>
        <v>Maplink3</v>
      </c>
    </row>
    <row r="3383" customFormat="false" ht="15" hidden="false" customHeight="true" outlineLevel="0" collapsed="false">
      <c r="A3383" s="15" t="n">
        <v>24901</v>
      </c>
      <c r="B3383" s="16" t="s">
        <v>30</v>
      </c>
      <c r="C3383" s="16" t="s">
        <v>6287</v>
      </c>
      <c r="D3383" s="16" t="s">
        <v>6421</v>
      </c>
      <c r="E3383" s="17" t="s">
        <v>6422</v>
      </c>
      <c r="F3383" s="16" t="n">
        <v>35.58309994</v>
      </c>
      <c r="G3383" s="16" t="n">
        <v>45.39212612</v>
      </c>
      <c r="H3383" s="18" t="n">
        <v>287</v>
      </c>
      <c r="I3383" s="18" t="n">
        <v>1722</v>
      </c>
      <c r="J3383" s="19" t="n">
        <v>241</v>
      </c>
      <c r="K3383" s="19"/>
      <c r="L3383" s="19" t="n">
        <v>15</v>
      </c>
      <c r="M3383" s="19"/>
      <c r="N3383" s="19"/>
      <c r="O3383" s="19" t="n">
        <v>4</v>
      </c>
      <c r="P3383" s="19"/>
      <c r="Q3383" s="19"/>
      <c r="R3383" s="19"/>
      <c r="S3383" s="19"/>
      <c r="T3383" s="19"/>
      <c r="U3383" s="19"/>
      <c r="V3383" s="19" t="n">
        <v>23</v>
      </c>
      <c r="W3383" s="19"/>
      <c r="X3383" s="19" t="n">
        <v>4</v>
      </c>
      <c r="Y3383" s="19"/>
      <c r="Z3383" s="19"/>
      <c r="AA3383" s="19"/>
      <c r="AB3383" s="19"/>
      <c r="AC3383" s="19"/>
      <c r="AD3383" s="19"/>
      <c r="AE3383" s="19"/>
      <c r="AF3383" s="19"/>
      <c r="AG3383" s="19"/>
      <c r="AH3383" s="19" t="n">
        <v>287</v>
      </c>
      <c r="AI3383" s="19"/>
      <c r="AJ3383" s="19"/>
      <c r="AK3383" s="19"/>
      <c r="AL3383" s="19" t="n">
        <v>37</v>
      </c>
      <c r="AM3383" s="19" t="n">
        <v>43</v>
      </c>
      <c r="AN3383" s="19" t="n">
        <v>41</v>
      </c>
      <c r="AO3383" s="19" t="n">
        <v>65</v>
      </c>
      <c r="AP3383" s="19" t="n">
        <v>80</v>
      </c>
      <c r="AQ3383" s="19" t="n">
        <v>21</v>
      </c>
      <c r="AR3383" s="19"/>
      <c r="AS3383" s="20" t="str">
        <f aca="false">HYPERLINK("http://www.openstreetmap.org/?mlat=35.5831&amp;mlon=45.3921&amp;zoom=12#map=12/35.5831/45.3921","Maplink1")</f>
        <v>Maplink1</v>
      </c>
      <c r="AT3383" s="20" t="str">
        <f aca="false">HYPERLINK("https://www.google.iq/maps/search/+35.5831,45.3921/@35.5831,45.3921,14z?hl=en","Maplink2")</f>
        <v>Maplink2</v>
      </c>
      <c r="AU3383" s="20" t="str">
        <f aca="false">HYPERLINK("http://www.bing.com/maps/?lvl=14&amp;sty=h&amp;cp=35.5831~45.3921&amp;sp=point.35.5831_45.3921","Maplink3")</f>
        <v>Maplink3</v>
      </c>
    </row>
    <row r="3384" customFormat="false" ht="15" hidden="false" customHeight="true" outlineLevel="0" collapsed="false">
      <c r="A3384" s="15" t="n">
        <v>25575</v>
      </c>
      <c r="B3384" s="16" t="s">
        <v>30</v>
      </c>
      <c r="C3384" s="16" t="s">
        <v>6287</v>
      </c>
      <c r="D3384" s="16" t="s">
        <v>6423</v>
      </c>
      <c r="E3384" s="17" t="s">
        <v>6424</v>
      </c>
      <c r="F3384" s="16" t="n">
        <v>35.61594056</v>
      </c>
      <c r="G3384" s="16" t="n">
        <v>45.30026875</v>
      </c>
      <c r="H3384" s="18" t="n">
        <v>7</v>
      </c>
      <c r="I3384" s="18" t="n">
        <v>42</v>
      </c>
      <c r="J3384" s="19"/>
      <c r="K3384" s="19"/>
      <c r="L3384" s="19"/>
      <c r="M3384" s="19"/>
      <c r="N3384" s="19"/>
      <c r="O3384" s="19"/>
      <c r="P3384" s="19"/>
      <c r="Q3384" s="19"/>
      <c r="R3384" s="19"/>
      <c r="S3384" s="19"/>
      <c r="T3384" s="19"/>
      <c r="U3384" s="19"/>
      <c r="V3384" s="19" t="n">
        <v>7</v>
      </c>
      <c r="W3384" s="19"/>
      <c r="X3384" s="19"/>
      <c r="Y3384" s="19"/>
      <c r="Z3384" s="19"/>
      <c r="AA3384" s="19"/>
      <c r="AB3384" s="19"/>
      <c r="AC3384" s="19"/>
      <c r="AD3384" s="19"/>
      <c r="AE3384" s="19" t="n">
        <v>1</v>
      </c>
      <c r="AF3384" s="19"/>
      <c r="AG3384" s="19"/>
      <c r="AH3384" s="19"/>
      <c r="AI3384" s="19"/>
      <c r="AJ3384" s="19" t="n">
        <v>6</v>
      </c>
      <c r="AK3384" s="19"/>
      <c r="AL3384" s="19"/>
      <c r="AM3384" s="19"/>
      <c r="AN3384" s="19" t="n">
        <v>7</v>
      </c>
      <c r="AO3384" s="19"/>
      <c r="AP3384" s="19"/>
      <c r="AQ3384" s="19"/>
      <c r="AR3384" s="19"/>
      <c r="AS3384" s="20" t="str">
        <f aca="false">HYPERLINK("http://www.openstreetmap.org/?mlat=35.6159&amp;mlon=45.3003&amp;zoom=12#map=12/35.6159/45.3003","Maplink1")</f>
        <v>Maplink1</v>
      </c>
      <c r="AT3384" s="20" t="str">
        <f aca="false">HYPERLINK("https://www.google.iq/maps/search/+35.6159,45.3003/@35.6159,45.3003,14z?hl=en","Maplink2")</f>
        <v>Maplink2</v>
      </c>
      <c r="AU3384" s="20" t="str">
        <f aca="false">HYPERLINK("http://www.bing.com/maps/?lvl=14&amp;sty=h&amp;cp=35.6159~45.3003&amp;sp=point.35.6159_45.3003","Maplink3")</f>
        <v>Maplink3</v>
      </c>
    </row>
    <row r="3385" customFormat="false" ht="15" hidden="false" customHeight="true" outlineLevel="0" collapsed="false">
      <c r="A3385" s="15" t="n">
        <v>4921</v>
      </c>
      <c r="B3385" s="16" t="s">
        <v>30</v>
      </c>
      <c r="C3385" s="16" t="s">
        <v>6287</v>
      </c>
      <c r="D3385" s="16" t="s">
        <v>6425</v>
      </c>
      <c r="E3385" s="17" t="s">
        <v>6426</v>
      </c>
      <c r="F3385" s="16" t="n">
        <v>35.46049</v>
      </c>
      <c r="G3385" s="16" t="n">
        <v>45.43722</v>
      </c>
      <c r="H3385" s="18" t="n">
        <v>31</v>
      </c>
      <c r="I3385" s="18" t="n">
        <v>186</v>
      </c>
      <c r="J3385" s="19" t="n">
        <v>1</v>
      </c>
      <c r="K3385" s="19" t="n">
        <v>4</v>
      </c>
      <c r="L3385" s="19" t="n">
        <v>2</v>
      </c>
      <c r="M3385" s="19"/>
      <c r="N3385" s="19"/>
      <c r="O3385" s="19"/>
      <c r="P3385" s="19"/>
      <c r="Q3385" s="19"/>
      <c r="R3385" s="19"/>
      <c r="S3385" s="19"/>
      <c r="T3385" s="19"/>
      <c r="U3385" s="19"/>
      <c r="V3385" s="19"/>
      <c r="W3385" s="19"/>
      <c r="X3385" s="19" t="n">
        <v>24</v>
      </c>
      <c r="Y3385" s="19"/>
      <c r="Z3385" s="19"/>
      <c r="AA3385" s="19"/>
      <c r="AB3385" s="19"/>
      <c r="AC3385" s="19"/>
      <c r="AD3385" s="19"/>
      <c r="AE3385" s="19"/>
      <c r="AF3385" s="19"/>
      <c r="AG3385" s="19"/>
      <c r="AH3385" s="19" t="n">
        <v>31</v>
      </c>
      <c r="AI3385" s="19"/>
      <c r="AJ3385" s="19"/>
      <c r="AK3385" s="19"/>
      <c r="AL3385" s="19" t="n">
        <v>9</v>
      </c>
      <c r="AM3385" s="19" t="n">
        <v>14</v>
      </c>
      <c r="AN3385" s="19" t="n">
        <v>1</v>
      </c>
      <c r="AO3385" s="19" t="n">
        <v>7</v>
      </c>
      <c r="AP3385" s="19"/>
      <c r="AQ3385" s="19"/>
      <c r="AR3385" s="19"/>
      <c r="AS3385" s="20" t="str">
        <f aca="false">HYPERLINK("http://www.openstreetmap.org/?mlat=35.4605&amp;mlon=45.4372&amp;zoom=12#map=12/35.4605/45.4372","Maplink1")</f>
        <v>Maplink1</v>
      </c>
      <c r="AT3385" s="20" t="str">
        <f aca="false">HYPERLINK("https://www.google.iq/maps/search/+35.4605,45.4372/@35.4605,45.4372,14z?hl=en","Maplink2")</f>
        <v>Maplink2</v>
      </c>
      <c r="AU3385" s="20" t="str">
        <f aca="false">HYPERLINK("http://www.bing.com/maps/?lvl=14&amp;sty=h&amp;cp=35.4605~45.4372&amp;sp=point.35.4605_45.4372","Maplink3")</f>
        <v>Maplink3</v>
      </c>
    </row>
    <row r="3386" customFormat="false" ht="15" hidden="false" customHeight="true" outlineLevel="0" collapsed="false">
      <c r="A3386" s="15" t="n">
        <v>25524</v>
      </c>
      <c r="B3386" s="16" t="s">
        <v>30</v>
      </c>
      <c r="C3386" s="16" t="s">
        <v>6287</v>
      </c>
      <c r="D3386" s="16" t="s">
        <v>6427</v>
      </c>
      <c r="E3386" s="17" t="s">
        <v>2820</v>
      </c>
      <c r="F3386" s="16" t="n">
        <v>35.53262635</v>
      </c>
      <c r="G3386" s="16" t="n">
        <v>45.44602649</v>
      </c>
      <c r="H3386" s="18" t="n">
        <v>85</v>
      </c>
      <c r="I3386" s="18" t="n">
        <v>510</v>
      </c>
      <c r="J3386" s="19" t="n">
        <v>48</v>
      </c>
      <c r="K3386" s="19" t="n">
        <v>2</v>
      </c>
      <c r="L3386" s="19" t="n">
        <v>12</v>
      </c>
      <c r="M3386" s="19"/>
      <c r="N3386" s="19"/>
      <c r="O3386" s="19" t="n">
        <v>7</v>
      </c>
      <c r="P3386" s="19"/>
      <c r="Q3386" s="19"/>
      <c r="R3386" s="19"/>
      <c r="S3386" s="19"/>
      <c r="T3386" s="19"/>
      <c r="U3386" s="19"/>
      <c r="V3386" s="19" t="n">
        <v>8</v>
      </c>
      <c r="W3386" s="19"/>
      <c r="X3386" s="19" t="n">
        <v>8</v>
      </c>
      <c r="Y3386" s="19"/>
      <c r="Z3386" s="19"/>
      <c r="AA3386" s="19"/>
      <c r="AB3386" s="19"/>
      <c r="AC3386" s="19"/>
      <c r="AD3386" s="19"/>
      <c r="AE3386" s="19"/>
      <c r="AF3386" s="19"/>
      <c r="AG3386" s="19"/>
      <c r="AH3386" s="19" t="n">
        <v>85</v>
      </c>
      <c r="AI3386" s="19"/>
      <c r="AJ3386" s="19"/>
      <c r="AK3386" s="19"/>
      <c r="AL3386" s="19" t="n">
        <v>16</v>
      </c>
      <c r="AM3386" s="19" t="n">
        <v>18</v>
      </c>
      <c r="AN3386" s="19" t="n">
        <v>17</v>
      </c>
      <c r="AO3386" s="19" t="n">
        <v>18</v>
      </c>
      <c r="AP3386" s="19" t="n">
        <v>14</v>
      </c>
      <c r="AQ3386" s="19" t="n">
        <v>2</v>
      </c>
      <c r="AR3386" s="19"/>
      <c r="AS3386" s="20" t="str">
        <f aca="false">HYPERLINK("http://www.openstreetmap.org/?mlat=35.5326&amp;mlon=45.446&amp;zoom=12#map=12/35.5326/45.446","Maplink1")</f>
        <v>Maplink1</v>
      </c>
      <c r="AT3386" s="20" t="str">
        <f aca="false">HYPERLINK("https://www.google.iq/maps/search/+35.5326,45.446/@35.5326,45.446,14z?hl=en","Maplink2")</f>
        <v>Maplink2</v>
      </c>
      <c r="AU3386" s="20" t="str">
        <f aca="false">HYPERLINK("http://www.bing.com/maps/?lvl=14&amp;sty=h&amp;cp=35.5326~45.446&amp;sp=point.35.5326_45.446","Maplink3")</f>
        <v>Maplink3</v>
      </c>
    </row>
    <row r="3387" customFormat="false" ht="15" hidden="false" customHeight="true" outlineLevel="0" collapsed="false">
      <c r="A3387" s="15" t="n">
        <v>21320</v>
      </c>
      <c r="B3387" s="16" t="s">
        <v>30</v>
      </c>
      <c r="C3387" s="16" t="s">
        <v>6287</v>
      </c>
      <c r="D3387" s="16" t="s">
        <v>6428</v>
      </c>
      <c r="E3387" s="17" t="s">
        <v>6429</v>
      </c>
      <c r="F3387" s="16" t="n">
        <v>35.54933012</v>
      </c>
      <c r="G3387" s="16" t="n">
        <v>45.41872696</v>
      </c>
      <c r="H3387" s="18" t="n">
        <v>37</v>
      </c>
      <c r="I3387" s="18" t="n">
        <v>222</v>
      </c>
      <c r="J3387" s="19" t="n">
        <v>27</v>
      </c>
      <c r="K3387" s="19" t="n">
        <v>2</v>
      </c>
      <c r="L3387" s="19" t="n">
        <v>8</v>
      </c>
      <c r="M3387" s="19"/>
      <c r="N3387" s="19"/>
      <c r="O3387" s="19"/>
      <c r="P3387" s="19"/>
      <c r="Q3387" s="19"/>
      <c r="R3387" s="19"/>
      <c r="S3387" s="19"/>
      <c r="T3387" s="19"/>
      <c r="U3387" s="19"/>
      <c r="V3387" s="19"/>
      <c r="W3387" s="19"/>
      <c r="X3387" s="19"/>
      <c r="Y3387" s="19"/>
      <c r="Z3387" s="19"/>
      <c r="AA3387" s="19"/>
      <c r="AB3387" s="19"/>
      <c r="AC3387" s="19"/>
      <c r="AD3387" s="19"/>
      <c r="AE3387" s="19"/>
      <c r="AF3387" s="19"/>
      <c r="AG3387" s="19"/>
      <c r="AH3387" s="19" t="n">
        <v>37</v>
      </c>
      <c r="AI3387" s="19"/>
      <c r="AJ3387" s="19"/>
      <c r="AK3387" s="19"/>
      <c r="AL3387" s="19" t="n">
        <v>2</v>
      </c>
      <c r="AM3387" s="19" t="n">
        <v>6</v>
      </c>
      <c r="AN3387" s="19"/>
      <c r="AO3387" s="19" t="n">
        <v>10</v>
      </c>
      <c r="AP3387" s="19" t="n">
        <v>13</v>
      </c>
      <c r="AQ3387" s="19" t="n">
        <v>6</v>
      </c>
      <c r="AR3387" s="19"/>
      <c r="AS3387" s="20" t="str">
        <f aca="false">HYPERLINK("http://www.openstreetmap.org/?mlat=35.5493&amp;mlon=45.4187&amp;zoom=12#map=12/35.5493/45.4187","Maplink1")</f>
        <v>Maplink1</v>
      </c>
      <c r="AT3387" s="20" t="str">
        <f aca="false">HYPERLINK("https://www.google.iq/maps/search/+35.5493,45.4187/@35.5493,45.4187,14z?hl=en","Maplink2")</f>
        <v>Maplink2</v>
      </c>
      <c r="AU3387" s="20" t="str">
        <f aca="false">HYPERLINK("http://www.bing.com/maps/?lvl=14&amp;sty=h&amp;cp=35.5493~45.4187&amp;sp=point.35.5493_45.4187","Maplink3")</f>
        <v>Maplink3</v>
      </c>
    </row>
    <row r="3388" customFormat="false" ht="15" hidden="false" customHeight="true" outlineLevel="0" collapsed="false">
      <c r="A3388" s="15" t="n">
        <v>4450</v>
      </c>
      <c r="B3388" s="16" t="s">
        <v>30</v>
      </c>
      <c r="C3388" s="16" t="s">
        <v>6287</v>
      </c>
      <c r="D3388" s="16" t="s">
        <v>6430</v>
      </c>
      <c r="E3388" s="17" t="s">
        <v>6431</v>
      </c>
      <c r="F3388" s="16" t="n">
        <v>35.31291206</v>
      </c>
      <c r="G3388" s="16" t="n">
        <v>45.38994365</v>
      </c>
      <c r="H3388" s="18" t="n">
        <v>32</v>
      </c>
      <c r="I3388" s="18" t="n">
        <v>192</v>
      </c>
      <c r="J3388" s="19" t="n">
        <v>4</v>
      </c>
      <c r="K3388" s="19" t="n">
        <v>2</v>
      </c>
      <c r="L3388" s="19" t="n">
        <v>4</v>
      </c>
      <c r="M3388" s="19"/>
      <c r="N3388" s="19"/>
      <c r="O3388" s="19" t="n">
        <v>9</v>
      </c>
      <c r="P3388" s="19"/>
      <c r="Q3388" s="19"/>
      <c r="R3388" s="19"/>
      <c r="S3388" s="19"/>
      <c r="T3388" s="19"/>
      <c r="U3388" s="19"/>
      <c r="V3388" s="19" t="n">
        <v>11</v>
      </c>
      <c r="W3388" s="19"/>
      <c r="X3388" s="19" t="n">
        <v>2</v>
      </c>
      <c r="Y3388" s="19"/>
      <c r="Z3388" s="19"/>
      <c r="AA3388" s="19"/>
      <c r="AB3388" s="19"/>
      <c r="AC3388" s="19"/>
      <c r="AD3388" s="19"/>
      <c r="AE3388" s="19"/>
      <c r="AF3388" s="19"/>
      <c r="AG3388" s="19"/>
      <c r="AH3388" s="19" t="n">
        <v>32</v>
      </c>
      <c r="AI3388" s="19"/>
      <c r="AJ3388" s="19"/>
      <c r="AK3388" s="19"/>
      <c r="AL3388" s="19"/>
      <c r="AM3388" s="19" t="n">
        <v>6</v>
      </c>
      <c r="AN3388" s="19" t="n">
        <v>6</v>
      </c>
      <c r="AO3388" s="19" t="n">
        <v>6</v>
      </c>
      <c r="AP3388" s="19" t="n">
        <v>10</v>
      </c>
      <c r="AQ3388" s="19" t="n">
        <v>4</v>
      </c>
      <c r="AR3388" s="19"/>
      <c r="AS3388" s="20" t="str">
        <f aca="false">HYPERLINK("http://www.openstreetmap.org/?mlat=35.3129&amp;mlon=45.3899&amp;zoom=12#map=12/35.3129/45.3899","Maplink1")</f>
        <v>Maplink1</v>
      </c>
      <c r="AT3388" s="20" t="str">
        <f aca="false">HYPERLINK("https://www.google.iq/maps/search/+35.3129,45.3899/@35.3129,45.3899,14z?hl=en","Maplink2")</f>
        <v>Maplink2</v>
      </c>
      <c r="AU3388" s="20" t="str">
        <f aca="false">HYPERLINK("http://www.bing.com/maps/?lvl=14&amp;sty=h&amp;cp=35.3129~45.3899&amp;sp=point.35.3129_45.3899","Maplink3")</f>
        <v>Maplink3</v>
      </c>
    </row>
    <row r="3389" customFormat="false" ht="15" hidden="false" customHeight="true" outlineLevel="0" collapsed="false">
      <c r="A3389" s="15" t="n">
        <v>4448</v>
      </c>
      <c r="B3389" s="16" t="s">
        <v>30</v>
      </c>
      <c r="C3389" s="16" t="s">
        <v>6287</v>
      </c>
      <c r="D3389" s="16" t="s">
        <v>6432</v>
      </c>
      <c r="E3389" s="17" t="s">
        <v>6433</v>
      </c>
      <c r="F3389" s="16" t="n">
        <v>35.38265</v>
      </c>
      <c r="G3389" s="16" t="n">
        <v>45.41304</v>
      </c>
      <c r="H3389" s="18" t="n">
        <v>2</v>
      </c>
      <c r="I3389" s="18" t="n">
        <v>12</v>
      </c>
      <c r="J3389" s="19"/>
      <c r="K3389" s="19"/>
      <c r="L3389" s="19"/>
      <c r="M3389" s="19"/>
      <c r="N3389" s="19"/>
      <c r="O3389" s="19"/>
      <c r="P3389" s="19"/>
      <c r="Q3389" s="19"/>
      <c r="R3389" s="19"/>
      <c r="S3389" s="19"/>
      <c r="T3389" s="19"/>
      <c r="U3389" s="19"/>
      <c r="V3389" s="19" t="n">
        <v>2</v>
      </c>
      <c r="W3389" s="19"/>
      <c r="X3389" s="19"/>
      <c r="Y3389" s="19"/>
      <c r="Z3389" s="19"/>
      <c r="AA3389" s="19"/>
      <c r="AB3389" s="19"/>
      <c r="AC3389" s="19"/>
      <c r="AD3389" s="19"/>
      <c r="AE3389" s="19"/>
      <c r="AF3389" s="19"/>
      <c r="AG3389" s="19"/>
      <c r="AH3389" s="19" t="n">
        <v>2</v>
      </c>
      <c r="AI3389" s="19"/>
      <c r="AJ3389" s="19"/>
      <c r="AK3389" s="19"/>
      <c r="AL3389" s="19"/>
      <c r="AM3389" s="19"/>
      <c r="AN3389" s="19" t="n">
        <v>2</v>
      </c>
      <c r="AO3389" s="19"/>
      <c r="AP3389" s="19"/>
      <c r="AQ3389" s="19"/>
      <c r="AR3389" s="19"/>
      <c r="AS3389" s="20" t="str">
        <f aca="false">HYPERLINK("http://www.openstreetmap.org/?mlat=35.3826&amp;mlon=45.413&amp;zoom=12#map=12/35.3826/45.413","Maplink1")</f>
        <v>Maplink1</v>
      </c>
      <c r="AT3389" s="20" t="str">
        <f aca="false">HYPERLINK("https://www.google.iq/maps/search/+35.3826,45.413/@35.3826,45.413,14z?hl=en","Maplink2")</f>
        <v>Maplink2</v>
      </c>
      <c r="AU3389" s="20" t="str">
        <f aca="false">HYPERLINK("http://www.bing.com/maps/?lvl=14&amp;sty=h&amp;cp=35.3826~45.413&amp;sp=point.35.3826_45.413","Maplink3")</f>
        <v>Maplink3</v>
      </c>
    </row>
    <row r="3390" customFormat="false" ht="15" hidden="false" customHeight="true" outlineLevel="0" collapsed="false">
      <c r="A3390" s="15" t="n">
        <v>4449</v>
      </c>
      <c r="B3390" s="16" t="s">
        <v>30</v>
      </c>
      <c r="C3390" s="16" t="s">
        <v>6287</v>
      </c>
      <c r="D3390" s="16" t="s">
        <v>6434</v>
      </c>
      <c r="E3390" s="17" t="s">
        <v>6435</v>
      </c>
      <c r="F3390" s="16" t="n">
        <v>35.51712194</v>
      </c>
      <c r="G3390" s="16" t="n">
        <v>45.43690742</v>
      </c>
      <c r="H3390" s="18" t="n">
        <v>7</v>
      </c>
      <c r="I3390" s="18" t="n">
        <v>42</v>
      </c>
      <c r="J3390" s="19" t="n">
        <v>5</v>
      </c>
      <c r="K3390" s="19"/>
      <c r="L3390" s="19"/>
      <c r="M3390" s="19"/>
      <c r="N3390" s="19"/>
      <c r="O3390" s="19" t="n">
        <v>2</v>
      </c>
      <c r="P3390" s="19"/>
      <c r="Q3390" s="19"/>
      <c r="R3390" s="19"/>
      <c r="S3390" s="19"/>
      <c r="T3390" s="19"/>
      <c r="U3390" s="19"/>
      <c r="V3390" s="19"/>
      <c r="W3390" s="19"/>
      <c r="X3390" s="19"/>
      <c r="Y3390" s="19"/>
      <c r="Z3390" s="19"/>
      <c r="AA3390" s="19"/>
      <c r="AB3390" s="19"/>
      <c r="AC3390" s="19"/>
      <c r="AD3390" s="19"/>
      <c r="AE3390" s="19"/>
      <c r="AF3390" s="19"/>
      <c r="AG3390" s="19"/>
      <c r="AH3390" s="19" t="n">
        <v>7</v>
      </c>
      <c r="AI3390" s="19"/>
      <c r="AJ3390" s="19"/>
      <c r="AK3390" s="19"/>
      <c r="AL3390" s="19" t="n">
        <v>6</v>
      </c>
      <c r="AM3390" s="19"/>
      <c r="AN3390" s="19"/>
      <c r="AO3390" s="19"/>
      <c r="AP3390" s="19" t="n">
        <v>1</v>
      </c>
      <c r="AQ3390" s="19"/>
      <c r="AR3390" s="19"/>
      <c r="AS3390" s="20" t="str">
        <f aca="false">HYPERLINK("http://www.openstreetmap.org/?mlat=35.5171&amp;mlon=45.4369&amp;zoom=12#map=12/35.5171/45.4369","Maplink1")</f>
        <v>Maplink1</v>
      </c>
      <c r="AT3390" s="20" t="str">
        <f aca="false">HYPERLINK("https://www.google.iq/maps/search/+35.5171,45.4369/@35.5171,45.4369,14z?hl=en","Maplink2")</f>
        <v>Maplink2</v>
      </c>
      <c r="AU3390" s="20" t="str">
        <f aca="false">HYPERLINK("http://www.bing.com/maps/?lvl=14&amp;sty=h&amp;cp=35.5171~45.4369&amp;sp=point.35.5171_45.4369","Maplink3")</f>
        <v>Maplink3</v>
      </c>
    </row>
    <row r="3391" customFormat="false" ht="15" hidden="false" customHeight="true" outlineLevel="0" collapsed="false">
      <c r="A3391" s="15" t="n">
        <v>4549</v>
      </c>
      <c r="B3391" s="16" t="s">
        <v>30</v>
      </c>
      <c r="C3391" s="16" t="s">
        <v>6287</v>
      </c>
      <c r="D3391" s="16" t="s">
        <v>6436</v>
      </c>
      <c r="E3391" s="17" t="s">
        <v>6437</v>
      </c>
      <c r="F3391" s="16" t="n">
        <v>35.53514462</v>
      </c>
      <c r="G3391" s="16" t="n">
        <v>45.46225062</v>
      </c>
      <c r="H3391" s="18" t="n">
        <v>644</v>
      </c>
      <c r="I3391" s="18" t="n">
        <v>3864</v>
      </c>
      <c r="J3391" s="19" t="n">
        <v>428</v>
      </c>
      <c r="K3391" s="19" t="n">
        <v>4</v>
      </c>
      <c r="L3391" s="19" t="n">
        <v>123</v>
      </c>
      <c r="M3391" s="19"/>
      <c r="N3391" s="19"/>
      <c r="O3391" s="19" t="n">
        <v>11</v>
      </c>
      <c r="P3391" s="19"/>
      <c r="Q3391" s="19"/>
      <c r="R3391" s="19"/>
      <c r="S3391" s="19"/>
      <c r="T3391" s="19"/>
      <c r="U3391" s="19"/>
      <c r="V3391" s="19" t="n">
        <v>59</v>
      </c>
      <c r="W3391" s="19"/>
      <c r="X3391" s="19" t="n">
        <v>19</v>
      </c>
      <c r="Y3391" s="19"/>
      <c r="Z3391" s="19"/>
      <c r="AA3391" s="19"/>
      <c r="AB3391" s="19"/>
      <c r="AC3391" s="19"/>
      <c r="AD3391" s="19"/>
      <c r="AE3391" s="19"/>
      <c r="AF3391" s="19"/>
      <c r="AG3391" s="19"/>
      <c r="AH3391" s="19" t="n">
        <v>644</v>
      </c>
      <c r="AI3391" s="19"/>
      <c r="AJ3391" s="19"/>
      <c r="AK3391" s="19"/>
      <c r="AL3391" s="19" t="n">
        <v>41</v>
      </c>
      <c r="AM3391" s="19" t="n">
        <v>79</v>
      </c>
      <c r="AN3391" s="19" t="n">
        <v>40</v>
      </c>
      <c r="AO3391" s="19" t="n">
        <v>239</v>
      </c>
      <c r="AP3391" s="19" t="n">
        <v>219</v>
      </c>
      <c r="AQ3391" s="19" t="n">
        <v>26</v>
      </c>
      <c r="AR3391" s="19"/>
      <c r="AS3391" s="20" t="str">
        <f aca="false">HYPERLINK("http://www.openstreetmap.org/?mlat=35.5351&amp;mlon=45.4623&amp;zoom=12#map=12/35.5351/45.4623","Maplink1")</f>
        <v>Maplink1</v>
      </c>
      <c r="AT3391" s="20" t="str">
        <f aca="false">HYPERLINK("https://www.google.iq/maps/search/+35.5351,45.4623/@35.5351,45.4623,14z?hl=en","Maplink2")</f>
        <v>Maplink2</v>
      </c>
      <c r="AU3391" s="20" t="str">
        <f aca="false">HYPERLINK("http://www.bing.com/maps/?lvl=14&amp;sty=h&amp;cp=35.5351~45.4623&amp;sp=point.35.5351_45.4623","Maplink3")</f>
        <v>Maplink3</v>
      </c>
    </row>
    <row r="3392" customFormat="false" ht="15" hidden="false" customHeight="true" outlineLevel="0" collapsed="false">
      <c r="A3392" s="15" t="n">
        <v>6139</v>
      </c>
      <c r="B3392" s="16" t="s">
        <v>30</v>
      </c>
      <c r="C3392" s="16" t="s">
        <v>6287</v>
      </c>
      <c r="D3392" s="16" t="s">
        <v>6438</v>
      </c>
      <c r="E3392" s="17" t="s">
        <v>6439</v>
      </c>
      <c r="F3392" s="16" t="n">
        <v>35.58158993</v>
      </c>
      <c r="G3392" s="16" t="n">
        <v>45.37269838</v>
      </c>
      <c r="H3392" s="18" t="n">
        <v>52</v>
      </c>
      <c r="I3392" s="18" t="n">
        <v>312</v>
      </c>
      <c r="J3392" s="19" t="n">
        <v>38</v>
      </c>
      <c r="K3392" s="19"/>
      <c r="L3392" s="19" t="n">
        <v>6</v>
      </c>
      <c r="M3392" s="19"/>
      <c r="N3392" s="19"/>
      <c r="O3392" s="19" t="n">
        <v>2</v>
      </c>
      <c r="P3392" s="19"/>
      <c r="Q3392" s="19"/>
      <c r="R3392" s="19"/>
      <c r="S3392" s="19"/>
      <c r="T3392" s="19"/>
      <c r="U3392" s="19"/>
      <c r="V3392" s="19" t="n">
        <v>5</v>
      </c>
      <c r="W3392" s="19"/>
      <c r="X3392" s="19" t="n">
        <v>1</v>
      </c>
      <c r="Y3392" s="19"/>
      <c r="Z3392" s="19"/>
      <c r="AA3392" s="19"/>
      <c r="AB3392" s="19"/>
      <c r="AC3392" s="19"/>
      <c r="AD3392" s="19"/>
      <c r="AE3392" s="19"/>
      <c r="AF3392" s="19"/>
      <c r="AG3392" s="19"/>
      <c r="AH3392" s="19" t="n">
        <v>52</v>
      </c>
      <c r="AI3392" s="19"/>
      <c r="AJ3392" s="19"/>
      <c r="AK3392" s="19"/>
      <c r="AL3392" s="19" t="n">
        <v>2</v>
      </c>
      <c r="AM3392" s="19" t="n">
        <v>7</v>
      </c>
      <c r="AN3392" s="19" t="n">
        <v>7</v>
      </c>
      <c r="AO3392" s="19" t="n">
        <v>15</v>
      </c>
      <c r="AP3392" s="19" t="n">
        <v>21</v>
      </c>
      <c r="AQ3392" s="19"/>
      <c r="AR3392" s="19"/>
      <c r="AS3392" s="20" t="str">
        <f aca="false">HYPERLINK("http://www.openstreetmap.org/?mlat=35.5816&amp;mlon=45.3727&amp;zoom=12#map=12/35.5816/45.3727","Maplink1")</f>
        <v>Maplink1</v>
      </c>
      <c r="AT3392" s="20" t="str">
        <f aca="false">HYPERLINK("https://www.google.iq/maps/search/+35.5816,45.3727/@35.5816,45.3727,14z?hl=en","Maplink2")</f>
        <v>Maplink2</v>
      </c>
      <c r="AU3392" s="20" t="str">
        <f aca="false">HYPERLINK("http://www.bing.com/maps/?lvl=14&amp;sty=h&amp;cp=35.5816~45.3727&amp;sp=point.35.5816_45.3727","Maplink3")</f>
        <v>Maplink3</v>
      </c>
    </row>
    <row r="3393" customFormat="false" ht="15" hidden="false" customHeight="true" outlineLevel="0" collapsed="false">
      <c r="A3393" s="15" t="n">
        <v>6251</v>
      </c>
      <c r="B3393" s="16" t="s">
        <v>30</v>
      </c>
      <c r="C3393" s="16" t="s">
        <v>6287</v>
      </c>
      <c r="D3393" s="16" t="s">
        <v>6440</v>
      </c>
      <c r="E3393" s="17" t="s">
        <v>6441</v>
      </c>
      <c r="F3393" s="16" t="n">
        <v>35.59655043</v>
      </c>
      <c r="G3393" s="16" t="n">
        <v>45.34534134</v>
      </c>
      <c r="H3393" s="18" t="n">
        <v>71</v>
      </c>
      <c r="I3393" s="18" t="n">
        <v>426</v>
      </c>
      <c r="J3393" s="19" t="n">
        <v>47</v>
      </c>
      <c r="K3393" s="19"/>
      <c r="L3393" s="19" t="n">
        <v>11</v>
      </c>
      <c r="M3393" s="19"/>
      <c r="N3393" s="19"/>
      <c r="O3393" s="19" t="n">
        <v>5</v>
      </c>
      <c r="P3393" s="19"/>
      <c r="Q3393" s="19"/>
      <c r="R3393" s="19"/>
      <c r="S3393" s="19"/>
      <c r="T3393" s="19"/>
      <c r="U3393" s="19"/>
      <c r="V3393" s="19" t="n">
        <v>8</v>
      </c>
      <c r="W3393" s="19"/>
      <c r="X3393" s="19"/>
      <c r="Y3393" s="19"/>
      <c r="Z3393" s="19"/>
      <c r="AA3393" s="19"/>
      <c r="AB3393" s="19"/>
      <c r="AC3393" s="19"/>
      <c r="AD3393" s="19"/>
      <c r="AE3393" s="19" t="n">
        <v>8</v>
      </c>
      <c r="AF3393" s="19"/>
      <c r="AG3393" s="19"/>
      <c r="AH3393" s="19" t="n">
        <v>63</v>
      </c>
      <c r="AI3393" s="19"/>
      <c r="AJ3393" s="19"/>
      <c r="AK3393" s="19"/>
      <c r="AL3393" s="19" t="n">
        <v>10</v>
      </c>
      <c r="AM3393" s="19" t="n">
        <v>11</v>
      </c>
      <c r="AN3393" s="19" t="n">
        <v>20</v>
      </c>
      <c r="AO3393" s="19" t="n">
        <v>11</v>
      </c>
      <c r="AP3393" s="19" t="n">
        <v>15</v>
      </c>
      <c r="AQ3393" s="19" t="n">
        <v>4</v>
      </c>
      <c r="AR3393" s="19"/>
      <c r="AS3393" s="20" t="str">
        <f aca="false">HYPERLINK("http://www.openstreetmap.org/?mlat=35.5966&amp;mlon=45.3453&amp;zoom=12#map=12/35.5966/45.3453","Maplink1")</f>
        <v>Maplink1</v>
      </c>
      <c r="AT3393" s="20" t="str">
        <f aca="false">HYPERLINK("https://www.google.iq/maps/search/+35.5966,45.3453/@35.5966,45.3453,14z?hl=en","Maplink2")</f>
        <v>Maplink2</v>
      </c>
      <c r="AU3393" s="20" t="str">
        <f aca="false">HYPERLINK("http://www.bing.com/maps/?lvl=14&amp;sty=h&amp;cp=35.5966~45.3453&amp;sp=point.35.5966_45.3453","Maplink3")</f>
        <v>Maplink3</v>
      </c>
    </row>
    <row r="3394" customFormat="false" ht="15" hidden="false" customHeight="true" outlineLevel="0" collapsed="false">
      <c r="A3394" s="15" t="n">
        <v>5896</v>
      </c>
      <c r="B3394" s="16" t="s">
        <v>30</v>
      </c>
      <c r="C3394" s="16" t="s">
        <v>6287</v>
      </c>
      <c r="D3394" s="16" t="s">
        <v>6442</v>
      </c>
      <c r="E3394" s="17" t="s">
        <v>6443</v>
      </c>
      <c r="F3394" s="16" t="n">
        <v>35.58402182</v>
      </c>
      <c r="G3394" s="16" t="n">
        <v>45.32221216</v>
      </c>
      <c r="H3394" s="18" t="n">
        <v>105</v>
      </c>
      <c r="I3394" s="18" t="n">
        <v>630</v>
      </c>
      <c r="J3394" s="19" t="n">
        <v>43</v>
      </c>
      <c r="K3394" s="19" t="n">
        <v>5</v>
      </c>
      <c r="L3394" s="19" t="n">
        <v>14</v>
      </c>
      <c r="M3394" s="19"/>
      <c r="N3394" s="19"/>
      <c r="O3394" s="19" t="n">
        <v>3</v>
      </c>
      <c r="P3394" s="19"/>
      <c r="Q3394" s="19"/>
      <c r="R3394" s="19"/>
      <c r="S3394" s="19"/>
      <c r="T3394" s="19"/>
      <c r="U3394" s="19"/>
      <c r="V3394" s="19" t="n">
        <v>27</v>
      </c>
      <c r="W3394" s="19"/>
      <c r="X3394" s="19" t="n">
        <v>13</v>
      </c>
      <c r="Y3394" s="19"/>
      <c r="Z3394" s="19"/>
      <c r="AA3394" s="19"/>
      <c r="AB3394" s="19"/>
      <c r="AC3394" s="19"/>
      <c r="AD3394" s="19"/>
      <c r="AE3394" s="19"/>
      <c r="AF3394" s="19"/>
      <c r="AG3394" s="19"/>
      <c r="AH3394" s="19" t="n">
        <v>96</v>
      </c>
      <c r="AI3394" s="19"/>
      <c r="AJ3394" s="19" t="n">
        <v>9</v>
      </c>
      <c r="AK3394" s="19"/>
      <c r="AL3394" s="19" t="n">
        <v>12</v>
      </c>
      <c r="AM3394" s="19" t="n">
        <v>35</v>
      </c>
      <c r="AN3394" s="19" t="n">
        <v>17</v>
      </c>
      <c r="AO3394" s="19" t="n">
        <v>35</v>
      </c>
      <c r="AP3394" s="19" t="n">
        <v>6</v>
      </c>
      <c r="AQ3394" s="19"/>
      <c r="AR3394" s="19"/>
      <c r="AS3394" s="20" t="str">
        <f aca="false">HYPERLINK("http://www.openstreetmap.org/?mlat=35.584&amp;mlon=45.3222&amp;zoom=12#map=12/35.584/45.3222","Maplink1")</f>
        <v>Maplink1</v>
      </c>
      <c r="AT3394" s="20" t="str">
        <f aca="false">HYPERLINK("https://www.google.iq/maps/search/+35.584,45.3222/@35.584,45.3222,14z?hl=en","Maplink2")</f>
        <v>Maplink2</v>
      </c>
      <c r="AU3394" s="20" t="str">
        <f aca="false">HYPERLINK("http://www.bing.com/maps/?lvl=14&amp;sty=h&amp;cp=35.584~45.3222&amp;sp=point.35.584_45.3222","Maplink3")</f>
        <v>Maplink3</v>
      </c>
    </row>
    <row r="3395" customFormat="false" ht="15" hidden="false" customHeight="true" outlineLevel="0" collapsed="false">
      <c r="A3395" s="15" t="n">
        <v>5798</v>
      </c>
      <c r="B3395" s="16" t="s">
        <v>30</v>
      </c>
      <c r="C3395" s="16" t="s">
        <v>6287</v>
      </c>
      <c r="D3395" s="16" t="s">
        <v>6444</v>
      </c>
      <c r="E3395" s="17" t="s">
        <v>3375</v>
      </c>
      <c r="F3395" s="16" t="n">
        <v>35.58601961</v>
      </c>
      <c r="G3395" s="16" t="n">
        <v>45.330774</v>
      </c>
      <c r="H3395" s="18" t="n">
        <v>651</v>
      </c>
      <c r="I3395" s="18" t="n">
        <v>3906</v>
      </c>
      <c r="J3395" s="19" t="n">
        <v>443</v>
      </c>
      <c r="K3395" s="19" t="n">
        <v>19</v>
      </c>
      <c r="L3395" s="19" t="n">
        <v>44</v>
      </c>
      <c r="M3395" s="19"/>
      <c r="N3395" s="19"/>
      <c r="O3395" s="19" t="n">
        <v>23</v>
      </c>
      <c r="P3395" s="19"/>
      <c r="Q3395" s="19"/>
      <c r="R3395" s="19"/>
      <c r="S3395" s="19"/>
      <c r="T3395" s="19"/>
      <c r="U3395" s="19"/>
      <c r="V3395" s="19" t="n">
        <v>90</v>
      </c>
      <c r="W3395" s="19"/>
      <c r="X3395" s="19" t="n">
        <v>32</v>
      </c>
      <c r="Y3395" s="19"/>
      <c r="Z3395" s="19"/>
      <c r="AA3395" s="19"/>
      <c r="AB3395" s="19"/>
      <c r="AC3395" s="19"/>
      <c r="AD3395" s="19"/>
      <c r="AE3395" s="19"/>
      <c r="AF3395" s="19"/>
      <c r="AG3395" s="19"/>
      <c r="AH3395" s="19" t="n">
        <v>651</v>
      </c>
      <c r="AI3395" s="19"/>
      <c r="AJ3395" s="19"/>
      <c r="AK3395" s="19"/>
      <c r="AL3395" s="19" t="n">
        <v>134</v>
      </c>
      <c r="AM3395" s="19" t="n">
        <v>129</v>
      </c>
      <c r="AN3395" s="19" t="n">
        <v>66</v>
      </c>
      <c r="AO3395" s="19" t="n">
        <v>46</v>
      </c>
      <c r="AP3395" s="19" t="n">
        <v>276</v>
      </c>
      <c r="AQ3395" s="19"/>
      <c r="AR3395" s="19"/>
      <c r="AS3395" s="20" t="str">
        <f aca="false">HYPERLINK("http://www.openstreetmap.org/?mlat=35.586&amp;mlon=45.3308&amp;zoom=12#map=12/35.586/45.3308","Maplink1")</f>
        <v>Maplink1</v>
      </c>
      <c r="AT3395" s="20" t="str">
        <f aca="false">HYPERLINK("https://www.google.iq/maps/search/+35.586,45.3308/@35.586,45.3308,14z?hl=en","Maplink2")</f>
        <v>Maplink2</v>
      </c>
      <c r="AU3395" s="20" t="str">
        <f aca="false">HYPERLINK("http://www.bing.com/maps/?lvl=14&amp;sty=h&amp;cp=35.586~45.3308&amp;sp=point.35.586_45.3308","Maplink3")</f>
        <v>Maplink3</v>
      </c>
    </row>
    <row r="3396" customFormat="false" ht="15" hidden="false" customHeight="true" outlineLevel="0" collapsed="false">
      <c r="A3396" s="15" t="n">
        <v>6311</v>
      </c>
      <c r="B3396" s="16" t="s">
        <v>30</v>
      </c>
      <c r="C3396" s="16" t="s">
        <v>6287</v>
      </c>
      <c r="D3396" s="16" t="s">
        <v>6445</v>
      </c>
      <c r="E3396" s="17" t="s">
        <v>6180</v>
      </c>
      <c r="F3396" s="16" t="n">
        <v>35.56275271</v>
      </c>
      <c r="G3396" s="16" t="n">
        <v>45.39724112</v>
      </c>
      <c r="H3396" s="18" t="n">
        <v>226</v>
      </c>
      <c r="I3396" s="18" t="n">
        <v>1356</v>
      </c>
      <c r="J3396" s="19" t="n">
        <v>181</v>
      </c>
      <c r="K3396" s="19"/>
      <c r="L3396" s="19" t="n">
        <v>16</v>
      </c>
      <c r="M3396" s="19"/>
      <c r="N3396" s="19"/>
      <c r="O3396" s="19" t="n">
        <v>4</v>
      </c>
      <c r="P3396" s="19"/>
      <c r="Q3396" s="19"/>
      <c r="R3396" s="19"/>
      <c r="S3396" s="19"/>
      <c r="T3396" s="19"/>
      <c r="U3396" s="19"/>
      <c r="V3396" s="19" t="n">
        <v>9</v>
      </c>
      <c r="W3396" s="19"/>
      <c r="X3396" s="19" t="n">
        <v>16</v>
      </c>
      <c r="Y3396" s="19"/>
      <c r="Z3396" s="19"/>
      <c r="AA3396" s="19"/>
      <c r="AB3396" s="19"/>
      <c r="AC3396" s="19"/>
      <c r="AD3396" s="19"/>
      <c r="AE3396" s="19"/>
      <c r="AF3396" s="19"/>
      <c r="AG3396" s="19" t="n">
        <v>9</v>
      </c>
      <c r="AH3396" s="19" t="n">
        <v>217</v>
      </c>
      <c r="AI3396" s="19"/>
      <c r="AJ3396" s="19"/>
      <c r="AK3396" s="19"/>
      <c r="AL3396" s="19" t="n">
        <v>32</v>
      </c>
      <c r="AM3396" s="19" t="n">
        <v>35</v>
      </c>
      <c r="AN3396" s="19" t="n">
        <v>28</v>
      </c>
      <c r="AO3396" s="19" t="n">
        <v>84</v>
      </c>
      <c r="AP3396" s="19" t="n">
        <v>34</v>
      </c>
      <c r="AQ3396" s="19" t="n">
        <v>13</v>
      </c>
      <c r="AR3396" s="19"/>
      <c r="AS3396" s="20" t="str">
        <f aca="false">HYPERLINK("http://www.openstreetmap.org/?mlat=35.5628&amp;mlon=45.3972&amp;zoom=12#map=12/35.5628/45.3972","Maplink1")</f>
        <v>Maplink1</v>
      </c>
      <c r="AT3396" s="20" t="str">
        <f aca="false">HYPERLINK("https://www.google.iq/maps/search/+35.5628,45.3972/@35.5628,45.3972,14z?hl=en","Maplink2")</f>
        <v>Maplink2</v>
      </c>
      <c r="AU3396" s="20" t="str">
        <f aca="false">HYPERLINK("http://www.bing.com/maps/?lvl=14&amp;sty=h&amp;cp=35.5628~45.3972&amp;sp=point.35.5628_45.3972","Maplink3")</f>
        <v>Maplink3</v>
      </c>
    </row>
    <row r="3397" customFormat="false" ht="15" hidden="false" customHeight="true" outlineLevel="0" collapsed="false">
      <c r="A3397" s="15" t="n">
        <v>24095</v>
      </c>
      <c r="B3397" s="16" t="s">
        <v>30</v>
      </c>
      <c r="C3397" s="16" t="s">
        <v>6287</v>
      </c>
      <c r="D3397" s="16" t="s">
        <v>6446</v>
      </c>
      <c r="E3397" s="17" t="s">
        <v>6180</v>
      </c>
      <c r="F3397" s="16" t="n">
        <v>35.43031397</v>
      </c>
      <c r="G3397" s="16" t="n">
        <v>45.58754531</v>
      </c>
      <c r="H3397" s="18" t="n">
        <v>84</v>
      </c>
      <c r="I3397" s="18" t="n">
        <v>504</v>
      </c>
      <c r="J3397" s="19" t="n">
        <v>28</v>
      </c>
      <c r="K3397" s="19" t="n">
        <v>20</v>
      </c>
      <c r="L3397" s="19" t="n">
        <v>21</v>
      </c>
      <c r="M3397" s="19"/>
      <c r="N3397" s="19"/>
      <c r="O3397" s="19" t="n">
        <v>2</v>
      </c>
      <c r="P3397" s="19"/>
      <c r="Q3397" s="19"/>
      <c r="R3397" s="19"/>
      <c r="S3397" s="19"/>
      <c r="T3397" s="19"/>
      <c r="U3397" s="19"/>
      <c r="V3397" s="19"/>
      <c r="W3397" s="19"/>
      <c r="X3397" s="19" t="n">
        <v>13</v>
      </c>
      <c r="Y3397" s="19"/>
      <c r="Z3397" s="19"/>
      <c r="AA3397" s="19"/>
      <c r="AB3397" s="19"/>
      <c r="AC3397" s="19"/>
      <c r="AD3397" s="19"/>
      <c r="AE3397" s="19"/>
      <c r="AF3397" s="19"/>
      <c r="AG3397" s="19"/>
      <c r="AH3397" s="19" t="n">
        <v>64</v>
      </c>
      <c r="AI3397" s="19"/>
      <c r="AJ3397" s="19" t="n">
        <v>20</v>
      </c>
      <c r="AK3397" s="19"/>
      <c r="AL3397" s="19" t="n">
        <v>8</v>
      </c>
      <c r="AM3397" s="19" t="n">
        <v>27</v>
      </c>
      <c r="AN3397" s="19" t="n">
        <v>13</v>
      </c>
      <c r="AO3397" s="19" t="n">
        <v>26</v>
      </c>
      <c r="AP3397" s="19" t="n">
        <v>8</v>
      </c>
      <c r="AQ3397" s="19" t="n">
        <v>2</v>
      </c>
      <c r="AR3397" s="19"/>
      <c r="AS3397" s="20" t="str">
        <f aca="false">HYPERLINK("http://www.openstreetmap.org/?mlat=35.4303&amp;mlon=45.5875&amp;zoom=12#map=12/35.4303/45.5875","Maplink1")</f>
        <v>Maplink1</v>
      </c>
      <c r="AT3397" s="20" t="str">
        <f aca="false">HYPERLINK("https://www.google.iq/maps/search/+35.4303,45.5875/@35.4303,45.5875,14z?hl=en","Maplink2")</f>
        <v>Maplink2</v>
      </c>
      <c r="AU3397" s="20" t="str">
        <f aca="false">HYPERLINK("http://www.bing.com/maps/?lvl=14&amp;sty=h&amp;cp=35.4303~45.5875&amp;sp=point.35.4303_45.5875","Maplink3")</f>
        <v>Maplink3</v>
      </c>
    </row>
    <row r="3398" customFormat="false" ht="15" hidden="false" customHeight="true" outlineLevel="0" collapsed="false">
      <c r="A3398" s="15" t="n">
        <v>24259</v>
      </c>
      <c r="B3398" s="16" t="s">
        <v>30</v>
      </c>
      <c r="C3398" s="16" t="s">
        <v>6287</v>
      </c>
      <c r="D3398" s="16" t="s">
        <v>6447</v>
      </c>
      <c r="E3398" s="17" t="s">
        <v>6448</v>
      </c>
      <c r="F3398" s="16" t="n">
        <v>35.5888364</v>
      </c>
      <c r="G3398" s="16" t="n">
        <v>45.42483131</v>
      </c>
      <c r="H3398" s="18" t="n">
        <v>146</v>
      </c>
      <c r="I3398" s="18" t="n">
        <v>876</v>
      </c>
      <c r="J3398" s="19" t="n">
        <v>123</v>
      </c>
      <c r="K3398" s="19"/>
      <c r="L3398" s="19" t="n">
        <v>6</v>
      </c>
      <c r="M3398" s="19"/>
      <c r="N3398" s="19"/>
      <c r="O3398" s="19"/>
      <c r="P3398" s="19"/>
      <c r="Q3398" s="19"/>
      <c r="R3398" s="19"/>
      <c r="S3398" s="19"/>
      <c r="T3398" s="19"/>
      <c r="U3398" s="19"/>
      <c r="V3398" s="19" t="n">
        <v>5</v>
      </c>
      <c r="W3398" s="19"/>
      <c r="X3398" s="19" t="n">
        <v>12</v>
      </c>
      <c r="Y3398" s="19"/>
      <c r="Z3398" s="19"/>
      <c r="AA3398" s="19"/>
      <c r="AB3398" s="19"/>
      <c r="AC3398" s="19"/>
      <c r="AD3398" s="19"/>
      <c r="AE3398" s="19"/>
      <c r="AF3398" s="19"/>
      <c r="AG3398" s="19"/>
      <c r="AH3398" s="19" t="n">
        <v>146</v>
      </c>
      <c r="AI3398" s="19"/>
      <c r="AJ3398" s="19"/>
      <c r="AK3398" s="19"/>
      <c r="AL3398" s="19" t="n">
        <v>16</v>
      </c>
      <c r="AM3398" s="19" t="n">
        <v>20</v>
      </c>
      <c r="AN3398" s="19" t="n">
        <v>6</v>
      </c>
      <c r="AO3398" s="19" t="n">
        <v>58</v>
      </c>
      <c r="AP3398" s="19" t="n">
        <v>42</v>
      </c>
      <c r="AQ3398" s="19" t="n">
        <v>4</v>
      </c>
      <c r="AR3398" s="19"/>
      <c r="AS3398" s="20" t="str">
        <f aca="false">HYPERLINK("http://www.openstreetmap.org/?mlat=35.5888&amp;mlon=45.4248&amp;zoom=12#map=12/35.5888/45.4248","Maplink1")</f>
        <v>Maplink1</v>
      </c>
      <c r="AT3398" s="20" t="str">
        <f aca="false">HYPERLINK("https://www.google.iq/maps/search/+35.5888,45.4248/@35.5888,45.4248,14z?hl=en","Maplink2")</f>
        <v>Maplink2</v>
      </c>
      <c r="AU3398" s="20" t="str">
        <f aca="false">HYPERLINK("http://www.bing.com/maps/?lvl=14&amp;sty=h&amp;cp=35.5888~45.4248&amp;sp=point.35.5888_45.4248","Maplink3")</f>
        <v>Maplink3</v>
      </c>
    </row>
    <row r="3399" customFormat="false" ht="15" hidden="false" customHeight="true" outlineLevel="0" collapsed="false">
      <c r="A3399" s="15" t="n">
        <v>24256</v>
      </c>
      <c r="B3399" s="16" t="s">
        <v>30</v>
      </c>
      <c r="C3399" s="16" t="s">
        <v>6287</v>
      </c>
      <c r="D3399" s="16" t="s">
        <v>6449</v>
      </c>
      <c r="E3399" s="17" t="s">
        <v>6267</v>
      </c>
      <c r="F3399" s="16" t="n">
        <v>35.54600009</v>
      </c>
      <c r="G3399" s="16" t="n">
        <v>45.44992798</v>
      </c>
      <c r="H3399" s="18" t="n">
        <v>52</v>
      </c>
      <c r="I3399" s="18" t="n">
        <v>312</v>
      </c>
      <c r="J3399" s="19" t="n">
        <v>33</v>
      </c>
      <c r="K3399" s="19" t="n">
        <v>1</v>
      </c>
      <c r="L3399" s="19" t="n">
        <v>10</v>
      </c>
      <c r="M3399" s="19"/>
      <c r="N3399" s="19"/>
      <c r="O3399" s="19" t="n">
        <v>2</v>
      </c>
      <c r="P3399" s="19"/>
      <c r="Q3399" s="19"/>
      <c r="R3399" s="19"/>
      <c r="S3399" s="19"/>
      <c r="T3399" s="19"/>
      <c r="U3399" s="19"/>
      <c r="V3399" s="19" t="n">
        <v>6</v>
      </c>
      <c r="W3399" s="19"/>
      <c r="X3399" s="19"/>
      <c r="Y3399" s="19"/>
      <c r="Z3399" s="19"/>
      <c r="AA3399" s="19"/>
      <c r="AB3399" s="19"/>
      <c r="AC3399" s="19"/>
      <c r="AD3399" s="19"/>
      <c r="AE3399" s="19"/>
      <c r="AF3399" s="19"/>
      <c r="AG3399" s="19"/>
      <c r="AH3399" s="19" t="n">
        <v>52</v>
      </c>
      <c r="AI3399" s="19"/>
      <c r="AJ3399" s="19"/>
      <c r="AK3399" s="19"/>
      <c r="AL3399" s="19" t="n">
        <v>7</v>
      </c>
      <c r="AM3399" s="19" t="n">
        <v>6</v>
      </c>
      <c r="AN3399" s="19" t="n">
        <v>16</v>
      </c>
      <c r="AO3399" s="19" t="n">
        <v>5</v>
      </c>
      <c r="AP3399" s="19" t="n">
        <v>13</v>
      </c>
      <c r="AQ3399" s="19" t="n">
        <v>5</v>
      </c>
      <c r="AR3399" s="19"/>
      <c r="AS3399" s="20" t="str">
        <f aca="false">HYPERLINK("http://www.openstreetmap.org/?mlat=35.546&amp;mlon=45.4499&amp;zoom=12#map=12/35.546/45.4499","Maplink1")</f>
        <v>Maplink1</v>
      </c>
      <c r="AT3399" s="20" t="str">
        <f aca="false">HYPERLINK("https://www.google.iq/maps/search/+35.546,45.4499/@35.546,45.4499,14z?hl=en","Maplink2")</f>
        <v>Maplink2</v>
      </c>
      <c r="AU3399" s="20" t="str">
        <f aca="false">HYPERLINK("http://www.bing.com/maps/?lvl=14&amp;sty=h&amp;cp=35.546~45.4499&amp;sp=point.35.546_45.4499","Maplink3")</f>
        <v>Maplink3</v>
      </c>
    </row>
    <row r="3400" customFormat="false" ht="15" hidden="false" customHeight="true" outlineLevel="0" collapsed="false">
      <c r="A3400" s="15" t="n">
        <v>24819</v>
      </c>
      <c r="B3400" s="16" t="s">
        <v>30</v>
      </c>
      <c r="C3400" s="16" t="s">
        <v>6287</v>
      </c>
      <c r="D3400" s="16" t="s">
        <v>6450</v>
      </c>
      <c r="E3400" s="17" t="s">
        <v>6451</v>
      </c>
      <c r="F3400" s="16" t="n">
        <v>35.59717848</v>
      </c>
      <c r="G3400" s="16" t="n">
        <v>45.34306255</v>
      </c>
      <c r="H3400" s="18" t="n">
        <v>118</v>
      </c>
      <c r="I3400" s="18" t="n">
        <v>708</v>
      </c>
      <c r="J3400" s="19" t="n">
        <v>99</v>
      </c>
      <c r="K3400" s="19"/>
      <c r="L3400" s="19" t="n">
        <v>3</v>
      </c>
      <c r="M3400" s="19"/>
      <c r="N3400" s="19"/>
      <c r="O3400" s="19"/>
      <c r="P3400" s="19"/>
      <c r="Q3400" s="19"/>
      <c r="R3400" s="19"/>
      <c r="S3400" s="19"/>
      <c r="T3400" s="19"/>
      <c r="U3400" s="19"/>
      <c r="V3400" s="19"/>
      <c r="W3400" s="19"/>
      <c r="X3400" s="19" t="n">
        <v>16</v>
      </c>
      <c r="Y3400" s="19"/>
      <c r="Z3400" s="19"/>
      <c r="AA3400" s="19"/>
      <c r="AB3400" s="19"/>
      <c r="AC3400" s="19"/>
      <c r="AD3400" s="19"/>
      <c r="AE3400" s="19"/>
      <c r="AF3400" s="19"/>
      <c r="AG3400" s="19"/>
      <c r="AH3400" s="19" t="n">
        <v>118</v>
      </c>
      <c r="AI3400" s="19"/>
      <c r="AJ3400" s="19"/>
      <c r="AK3400" s="19"/>
      <c r="AL3400" s="19" t="n">
        <v>40</v>
      </c>
      <c r="AM3400" s="19" t="n">
        <v>10</v>
      </c>
      <c r="AN3400" s="19"/>
      <c r="AO3400" s="19" t="n">
        <v>64</v>
      </c>
      <c r="AP3400" s="19" t="n">
        <v>4</v>
      </c>
      <c r="AQ3400" s="19"/>
      <c r="AR3400" s="19"/>
      <c r="AS3400" s="20" t="str">
        <f aca="false">HYPERLINK("http://www.openstreetmap.org/?mlat=35.5972&amp;mlon=45.3431&amp;zoom=12#map=12/35.5972/45.3431","Maplink1")</f>
        <v>Maplink1</v>
      </c>
      <c r="AT3400" s="20" t="str">
        <f aca="false">HYPERLINK("https://www.google.iq/maps/search/+35.5972,45.3431/@35.5972,45.3431,14z?hl=en","Maplink2")</f>
        <v>Maplink2</v>
      </c>
      <c r="AU3400" s="20" t="str">
        <f aca="false">HYPERLINK("http://www.bing.com/maps/?lvl=14&amp;sty=h&amp;cp=35.5972~45.3431&amp;sp=point.35.5972_45.3431","Maplink3")</f>
        <v>Maplink3</v>
      </c>
    </row>
    <row r="3401" customFormat="false" ht="15" hidden="false" customHeight="true" outlineLevel="0" collapsed="false">
      <c r="A3401" s="15" t="n">
        <v>21021</v>
      </c>
      <c r="B3401" s="16" t="s">
        <v>30</v>
      </c>
      <c r="C3401" s="16" t="s">
        <v>6287</v>
      </c>
      <c r="D3401" s="16" t="s">
        <v>6452</v>
      </c>
      <c r="E3401" s="17" t="s">
        <v>6453</v>
      </c>
      <c r="F3401" s="16" t="n">
        <v>35.5537546</v>
      </c>
      <c r="G3401" s="16" t="n">
        <v>45.44757604</v>
      </c>
      <c r="H3401" s="18" t="n">
        <v>96</v>
      </c>
      <c r="I3401" s="18" t="n">
        <v>576</v>
      </c>
      <c r="J3401" s="19" t="n">
        <v>57</v>
      </c>
      <c r="K3401" s="19"/>
      <c r="L3401" s="19" t="n">
        <v>3</v>
      </c>
      <c r="M3401" s="19"/>
      <c r="N3401" s="19"/>
      <c r="O3401" s="19"/>
      <c r="P3401" s="19"/>
      <c r="Q3401" s="19"/>
      <c r="R3401" s="19"/>
      <c r="S3401" s="19"/>
      <c r="T3401" s="19"/>
      <c r="U3401" s="19"/>
      <c r="V3401" s="19" t="n">
        <v>32</v>
      </c>
      <c r="W3401" s="19"/>
      <c r="X3401" s="19" t="n">
        <v>4</v>
      </c>
      <c r="Y3401" s="19"/>
      <c r="Z3401" s="19"/>
      <c r="AA3401" s="19"/>
      <c r="AB3401" s="19"/>
      <c r="AC3401" s="19"/>
      <c r="AD3401" s="19" t="n">
        <v>33</v>
      </c>
      <c r="AE3401" s="19"/>
      <c r="AF3401" s="19"/>
      <c r="AG3401" s="19" t="n">
        <v>14</v>
      </c>
      <c r="AH3401" s="19" t="n">
        <v>49</v>
      </c>
      <c r="AI3401" s="19"/>
      <c r="AJ3401" s="19"/>
      <c r="AK3401" s="19"/>
      <c r="AL3401" s="19" t="n">
        <v>4</v>
      </c>
      <c r="AM3401" s="19" t="n">
        <v>4</v>
      </c>
      <c r="AN3401" s="19" t="n">
        <v>32</v>
      </c>
      <c r="AO3401" s="19" t="n">
        <v>5</v>
      </c>
      <c r="AP3401" s="19" t="n">
        <v>37</v>
      </c>
      <c r="AQ3401" s="19" t="n">
        <v>14</v>
      </c>
      <c r="AR3401" s="19"/>
      <c r="AS3401" s="20" t="str">
        <f aca="false">HYPERLINK("http://www.openstreetmap.org/?mlat=35.5538&amp;mlon=45.4476&amp;zoom=12#map=12/35.5538/45.4476","Maplink1")</f>
        <v>Maplink1</v>
      </c>
      <c r="AT3401" s="20" t="str">
        <f aca="false">HYPERLINK("https://www.google.iq/maps/search/+35.5538,45.4476/@35.5538,45.4476,14z?hl=en","Maplink2")</f>
        <v>Maplink2</v>
      </c>
      <c r="AU3401" s="20" t="str">
        <f aca="false">HYPERLINK("http://www.bing.com/maps/?lvl=14&amp;sty=h&amp;cp=35.5538~45.4476&amp;sp=point.35.5538_45.4476","Maplink3")</f>
        <v>Maplink3</v>
      </c>
    </row>
    <row r="3402" customFormat="false" ht="15" hidden="false" customHeight="true" outlineLevel="0" collapsed="false">
      <c r="A3402" s="15" t="n">
        <v>24816</v>
      </c>
      <c r="B3402" s="16" t="s">
        <v>30</v>
      </c>
      <c r="C3402" s="16" t="s">
        <v>6287</v>
      </c>
      <c r="D3402" s="16" t="s">
        <v>6454</v>
      </c>
      <c r="E3402" s="17" t="s">
        <v>6455</v>
      </c>
      <c r="F3402" s="16" t="n">
        <v>35.53429575</v>
      </c>
      <c r="G3402" s="16" t="n">
        <v>45.4109778</v>
      </c>
      <c r="H3402" s="18" t="n">
        <v>155</v>
      </c>
      <c r="I3402" s="18" t="n">
        <v>930</v>
      </c>
      <c r="J3402" s="19" t="n">
        <v>72</v>
      </c>
      <c r="K3402" s="19"/>
      <c r="L3402" s="19" t="n">
        <v>55</v>
      </c>
      <c r="M3402" s="19"/>
      <c r="N3402" s="19"/>
      <c r="O3402" s="19"/>
      <c r="P3402" s="19"/>
      <c r="Q3402" s="19"/>
      <c r="R3402" s="19"/>
      <c r="S3402" s="19"/>
      <c r="T3402" s="19"/>
      <c r="U3402" s="19"/>
      <c r="V3402" s="19" t="n">
        <v>17</v>
      </c>
      <c r="W3402" s="19"/>
      <c r="X3402" s="19" t="n">
        <v>11</v>
      </c>
      <c r="Y3402" s="19"/>
      <c r="Z3402" s="19"/>
      <c r="AA3402" s="19"/>
      <c r="AB3402" s="19"/>
      <c r="AC3402" s="19"/>
      <c r="AD3402" s="19"/>
      <c r="AE3402" s="19"/>
      <c r="AF3402" s="19"/>
      <c r="AG3402" s="19"/>
      <c r="AH3402" s="19" t="n">
        <v>155</v>
      </c>
      <c r="AI3402" s="19"/>
      <c r="AJ3402" s="19"/>
      <c r="AK3402" s="19"/>
      <c r="AL3402" s="19"/>
      <c r="AM3402" s="19" t="n">
        <v>29</v>
      </c>
      <c r="AN3402" s="19" t="n">
        <v>8</v>
      </c>
      <c r="AO3402" s="19" t="n">
        <v>49</v>
      </c>
      <c r="AP3402" s="19" t="n">
        <v>28</v>
      </c>
      <c r="AQ3402" s="19" t="n">
        <v>41</v>
      </c>
      <c r="AR3402" s="19"/>
      <c r="AS3402" s="20" t="str">
        <f aca="false">HYPERLINK("http://www.openstreetmap.org/?mlat=35.5343&amp;mlon=45.411&amp;zoom=12#map=12/35.5343/45.411","Maplink1")</f>
        <v>Maplink1</v>
      </c>
      <c r="AT3402" s="20" t="str">
        <f aca="false">HYPERLINK("https://www.google.iq/maps/search/+35.5343,45.411/@35.5343,45.411,14z?hl=en","Maplink2")</f>
        <v>Maplink2</v>
      </c>
      <c r="AU3402" s="20" t="str">
        <f aca="false">HYPERLINK("http://www.bing.com/maps/?lvl=14&amp;sty=h&amp;cp=35.5343~45.411&amp;sp=point.35.5343_45.411","Maplink3")</f>
        <v>Maplink3</v>
      </c>
    </row>
    <row r="3403" customFormat="false" ht="15" hidden="false" customHeight="true" outlineLevel="0" collapsed="false">
      <c r="A3403" s="15" t="n">
        <v>4442</v>
      </c>
      <c r="B3403" s="16" t="s">
        <v>30</v>
      </c>
      <c r="C3403" s="16" t="s">
        <v>6287</v>
      </c>
      <c r="D3403" s="16" t="s">
        <v>6456</v>
      </c>
      <c r="E3403" s="17" t="s">
        <v>6457</v>
      </c>
      <c r="F3403" s="16" t="n">
        <v>35.43745</v>
      </c>
      <c r="G3403" s="16" t="n">
        <v>45.43905</v>
      </c>
      <c r="H3403" s="18" t="n">
        <v>12</v>
      </c>
      <c r="I3403" s="18" t="n">
        <v>72</v>
      </c>
      <c r="J3403" s="19" t="n">
        <v>6</v>
      </c>
      <c r="K3403" s="19"/>
      <c r="L3403" s="19"/>
      <c r="M3403" s="19"/>
      <c r="N3403" s="19"/>
      <c r="O3403" s="19" t="n">
        <v>2</v>
      </c>
      <c r="P3403" s="19"/>
      <c r="Q3403" s="19"/>
      <c r="R3403" s="19" t="n">
        <v>3</v>
      </c>
      <c r="S3403" s="19"/>
      <c r="T3403" s="19"/>
      <c r="U3403" s="19"/>
      <c r="V3403" s="19"/>
      <c r="W3403" s="19"/>
      <c r="X3403" s="19" t="n">
        <v>1</v>
      </c>
      <c r="Y3403" s="19"/>
      <c r="Z3403" s="19"/>
      <c r="AA3403" s="19"/>
      <c r="AB3403" s="19"/>
      <c r="AC3403" s="19"/>
      <c r="AD3403" s="19"/>
      <c r="AE3403" s="19"/>
      <c r="AF3403" s="19"/>
      <c r="AG3403" s="19"/>
      <c r="AH3403" s="19" t="n">
        <v>12</v>
      </c>
      <c r="AI3403" s="19"/>
      <c r="AJ3403" s="19"/>
      <c r="AK3403" s="19"/>
      <c r="AL3403" s="19" t="n">
        <v>8</v>
      </c>
      <c r="AM3403" s="19" t="n">
        <v>1</v>
      </c>
      <c r="AN3403" s="19"/>
      <c r="AO3403" s="19"/>
      <c r="AP3403" s="19"/>
      <c r="AQ3403" s="19" t="n">
        <v>2</v>
      </c>
      <c r="AR3403" s="19" t="n">
        <v>1</v>
      </c>
      <c r="AS3403" s="20" t="str">
        <f aca="false">HYPERLINK("http://www.openstreetmap.org/?mlat=35.4374&amp;mlon=45.4391&amp;zoom=12#map=12/35.4374/45.4391","Maplink1")</f>
        <v>Maplink1</v>
      </c>
      <c r="AT3403" s="20" t="str">
        <f aca="false">HYPERLINK("https://www.google.iq/maps/search/+35.4374,45.4391/@35.4374,45.4391,14z?hl=en","Maplink2")</f>
        <v>Maplink2</v>
      </c>
      <c r="AU3403" s="20" t="str">
        <f aca="false">HYPERLINK("http://www.bing.com/maps/?lvl=14&amp;sty=h&amp;cp=35.4374~45.4391&amp;sp=point.35.4374_45.4391","Maplink3")</f>
        <v>Maplink3</v>
      </c>
    </row>
    <row r="3404" customFormat="false" ht="15" hidden="false" customHeight="true" outlineLevel="0" collapsed="false">
      <c r="A3404" s="15" t="n">
        <v>4441</v>
      </c>
      <c r="B3404" s="16" t="s">
        <v>30</v>
      </c>
      <c r="C3404" s="16" t="s">
        <v>6287</v>
      </c>
      <c r="D3404" s="16" t="s">
        <v>6458</v>
      </c>
      <c r="E3404" s="17" t="s">
        <v>6459</v>
      </c>
      <c r="F3404" s="16" t="n">
        <v>35.57906237</v>
      </c>
      <c r="G3404" s="16" t="n">
        <v>45.38701073</v>
      </c>
      <c r="H3404" s="18" t="n">
        <v>266</v>
      </c>
      <c r="I3404" s="18" t="n">
        <v>1596</v>
      </c>
      <c r="J3404" s="19" t="n">
        <v>257</v>
      </c>
      <c r="K3404" s="19"/>
      <c r="L3404" s="19"/>
      <c r="M3404" s="19"/>
      <c r="N3404" s="19"/>
      <c r="O3404" s="19"/>
      <c r="P3404" s="19"/>
      <c r="Q3404" s="19"/>
      <c r="R3404" s="19"/>
      <c r="S3404" s="19"/>
      <c r="T3404" s="19"/>
      <c r="U3404" s="19"/>
      <c r="V3404" s="19" t="n">
        <v>9</v>
      </c>
      <c r="W3404" s="19"/>
      <c r="X3404" s="19"/>
      <c r="Y3404" s="19"/>
      <c r="Z3404" s="19"/>
      <c r="AA3404" s="19"/>
      <c r="AB3404" s="19"/>
      <c r="AC3404" s="19"/>
      <c r="AD3404" s="19" t="n">
        <v>27</v>
      </c>
      <c r="AE3404" s="19"/>
      <c r="AF3404" s="19"/>
      <c r="AG3404" s="19"/>
      <c r="AH3404" s="19" t="n">
        <v>239</v>
      </c>
      <c r="AI3404" s="19"/>
      <c r="AJ3404" s="19"/>
      <c r="AK3404" s="19"/>
      <c r="AL3404" s="19" t="n">
        <v>24</v>
      </c>
      <c r="AM3404" s="19" t="n">
        <v>11</v>
      </c>
      <c r="AN3404" s="19" t="n">
        <v>9</v>
      </c>
      <c r="AO3404" s="19" t="n">
        <v>60</v>
      </c>
      <c r="AP3404" s="19" t="n">
        <v>130</v>
      </c>
      <c r="AQ3404" s="19" t="n">
        <v>32</v>
      </c>
      <c r="AR3404" s="19"/>
      <c r="AS3404" s="20" t="str">
        <f aca="false">HYPERLINK("http://www.openstreetmap.org/?mlat=35.5791&amp;mlon=45.387&amp;zoom=12#map=12/35.5791/45.387","Maplink1")</f>
        <v>Maplink1</v>
      </c>
      <c r="AT3404" s="20" t="str">
        <f aca="false">HYPERLINK("https://www.google.iq/maps/search/+35.5791,45.387/@35.5791,45.387,14z?hl=en","Maplink2")</f>
        <v>Maplink2</v>
      </c>
      <c r="AU3404" s="20" t="str">
        <f aca="false">HYPERLINK("http://www.bing.com/maps/?lvl=14&amp;sty=h&amp;cp=35.5791~45.387&amp;sp=point.35.5791_45.387","Maplink3")</f>
        <v>Maplink3</v>
      </c>
    </row>
    <row r="3405" customFormat="false" ht="15" hidden="false" customHeight="true" outlineLevel="0" collapsed="false">
      <c r="A3405" s="15" t="n">
        <v>24258</v>
      </c>
      <c r="B3405" s="16" t="s">
        <v>30</v>
      </c>
      <c r="C3405" s="16" t="s">
        <v>6287</v>
      </c>
      <c r="D3405" s="16" t="s">
        <v>6460</v>
      </c>
      <c r="E3405" s="17" t="s">
        <v>6461</v>
      </c>
      <c r="F3405" s="16" t="n">
        <v>35.54088085</v>
      </c>
      <c r="G3405" s="16" t="n">
        <v>45.47737064</v>
      </c>
      <c r="H3405" s="18" t="n">
        <v>37</v>
      </c>
      <c r="I3405" s="18" t="n">
        <v>222</v>
      </c>
      <c r="J3405" s="19" t="n">
        <v>27</v>
      </c>
      <c r="K3405" s="19"/>
      <c r="L3405" s="19" t="n">
        <v>7</v>
      </c>
      <c r="M3405" s="19"/>
      <c r="N3405" s="19"/>
      <c r="O3405" s="19"/>
      <c r="P3405" s="19"/>
      <c r="Q3405" s="19"/>
      <c r="R3405" s="19"/>
      <c r="S3405" s="19"/>
      <c r="T3405" s="19"/>
      <c r="U3405" s="19"/>
      <c r="V3405" s="19" t="n">
        <v>2</v>
      </c>
      <c r="W3405" s="19"/>
      <c r="X3405" s="19" t="n">
        <v>1</v>
      </c>
      <c r="Y3405" s="19"/>
      <c r="Z3405" s="19"/>
      <c r="AA3405" s="19"/>
      <c r="AB3405" s="19"/>
      <c r="AC3405" s="19"/>
      <c r="AD3405" s="19"/>
      <c r="AE3405" s="19"/>
      <c r="AF3405" s="19"/>
      <c r="AG3405" s="19"/>
      <c r="AH3405" s="19" t="n">
        <v>37</v>
      </c>
      <c r="AI3405" s="19"/>
      <c r="AJ3405" s="19"/>
      <c r="AK3405" s="19"/>
      <c r="AL3405" s="19" t="n">
        <v>4</v>
      </c>
      <c r="AM3405" s="19" t="n">
        <v>12</v>
      </c>
      <c r="AN3405" s="19"/>
      <c r="AO3405" s="19" t="n">
        <v>7</v>
      </c>
      <c r="AP3405" s="19" t="n">
        <v>10</v>
      </c>
      <c r="AQ3405" s="19" t="n">
        <v>4</v>
      </c>
      <c r="AR3405" s="19"/>
      <c r="AS3405" s="20" t="str">
        <f aca="false">HYPERLINK("http://www.openstreetmap.org/?mlat=35.5409&amp;mlon=45.4774&amp;zoom=12#map=12/35.5409/45.4774","Maplink1")</f>
        <v>Maplink1</v>
      </c>
      <c r="AT3405" s="20" t="str">
        <f aca="false">HYPERLINK("https://www.google.iq/maps/search/+35.5409,45.4774/@35.5409,45.4774,14z?hl=en","Maplink2")</f>
        <v>Maplink2</v>
      </c>
      <c r="AU3405" s="20" t="str">
        <f aca="false">HYPERLINK("http://www.bing.com/maps/?lvl=14&amp;sty=h&amp;cp=35.5409~45.4774&amp;sp=point.35.5409_45.4774","Maplink3")</f>
        <v>Maplink3</v>
      </c>
    </row>
    <row r="3406" customFormat="false" ht="15" hidden="false" customHeight="true" outlineLevel="0" collapsed="false">
      <c r="A3406" s="15" t="n">
        <v>24961</v>
      </c>
      <c r="B3406" s="16" t="s">
        <v>30</v>
      </c>
      <c r="C3406" s="16" t="s">
        <v>6287</v>
      </c>
      <c r="D3406" s="16" t="s">
        <v>6462</v>
      </c>
      <c r="E3406" s="17" t="s">
        <v>6463</v>
      </c>
      <c r="F3406" s="16" t="n">
        <v>35.58807016</v>
      </c>
      <c r="G3406" s="16" t="n">
        <v>45.43121644</v>
      </c>
      <c r="H3406" s="18" t="n">
        <v>106</v>
      </c>
      <c r="I3406" s="18" t="n">
        <v>636</v>
      </c>
      <c r="J3406" s="19" t="n">
        <v>75</v>
      </c>
      <c r="K3406" s="19"/>
      <c r="L3406" s="19" t="n">
        <v>20</v>
      </c>
      <c r="M3406" s="19"/>
      <c r="N3406" s="19"/>
      <c r="O3406" s="19"/>
      <c r="P3406" s="19"/>
      <c r="Q3406" s="19"/>
      <c r="R3406" s="19"/>
      <c r="S3406" s="19"/>
      <c r="T3406" s="19"/>
      <c r="U3406" s="19"/>
      <c r="V3406" s="19" t="n">
        <v>11</v>
      </c>
      <c r="W3406" s="19"/>
      <c r="X3406" s="19"/>
      <c r="Y3406" s="19"/>
      <c r="Z3406" s="19"/>
      <c r="AA3406" s="19"/>
      <c r="AB3406" s="19"/>
      <c r="AC3406" s="19"/>
      <c r="AD3406" s="19"/>
      <c r="AE3406" s="19"/>
      <c r="AF3406" s="19"/>
      <c r="AG3406" s="19"/>
      <c r="AH3406" s="19" t="n">
        <v>106</v>
      </c>
      <c r="AI3406" s="19"/>
      <c r="AJ3406" s="19"/>
      <c r="AK3406" s="19"/>
      <c r="AL3406" s="19" t="n">
        <v>5</v>
      </c>
      <c r="AM3406" s="19" t="n">
        <v>14</v>
      </c>
      <c r="AN3406" s="19" t="n">
        <v>29</v>
      </c>
      <c r="AO3406" s="19" t="n">
        <v>26</v>
      </c>
      <c r="AP3406" s="19" t="n">
        <v>25</v>
      </c>
      <c r="AQ3406" s="19" t="n">
        <v>7</v>
      </c>
      <c r="AR3406" s="19"/>
      <c r="AS3406" s="20" t="str">
        <f aca="false">HYPERLINK("http://www.openstreetmap.org/?mlat=35.5881&amp;mlon=45.4312&amp;zoom=12#map=12/35.5881/45.4312","Maplink1")</f>
        <v>Maplink1</v>
      </c>
      <c r="AT3406" s="20" t="str">
        <f aca="false">HYPERLINK("https://www.google.iq/maps/search/+35.5881,45.4312/@35.5881,45.4312,14z?hl=en","Maplink2")</f>
        <v>Maplink2</v>
      </c>
      <c r="AU3406" s="20" t="str">
        <f aca="false">HYPERLINK("http://www.bing.com/maps/?lvl=14&amp;sty=h&amp;cp=35.5881~45.4312&amp;sp=point.35.5881_45.4312","Maplink3")</f>
        <v>Maplink3</v>
      </c>
    </row>
    <row r="3407" customFormat="false" ht="15" hidden="false" customHeight="true" outlineLevel="0" collapsed="false">
      <c r="A3407" s="15" t="n">
        <v>25306</v>
      </c>
      <c r="B3407" s="16" t="s">
        <v>30</v>
      </c>
      <c r="C3407" s="16" t="s">
        <v>6287</v>
      </c>
      <c r="D3407" s="16" t="s">
        <v>6464</v>
      </c>
      <c r="E3407" s="17" t="s">
        <v>6465</v>
      </c>
      <c r="F3407" s="16" t="n">
        <v>35.54923186</v>
      </c>
      <c r="G3407" s="16" t="n">
        <v>45.44868068</v>
      </c>
      <c r="H3407" s="18" t="n">
        <v>39</v>
      </c>
      <c r="I3407" s="18" t="n">
        <v>234</v>
      </c>
      <c r="J3407" s="19" t="n">
        <v>20</v>
      </c>
      <c r="K3407" s="19"/>
      <c r="L3407" s="19" t="n">
        <v>8</v>
      </c>
      <c r="M3407" s="19"/>
      <c r="N3407" s="19"/>
      <c r="O3407" s="19" t="n">
        <v>2</v>
      </c>
      <c r="P3407" s="19"/>
      <c r="Q3407" s="19"/>
      <c r="R3407" s="19"/>
      <c r="S3407" s="19"/>
      <c r="T3407" s="19"/>
      <c r="U3407" s="19"/>
      <c r="V3407" s="19" t="n">
        <v>2</v>
      </c>
      <c r="W3407" s="19"/>
      <c r="X3407" s="19" t="n">
        <v>7</v>
      </c>
      <c r="Y3407" s="19"/>
      <c r="Z3407" s="19"/>
      <c r="AA3407" s="19"/>
      <c r="AB3407" s="19"/>
      <c r="AC3407" s="19"/>
      <c r="AD3407" s="19" t="n">
        <v>7</v>
      </c>
      <c r="AE3407" s="19"/>
      <c r="AF3407" s="19"/>
      <c r="AG3407" s="19"/>
      <c r="AH3407" s="19" t="n">
        <v>32</v>
      </c>
      <c r="AI3407" s="19"/>
      <c r="AJ3407" s="19"/>
      <c r="AK3407" s="19"/>
      <c r="AL3407" s="19" t="n">
        <v>5</v>
      </c>
      <c r="AM3407" s="19" t="n">
        <v>5</v>
      </c>
      <c r="AN3407" s="19" t="n">
        <v>5</v>
      </c>
      <c r="AO3407" s="19" t="n">
        <v>14</v>
      </c>
      <c r="AP3407" s="19" t="n">
        <v>10</v>
      </c>
      <c r="AQ3407" s="19"/>
      <c r="AR3407" s="19"/>
      <c r="AS3407" s="20" t="str">
        <f aca="false">HYPERLINK("http://www.openstreetmap.org/?mlat=35.5492&amp;mlon=45.4487&amp;zoom=12#map=12/35.5492/45.4487","Maplink1")</f>
        <v>Maplink1</v>
      </c>
      <c r="AT3407" s="20" t="str">
        <f aca="false">HYPERLINK("https://www.google.iq/maps/search/+35.5492,45.4487/@35.5492,45.4487,14z?hl=en","Maplink2")</f>
        <v>Maplink2</v>
      </c>
      <c r="AU3407" s="20" t="str">
        <f aca="false">HYPERLINK("http://www.bing.com/maps/?lvl=14&amp;sty=h&amp;cp=35.5492~45.4487&amp;sp=point.35.5492_45.4487","Maplink3")</f>
        <v>Maplink3</v>
      </c>
    </row>
    <row r="3408" customFormat="false" ht="15" hidden="false" customHeight="true" outlineLevel="0" collapsed="false">
      <c r="A3408" s="15" t="n">
        <v>21023</v>
      </c>
      <c r="B3408" s="16" t="s">
        <v>30</v>
      </c>
      <c r="C3408" s="16" t="s">
        <v>6287</v>
      </c>
      <c r="D3408" s="16" t="s">
        <v>6466</v>
      </c>
      <c r="E3408" s="17" t="s">
        <v>6467</v>
      </c>
      <c r="F3408" s="16" t="n">
        <v>35.5477247</v>
      </c>
      <c r="G3408" s="16" t="n">
        <v>45.4342631</v>
      </c>
      <c r="H3408" s="18" t="n">
        <v>78</v>
      </c>
      <c r="I3408" s="18" t="n">
        <v>468</v>
      </c>
      <c r="J3408" s="19" t="n">
        <v>63</v>
      </c>
      <c r="K3408" s="19"/>
      <c r="L3408" s="19" t="n">
        <v>5</v>
      </c>
      <c r="M3408" s="19"/>
      <c r="N3408" s="19"/>
      <c r="O3408" s="19"/>
      <c r="P3408" s="19"/>
      <c r="Q3408" s="19"/>
      <c r="R3408" s="19"/>
      <c r="S3408" s="19"/>
      <c r="T3408" s="19"/>
      <c r="U3408" s="19"/>
      <c r="V3408" s="19" t="n">
        <v>3</v>
      </c>
      <c r="W3408" s="19"/>
      <c r="X3408" s="19" t="n">
        <v>7</v>
      </c>
      <c r="Y3408" s="19"/>
      <c r="Z3408" s="19"/>
      <c r="AA3408" s="19"/>
      <c r="AB3408" s="19"/>
      <c r="AC3408" s="19"/>
      <c r="AD3408" s="19" t="n">
        <v>5</v>
      </c>
      <c r="AE3408" s="19"/>
      <c r="AF3408" s="19"/>
      <c r="AG3408" s="19"/>
      <c r="AH3408" s="19" t="n">
        <v>73</v>
      </c>
      <c r="AI3408" s="19"/>
      <c r="AJ3408" s="19"/>
      <c r="AK3408" s="19"/>
      <c r="AL3408" s="19" t="n">
        <v>36</v>
      </c>
      <c r="AM3408" s="19" t="n">
        <v>8</v>
      </c>
      <c r="AN3408" s="19" t="n">
        <v>3</v>
      </c>
      <c r="AO3408" s="19" t="n">
        <v>13</v>
      </c>
      <c r="AP3408" s="19" t="n">
        <v>15</v>
      </c>
      <c r="AQ3408" s="19" t="n">
        <v>3</v>
      </c>
      <c r="AR3408" s="19"/>
      <c r="AS3408" s="20" t="str">
        <f aca="false">HYPERLINK("http://www.openstreetmap.org/?mlat=35.5477&amp;mlon=45.4343&amp;zoom=12#map=12/35.5477/45.4343","Maplink1")</f>
        <v>Maplink1</v>
      </c>
      <c r="AT3408" s="20" t="str">
        <f aca="false">HYPERLINK("https://www.google.iq/maps/search/+35.5477,45.4343/@35.5477,45.4343,14z?hl=en","Maplink2")</f>
        <v>Maplink2</v>
      </c>
      <c r="AU3408" s="20" t="str">
        <f aca="false">HYPERLINK("http://www.bing.com/maps/?lvl=14&amp;sty=h&amp;cp=35.5477~45.4343&amp;sp=point.35.5477_45.4343","Maplink3")</f>
        <v>Maplink3</v>
      </c>
    </row>
    <row r="3409" customFormat="false" ht="15" hidden="false" customHeight="true" outlineLevel="0" collapsed="false">
      <c r="A3409" s="15" t="n">
        <v>24255</v>
      </c>
      <c r="B3409" s="16" t="s">
        <v>30</v>
      </c>
      <c r="C3409" s="16" t="s">
        <v>6287</v>
      </c>
      <c r="D3409" s="16" t="s">
        <v>6468</v>
      </c>
      <c r="E3409" s="17" t="s">
        <v>6469</v>
      </c>
      <c r="F3409" s="16" t="n">
        <v>35.58271854</v>
      </c>
      <c r="G3409" s="16" t="n">
        <v>45.41130814</v>
      </c>
      <c r="H3409" s="18" t="n">
        <v>176</v>
      </c>
      <c r="I3409" s="18" t="n">
        <v>1056</v>
      </c>
      <c r="J3409" s="19" t="n">
        <v>140</v>
      </c>
      <c r="K3409" s="19"/>
      <c r="L3409" s="19" t="n">
        <v>21</v>
      </c>
      <c r="M3409" s="19"/>
      <c r="N3409" s="19"/>
      <c r="O3409" s="19" t="n">
        <v>3</v>
      </c>
      <c r="P3409" s="19"/>
      <c r="Q3409" s="19"/>
      <c r="R3409" s="19"/>
      <c r="S3409" s="19"/>
      <c r="T3409" s="19"/>
      <c r="U3409" s="19"/>
      <c r="V3409" s="19" t="n">
        <v>6</v>
      </c>
      <c r="W3409" s="19"/>
      <c r="X3409" s="19" t="n">
        <v>6</v>
      </c>
      <c r="Y3409" s="19"/>
      <c r="Z3409" s="19"/>
      <c r="AA3409" s="19"/>
      <c r="AB3409" s="19"/>
      <c r="AC3409" s="19"/>
      <c r="AD3409" s="19"/>
      <c r="AE3409" s="19"/>
      <c r="AF3409" s="19"/>
      <c r="AG3409" s="19"/>
      <c r="AH3409" s="19" t="n">
        <v>176</v>
      </c>
      <c r="AI3409" s="19"/>
      <c r="AJ3409" s="19"/>
      <c r="AK3409" s="19"/>
      <c r="AL3409" s="19" t="n">
        <v>91</v>
      </c>
      <c r="AM3409" s="19" t="n">
        <v>5</v>
      </c>
      <c r="AN3409" s="19" t="n">
        <v>25</v>
      </c>
      <c r="AO3409" s="19" t="n">
        <v>26</v>
      </c>
      <c r="AP3409" s="19" t="n">
        <v>18</v>
      </c>
      <c r="AQ3409" s="19" t="n">
        <v>11</v>
      </c>
      <c r="AR3409" s="19"/>
      <c r="AS3409" s="20" t="str">
        <f aca="false">HYPERLINK("http://www.openstreetmap.org/?mlat=35.5827&amp;mlon=45.4113&amp;zoom=12#map=12/35.5827/45.4113","Maplink1")</f>
        <v>Maplink1</v>
      </c>
      <c r="AT3409" s="20" t="str">
        <f aca="false">HYPERLINK("https://www.google.iq/maps/search/+35.5827,45.4113/@35.5827,45.4113,14z?hl=en","Maplink2")</f>
        <v>Maplink2</v>
      </c>
      <c r="AU3409" s="20" t="str">
        <f aca="false">HYPERLINK("http://www.bing.com/maps/?lvl=14&amp;sty=h&amp;cp=35.5827~45.4113&amp;sp=point.35.5827_45.4113","Maplink3")</f>
        <v>Maplink3</v>
      </c>
    </row>
    <row r="3410" customFormat="false" ht="15" hidden="false" customHeight="true" outlineLevel="0" collapsed="false">
      <c r="A3410" s="15" t="n">
        <v>24815</v>
      </c>
      <c r="B3410" s="16" t="s">
        <v>30</v>
      </c>
      <c r="C3410" s="16" t="s">
        <v>6287</v>
      </c>
      <c r="D3410" s="16" t="s">
        <v>6470</v>
      </c>
      <c r="E3410" s="17" t="s">
        <v>6471</v>
      </c>
      <c r="F3410" s="16" t="n">
        <v>35.6068151</v>
      </c>
      <c r="G3410" s="16" t="n">
        <v>45.3438511</v>
      </c>
      <c r="H3410" s="18" t="n">
        <v>181</v>
      </c>
      <c r="I3410" s="18" t="n">
        <v>1086</v>
      </c>
      <c r="J3410" s="19" t="n">
        <v>139</v>
      </c>
      <c r="K3410" s="19"/>
      <c r="L3410" s="19" t="n">
        <v>12</v>
      </c>
      <c r="M3410" s="19"/>
      <c r="N3410" s="19"/>
      <c r="O3410" s="19"/>
      <c r="P3410" s="19"/>
      <c r="Q3410" s="19"/>
      <c r="R3410" s="19"/>
      <c r="S3410" s="19"/>
      <c r="T3410" s="19"/>
      <c r="U3410" s="19"/>
      <c r="V3410" s="19" t="n">
        <v>10</v>
      </c>
      <c r="W3410" s="19"/>
      <c r="X3410" s="19" t="n">
        <v>20</v>
      </c>
      <c r="Y3410" s="19"/>
      <c r="Z3410" s="19"/>
      <c r="AA3410" s="19"/>
      <c r="AB3410" s="19"/>
      <c r="AC3410" s="19"/>
      <c r="AD3410" s="19"/>
      <c r="AE3410" s="19"/>
      <c r="AF3410" s="19"/>
      <c r="AG3410" s="19"/>
      <c r="AH3410" s="19" t="n">
        <v>181</v>
      </c>
      <c r="AI3410" s="19"/>
      <c r="AJ3410" s="19"/>
      <c r="AK3410" s="19"/>
      <c r="AL3410" s="19" t="n">
        <v>40</v>
      </c>
      <c r="AM3410" s="19" t="n">
        <v>46</v>
      </c>
      <c r="AN3410" s="19"/>
      <c r="AO3410" s="19" t="n">
        <v>53</v>
      </c>
      <c r="AP3410" s="19" t="n">
        <v>42</v>
      </c>
      <c r="AQ3410" s="19"/>
      <c r="AR3410" s="19"/>
      <c r="AS3410" s="20" t="str">
        <f aca="false">HYPERLINK("http://www.openstreetmap.org/?mlat=35.6068&amp;mlon=45.3439&amp;zoom=12#map=12/35.6068/45.3439","Maplink1")</f>
        <v>Maplink1</v>
      </c>
      <c r="AT3410" s="20" t="str">
        <f aca="false">HYPERLINK("https://www.google.iq/maps/search/+35.6068,45.3439/@35.6068,45.3439,14z?hl=en","Maplink2")</f>
        <v>Maplink2</v>
      </c>
      <c r="AU3410" s="20" t="str">
        <f aca="false">HYPERLINK("http://www.bing.com/maps/?lvl=14&amp;sty=h&amp;cp=35.6068~45.3439&amp;sp=point.35.6068_45.3439","Maplink3")</f>
        <v>Maplink3</v>
      </c>
    </row>
    <row r="3411" customFormat="false" ht="15" hidden="false" customHeight="true" outlineLevel="0" collapsed="false">
      <c r="A3411" s="15" t="n">
        <v>4575</v>
      </c>
      <c r="B3411" s="16" t="s">
        <v>30</v>
      </c>
      <c r="C3411" s="16" t="s">
        <v>6287</v>
      </c>
      <c r="D3411" s="16" t="s">
        <v>6472</v>
      </c>
      <c r="E3411" s="17" t="s">
        <v>6473</v>
      </c>
      <c r="F3411" s="16" t="n">
        <v>35.21957935</v>
      </c>
      <c r="G3411" s="16" t="n">
        <v>45.49835811</v>
      </c>
      <c r="H3411" s="18" t="n">
        <v>11</v>
      </c>
      <c r="I3411" s="18" t="n">
        <v>66</v>
      </c>
      <c r="J3411" s="19"/>
      <c r="K3411" s="19"/>
      <c r="L3411" s="19" t="n">
        <v>2</v>
      </c>
      <c r="M3411" s="19"/>
      <c r="N3411" s="19"/>
      <c r="O3411" s="19" t="n">
        <v>3</v>
      </c>
      <c r="P3411" s="19"/>
      <c r="Q3411" s="19"/>
      <c r="R3411" s="19"/>
      <c r="S3411" s="19"/>
      <c r="T3411" s="19"/>
      <c r="U3411" s="19"/>
      <c r="V3411" s="19" t="n">
        <v>3</v>
      </c>
      <c r="W3411" s="19"/>
      <c r="X3411" s="19" t="n">
        <v>3</v>
      </c>
      <c r="Y3411" s="19"/>
      <c r="Z3411" s="19"/>
      <c r="AA3411" s="19"/>
      <c r="AB3411" s="19"/>
      <c r="AC3411" s="19"/>
      <c r="AD3411" s="19"/>
      <c r="AE3411" s="19"/>
      <c r="AF3411" s="19"/>
      <c r="AG3411" s="19"/>
      <c r="AH3411" s="19" t="n">
        <v>11</v>
      </c>
      <c r="AI3411" s="19"/>
      <c r="AJ3411" s="19"/>
      <c r="AK3411" s="19"/>
      <c r="AL3411" s="19" t="n">
        <v>3</v>
      </c>
      <c r="AM3411" s="19"/>
      <c r="AN3411" s="19" t="n">
        <v>4</v>
      </c>
      <c r="AO3411" s="19" t="n">
        <v>1</v>
      </c>
      <c r="AP3411" s="19" t="n">
        <v>3</v>
      </c>
      <c r="AQ3411" s="19"/>
      <c r="AR3411" s="19"/>
      <c r="AS3411" s="20" t="str">
        <f aca="false">HYPERLINK("http://www.openstreetmap.org/?mlat=35.2196&amp;mlon=45.4984&amp;zoom=12#map=12/35.2196/45.4984","Maplink1")</f>
        <v>Maplink1</v>
      </c>
      <c r="AT3411" s="20" t="str">
        <f aca="false">HYPERLINK("https://www.google.iq/maps/search/+35.2196,45.4984/@35.2196,45.4984,14z?hl=en","Maplink2")</f>
        <v>Maplink2</v>
      </c>
      <c r="AU3411" s="20" t="str">
        <f aca="false">HYPERLINK("http://www.bing.com/maps/?lvl=14&amp;sty=h&amp;cp=35.2196~45.4984&amp;sp=point.35.2196_45.4984","Maplink3")</f>
        <v>Maplink3</v>
      </c>
    </row>
    <row r="3412" customFormat="false" ht="15" hidden="false" customHeight="true" outlineLevel="0" collapsed="false">
      <c r="A3412" s="15" t="n">
        <v>24902</v>
      </c>
      <c r="B3412" s="16" t="s">
        <v>30</v>
      </c>
      <c r="C3412" s="16" t="s">
        <v>6287</v>
      </c>
      <c r="D3412" s="16" t="s">
        <v>6474</v>
      </c>
      <c r="E3412" s="17" t="s">
        <v>6475</v>
      </c>
      <c r="F3412" s="16" t="n">
        <v>35.56919172</v>
      </c>
      <c r="G3412" s="16" t="n">
        <v>45.37956787</v>
      </c>
      <c r="H3412" s="18" t="n">
        <v>28</v>
      </c>
      <c r="I3412" s="18" t="n">
        <v>168</v>
      </c>
      <c r="J3412" s="19" t="n">
        <v>21</v>
      </c>
      <c r="K3412" s="19"/>
      <c r="L3412" s="19" t="n">
        <v>6</v>
      </c>
      <c r="M3412" s="19"/>
      <c r="N3412" s="19"/>
      <c r="O3412" s="19" t="n">
        <v>1</v>
      </c>
      <c r="P3412" s="19"/>
      <c r="Q3412" s="19"/>
      <c r="R3412" s="19"/>
      <c r="S3412" s="19"/>
      <c r="T3412" s="19"/>
      <c r="U3412" s="19"/>
      <c r="V3412" s="19"/>
      <c r="W3412" s="19"/>
      <c r="X3412" s="19"/>
      <c r="Y3412" s="19"/>
      <c r="Z3412" s="19"/>
      <c r="AA3412" s="19"/>
      <c r="AB3412" s="19"/>
      <c r="AC3412" s="19"/>
      <c r="AD3412" s="19"/>
      <c r="AE3412" s="19"/>
      <c r="AF3412" s="19"/>
      <c r="AG3412" s="19"/>
      <c r="AH3412" s="19" t="n">
        <v>28</v>
      </c>
      <c r="AI3412" s="19"/>
      <c r="AJ3412" s="19"/>
      <c r="AK3412" s="19"/>
      <c r="AL3412" s="19" t="n">
        <v>4</v>
      </c>
      <c r="AM3412" s="19" t="n">
        <v>4</v>
      </c>
      <c r="AN3412" s="19" t="n">
        <v>1</v>
      </c>
      <c r="AO3412" s="19" t="n">
        <v>3</v>
      </c>
      <c r="AP3412" s="19" t="n">
        <v>10</v>
      </c>
      <c r="AQ3412" s="19" t="n">
        <v>6</v>
      </c>
      <c r="AR3412" s="19"/>
      <c r="AS3412" s="20" t="str">
        <f aca="false">HYPERLINK("http://www.openstreetmap.org/?mlat=35.5692&amp;mlon=45.3796&amp;zoom=12#map=12/35.5692/45.3796","Maplink1")</f>
        <v>Maplink1</v>
      </c>
      <c r="AT3412" s="20" t="str">
        <f aca="false">HYPERLINK("https://www.google.iq/maps/search/+35.5692,45.3796/@35.5692,45.3796,14z?hl=en","Maplink2")</f>
        <v>Maplink2</v>
      </c>
      <c r="AU3412" s="20" t="str">
        <f aca="false">HYPERLINK("http://www.bing.com/maps/?lvl=14&amp;sty=h&amp;cp=35.5692~45.3796&amp;sp=point.35.5692_45.3796","Maplink3")</f>
        <v>Maplink3</v>
      </c>
    </row>
    <row r="3413" customFormat="false" ht="15" hidden="false" customHeight="true" outlineLevel="0" collapsed="false">
      <c r="A3413" s="15" t="n">
        <v>5800</v>
      </c>
      <c r="B3413" s="16" t="s">
        <v>30</v>
      </c>
      <c r="C3413" s="16" t="s">
        <v>6287</v>
      </c>
      <c r="D3413" s="16" t="s">
        <v>6476</v>
      </c>
      <c r="E3413" s="17" t="s">
        <v>6477</v>
      </c>
      <c r="F3413" s="16" t="n">
        <v>35.52808702</v>
      </c>
      <c r="G3413" s="16" t="n">
        <v>45.4246637</v>
      </c>
      <c r="H3413" s="18" t="n">
        <v>49</v>
      </c>
      <c r="I3413" s="18" t="n">
        <v>294</v>
      </c>
      <c r="J3413" s="19" t="n">
        <v>35</v>
      </c>
      <c r="K3413" s="19"/>
      <c r="L3413" s="19" t="n">
        <v>5</v>
      </c>
      <c r="M3413" s="19"/>
      <c r="N3413" s="19"/>
      <c r="O3413" s="19" t="n">
        <v>2</v>
      </c>
      <c r="P3413" s="19"/>
      <c r="Q3413" s="19"/>
      <c r="R3413" s="19"/>
      <c r="S3413" s="19"/>
      <c r="T3413" s="19"/>
      <c r="U3413" s="19"/>
      <c r="V3413" s="19" t="n">
        <v>5</v>
      </c>
      <c r="W3413" s="19"/>
      <c r="X3413" s="19" t="n">
        <v>2</v>
      </c>
      <c r="Y3413" s="19"/>
      <c r="Z3413" s="19"/>
      <c r="AA3413" s="19"/>
      <c r="AB3413" s="19"/>
      <c r="AC3413" s="19"/>
      <c r="AD3413" s="19"/>
      <c r="AE3413" s="19"/>
      <c r="AF3413" s="19"/>
      <c r="AG3413" s="19"/>
      <c r="AH3413" s="19" t="n">
        <v>49</v>
      </c>
      <c r="AI3413" s="19"/>
      <c r="AJ3413" s="19"/>
      <c r="AK3413" s="19"/>
      <c r="AL3413" s="19" t="n">
        <v>4</v>
      </c>
      <c r="AM3413" s="19" t="n">
        <v>13</v>
      </c>
      <c r="AN3413" s="19"/>
      <c r="AO3413" s="19" t="n">
        <v>14</v>
      </c>
      <c r="AP3413" s="19" t="n">
        <v>14</v>
      </c>
      <c r="AQ3413" s="19" t="n">
        <v>4</v>
      </c>
      <c r="AR3413" s="19"/>
      <c r="AS3413" s="20" t="str">
        <f aca="false">HYPERLINK("http://www.openstreetmap.org/?mlat=35.5281&amp;mlon=45.4247&amp;zoom=12#map=12/35.5281/45.4247","Maplink1")</f>
        <v>Maplink1</v>
      </c>
      <c r="AT3413" s="20" t="str">
        <f aca="false">HYPERLINK("https://www.google.iq/maps/search/+35.5281,45.4247/@35.5281,45.4247,14z?hl=en","Maplink2")</f>
        <v>Maplink2</v>
      </c>
      <c r="AU3413" s="20" t="str">
        <f aca="false">HYPERLINK("http://www.bing.com/maps/?lvl=14&amp;sty=h&amp;cp=35.5281~45.4247&amp;sp=point.35.5281_45.4247","Maplink3")</f>
        <v>Maplink3</v>
      </c>
    </row>
    <row r="3414" customFormat="false" ht="15" hidden="false" customHeight="true" outlineLevel="0" collapsed="false">
      <c r="A3414" s="15" t="n">
        <v>21284</v>
      </c>
      <c r="B3414" s="16" t="s">
        <v>30</v>
      </c>
      <c r="C3414" s="16" t="s">
        <v>6287</v>
      </c>
      <c r="D3414" s="16" t="s">
        <v>6478</v>
      </c>
      <c r="E3414" s="17" t="s">
        <v>6479</v>
      </c>
      <c r="F3414" s="16" t="n">
        <v>35.55596532</v>
      </c>
      <c r="G3414" s="16" t="n">
        <v>45.42292494</v>
      </c>
      <c r="H3414" s="18" t="n">
        <v>45</v>
      </c>
      <c r="I3414" s="18" t="n">
        <v>270</v>
      </c>
      <c r="J3414" s="19" t="n">
        <v>22</v>
      </c>
      <c r="K3414" s="19" t="n">
        <v>3</v>
      </c>
      <c r="L3414" s="19" t="n">
        <v>10</v>
      </c>
      <c r="M3414" s="19"/>
      <c r="N3414" s="19"/>
      <c r="O3414" s="19" t="n">
        <v>2</v>
      </c>
      <c r="P3414" s="19"/>
      <c r="Q3414" s="19"/>
      <c r="R3414" s="19"/>
      <c r="S3414" s="19"/>
      <c r="T3414" s="19"/>
      <c r="U3414" s="19"/>
      <c r="V3414" s="19" t="n">
        <v>8</v>
      </c>
      <c r="W3414" s="19"/>
      <c r="X3414" s="19"/>
      <c r="Y3414" s="19"/>
      <c r="Z3414" s="19"/>
      <c r="AA3414" s="19"/>
      <c r="AB3414" s="19"/>
      <c r="AC3414" s="19"/>
      <c r="AD3414" s="19"/>
      <c r="AE3414" s="19"/>
      <c r="AF3414" s="19"/>
      <c r="AG3414" s="19"/>
      <c r="AH3414" s="19" t="n">
        <v>45</v>
      </c>
      <c r="AI3414" s="19"/>
      <c r="AJ3414" s="19"/>
      <c r="AK3414" s="19"/>
      <c r="AL3414" s="19" t="n">
        <v>7</v>
      </c>
      <c r="AM3414" s="19" t="n">
        <v>9</v>
      </c>
      <c r="AN3414" s="19" t="n">
        <v>7</v>
      </c>
      <c r="AO3414" s="19" t="n">
        <v>11</v>
      </c>
      <c r="AP3414" s="19" t="n">
        <v>4</v>
      </c>
      <c r="AQ3414" s="19" t="n">
        <v>7</v>
      </c>
      <c r="AR3414" s="19"/>
      <c r="AS3414" s="20" t="str">
        <f aca="false">HYPERLINK("http://www.openstreetmap.org/?mlat=35.556&amp;mlon=45.4229&amp;zoom=12#map=12/35.556/45.4229","Maplink1")</f>
        <v>Maplink1</v>
      </c>
      <c r="AT3414" s="20" t="str">
        <f aca="false">HYPERLINK("https://www.google.iq/maps/search/+35.556,45.4229/@35.556,45.4229,14z?hl=en","Maplink2")</f>
        <v>Maplink2</v>
      </c>
      <c r="AU3414" s="20" t="str">
        <f aca="false">HYPERLINK("http://www.bing.com/maps/?lvl=14&amp;sty=h&amp;cp=35.556~45.4229&amp;sp=point.35.556_45.4229","Maplink3")</f>
        <v>Maplink3</v>
      </c>
    </row>
    <row r="3415" customFormat="false" ht="15" hidden="false" customHeight="true" outlineLevel="0" collapsed="false">
      <c r="A3415" s="15" t="n">
        <v>25301</v>
      </c>
      <c r="B3415" s="16" t="s">
        <v>30</v>
      </c>
      <c r="C3415" s="16" t="s">
        <v>6287</v>
      </c>
      <c r="D3415" s="16" t="s">
        <v>6187</v>
      </c>
      <c r="E3415" s="17" t="s">
        <v>5003</v>
      </c>
      <c r="F3415" s="16" t="n">
        <v>35.5784072</v>
      </c>
      <c r="G3415" s="16" t="n">
        <v>45.43861833</v>
      </c>
      <c r="H3415" s="18" t="n">
        <v>80</v>
      </c>
      <c r="I3415" s="18" t="n">
        <v>480</v>
      </c>
      <c r="J3415" s="19" t="n">
        <v>64</v>
      </c>
      <c r="K3415" s="19"/>
      <c r="L3415" s="19"/>
      <c r="M3415" s="19"/>
      <c r="N3415" s="19"/>
      <c r="O3415" s="19" t="n">
        <v>11</v>
      </c>
      <c r="P3415" s="19"/>
      <c r="Q3415" s="19"/>
      <c r="R3415" s="19"/>
      <c r="S3415" s="19"/>
      <c r="T3415" s="19"/>
      <c r="U3415" s="19"/>
      <c r="V3415" s="19" t="n">
        <v>5</v>
      </c>
      <c r="W3415" s="19"/>
      <c r="X3415" s="19"/>
      <c r="Y3415" s="19"/>
      <c r="Z3415" s="19"/>
      <c r="AA3415" s="19"/>
      <c r="AB3415" s="19"/>
      <c r="AC3415" s="19"/>
      <c r="AD3415" s="19"/>
      <c r="AE3415" s="19"/>
      <c r="AF3415" s="19"/>
      <c r="AG3415" s="19"/>
      <c r="AH3415" s="19" t="n">
        <v>80</v>
      </c>
      <c r="AI3415" s="19"/>
      <c r="AJ3415" s="19"/>
      <c r="AK3415" s="19"/>
      <c r="AL3415" s="19" t="n">
        <v>23</v>
      </c>
      <c r="AM3415" s="19" t="n">
        <v>14</v>
      </c>
      <c r="AN3415" s="19" t="n">
        <v>5</v>
      </c>
      <c r="AO3415" s="19" t="n">
        <v>23</v>
      </c>
      <c r="AP3415" s="19" t="n">
        <v>11</v>
      </c>
      <c r="AQ3415" s="19" t="n">
        <v>4</v>
      </c>
      <c r="AR3415" s="19"/>
      <c r="AS3415" s="20" t="str">
        <f aca="false">HYPERLINK("http://www.openstreetmap.org/?mlat=35.5784&amp;mlon=45.4386&amp;zoom=12#map=12/35.5784/45.4386","Maplink1")</f>
        <v>Maplink1</v>
      </c>
      <c r="AT3415" s="20" t="str">
        <f aca="false">HYPERLINK("https://www.google.iq/maps/search/+35.5784,45.4386/@35.5784,45.4386,14z?hl=en","Maplink2")</f>
        <v>Maplink2</v>
      </c>
      <c r="AU3415" s="20" t="str">
        <f aca="false">HYPERLINK("http://www.bing.com/maps/?lvl=14&amp;sty=h&amp;cp=35.5784~45.4386&amp;sp=point.35.5784_45.4386","Maplink3")</f>
        <v>Maplink3</v>
      </c>
    </row>
    <row r="3416" customFormat="false" ht="15" hidden="false" customHeight="true" outlineLevel="0" collapsed="false">
      <c r="A3416" s="15" t="n">
        <v>24099</v>
      </c>
      <c r="B3416" s="16" t="s">
        <v>30</v>
      </c>
      <c r="C3416" s="16" t="s">
        <v>6287</v>
      </c>
      <c r="D3416" s="16" t="s">
        <v>6480</v>
      </c>
      <c r="E3416" s="17" t="s">
        <v>6481</v>
      </c>
      <c r="F3416" s="16" t="n">
        <v>35.54774912</v>
      </c>
      <c r="G3416" s="16" t="n">
        <v>45.37207063</v>
      </c>
      <c r="H3416" s="18" t="n">
        <v>47</v>
      </c>
      <c r="I3416" s="18" t="n">
        <v>282</v>
      </c>
      <c r="J3416" s="19" t="n">
        <v>36</v>
      </c>
      <c r="K3416" s="19" t="n">
        <v>1</v>
      </c>
      <c r="L3416" s="19" t="n">
        <v>7</v>
      </c>
      <c r="M3416" s="19"/>
      <c r="N3416" s="19"/>
      <c r="O3416" s="19"/>
      <c r="P3416" s="19"/>
      <c r="Q3416" s="19"/>
      <c r="R3416" s="19"/>
      <c r="S3416" s="19"/>
      <c r="T3416" s="19"/>
      <c r="U3416" s="19"/>
      <c r="V3416" s="19"/>
      <c r="W3416" s="19"/>
      <c r="X3416" s="19" t="n">
        <v>3</v>
      </c>
      <c r="Y3416" s="19"/>
      <c r="Z3416" s="19"/>
      <c r="AA3416" s="19"/>
      <c r="AB3416" s="19"/>
      <c r="AC3416" s="19"/>
      <c r="AD3416" s="19"/>
      <c r="AE3416" s="19"/>
      <c r="AF3416" s="19"/>
      <c r="AG3416" s="19"/>
      <c r="AH3416" s="19" t="n">
        <v>47</v>
      </c>
      <c r="AI3416" s="19"/>
      <c r="AJ3416" s="19"/>
      <c r="AK3416" s="19"/>
      <c r="AL3416" s="19" t="n">
        <v>14</v>
      </c>
      <c r="AM3416" s="19" t="n">
        <v>3</v>
      </c>
      <c r="AN3416" s="19"/>
      <c r="AO3416" s="19" t="n">
        <v>21</v>
      </c>
      <c r="AP3416" s="19" t="n">
        <v>9</v>
      </c>
      <c r="AQ3416" s="19"/>
      <c r="AR3416" s="19"/>
      <c r="AS3416" s="20" t="str">
        <f aca="false">HYPERLINK("http://www.openstreetmap.org/?mlat=35.5477&amp;mlon=45.3721&amp;zoom=12#map=12/35.5477/45.3721","Maplink1")</f>
        <v>Maplink1</v>
      </c>
      <c r="AT3416" s="20" t="str">
        <f aca="false">HYPERLINK("https://www.google.iq/maps/search/+35.5477,45.3721/@35.5477,45.3721,14z?hl=en","Maplink2")</f>
        <v>Maplink2</v>
      </c>
      <c r="AU3416" s="20" t="str">
        <f aca="false">HYPERLINK("http://www.bing.com/maps/?lvl=14&amp;sty=h&amp;cp=35.5477~45.3721&amp;sp=point.35.5477_45.3721","Maplink3")</f>
        <v>Maplink3</v>
      </c>
    </row>
    <row r="3417" customFormat="false" ht="15" hidden="false" customHeight="true" outlineLevel="0" collapsed="false">
      <c r="A3417" s="15" t="n">
        <v>25305</v>
      </c>
      <c r="B3417" s="16" t="s">
        <v>30</v>
      </c>
      <c r="C3417" s="16" t="s">
        <v>6287</v>
      </c>
      <c r="D3417" s="16" t="s">
        <v>6482</v>
      </c>
      <c r="E3417" s="17" t="s">
        <v>3575</v>
      </c>
      <c r="F3417" s="16" t="n">
        <v>35.54525717</v>
      </c>
      <c r="G3417" s="16" t="n">
        <v>45.42493446</v>
      </c>
      <c r="H3417" s="18" t="n">
        <v>59</v>
      </c>
      <c r="I3417" s="18" t="n">
        <v>354</v>
      </c>
      <c r="J3417" s="19" t="n">
        <v>40</v>
      </c>
      <c r="K3417" s="19"/>
      <c r="L3417" s="19" t="n">
        <v>11</v>
      </c>
      <c r="M3417" s="19"/>
      <c r="N3417" s="19"/>
      <c r="O3417" s="19" t="n">
        <v>4</v>
      </c>
      <c r="P3417" s="19"/>
      <c r="Q3417" s="19"/>
      <c r="R3417" s="19"/>
      <c r="S3417" s="19"/>
      <c r="T3417" s="19"/>
      <c r="U3417" s="19"/>
      <c r="V3417" s="19"/>
      <c r="W3417" s="19"/>
      <c r="X3417" s="19" t="n">
        <v>4</v>
      </c>
      <c r="Y3417" s="19"/>
      <c r="Z3417" s="19"/>
      <c r="AA3417" s="19"/>
      <c r="AB3417" s="19"/>
      <c r="AC3417" s="19"/>
      <c r="AD3417" s="19"/>
      <c r="AE3417" s="19"/>
      <c r="AF3417" s="19"/>
      <c r="AG3417" s="19"/>
      <c r="AH3417" s="19" t="n">
        <v>59</v>
      </c>
      <c r="AI3417" s="19"/>
      <c r="AJ3417" s="19"/>
      <c r="AK3417" s="19"/>
      <c r="AL3417" s="19" t="n">
        <v>8</v>
      </c>
      <c r="AM3417" s="19" t="n">
        <v>7</v>
      </c>
      <c r="AN3417" s="19"/>
      <c r="AO3417" s="19" t="n">
        <v>16</v>
      </c>
      <c r="AP3417" s="19" t="n">
        <v>17</v>
      </c>
      <c r="AQ3417" s="19" t="n">
        <v>11</v>
      </c>
      <c r="AR3417" s="19"/>
      <c r="AS3417" s="20" t="str">
        <f aca="false">HYPERLINK("http://www.openstreetmap.org/?mlat=35.5453&amp;mlon=45.4249&amp;zoom=12#map=12/35.5453/45.4249","Maplink1")</f>
        <v>Maplink1</v>
      </c>
      <c r="AT3417" s="20" t="str">
        <f aca="false">HYPERLINK("https://www.google.iq/maps/search/+35.5453,45.4249/@35.5453,45.4249,14z?hl=en","Maplink2")</f>
        <v>Maplink2</v>
      </c>
      <c r="AU3417" s="20" t="str">
        <f aca="false">HYPERLINK("http://www.bing.com/maps/?lvl=14&amp;sty=h&amp;cp=35.5453~45.4249&amp;sp=point.35.5453_45.4249","Maplink3")</f>
        <v>Maplink3</v>
      </c>
    </row>
    <row r="3418" customFormat="false" ht="15" hidden="false" customHeight="true" outlineLevel="0" collapsed="false">
      <c r="A3418" s="15" t="n">
        <v>29628</v>
      </c>
      <c r="B3418" s="16" t="s">
        <v>30</v>
      </c>
      <c r="C3418" s="16" t="s">
        <v>6287</v>
      </c>
      <c r="D3418" s="16" t="s">
        <v>6483</v>
      </c>
      <c r="E3418" s="17" t="s">
        <v>6484</v>
      </c>
      <c r="F3418" s="16" t="n">
        <v>35.53802</v>
      </c>
      <c r="G3418" s="16" t="n">
        <v>45.43434</v>
      </c>
      <c r="H3418" s="18" t="n">
        <v>110</v>
      </c>
      <c r="I3418" s="18" t="n">
        <v>660</v>
      </c>
      <c r="J3418" s="19" t="n">
        <v>53</v>
      </c>
      <c r="K3418" s="19"/>
      <c r="L3418" s="19" t="n">
        <v>18</v>
      </c>
      <c r="M3418" s="19"/>
      <c r="N3418" s="19"/>
      <c r="O3418" s="19" t="n">
        <v>4</v>
      </c>
      <c r="P3418" s="19"/>
      <c r="Q3418" s="19"/>
      <c r="R3418" s="19"/>
      <c r="S3418" s="19"/>
      <c r="T3418" s="19"/>
      <c r="U3418" s="19"/>
      <c r="V3418" s="19" t="n">
        <v>10</v>
      </c>
      <c r="W3418" s="19"/>
      <c r="X3418" s="19" t="n">
        <v>25</v>
      </c>
      <c r="Y3418" s="19"/>
      <c r="Z3418" s="19"/>
      <c r="AA3418" s="19"/>
      <c r="AB3418" s="19"/>
      <c r="AC3418" s="19"/>
      <c r="AD3418" s="19"/>
      <c r="AE3418" s="19"/>
      <c r="AF3418" s="19"/>
      <c r="AG3418" s="19"/>
      <c r="AH3418" s="19" t="n">
        <v>110</v>
      </c>
      <c r="AI3418" s="19"/>
      <c r="AJ3418" s="19"/>
      <c r="AK3418" s="19"/>
      <c r="AL3418" s="19" t="n">
        <v>6</v>
      </c>
      <c r="AM3418" s="19" t="n">
        <v>25</v>
      </c>
      <c r="AN3418" s="19" t="n">
        <v>23</v>
      </c>
      <c r="AO3418" s="19" t="n">
        <v>23</v>
      </c>
      <c r="AP3418" s="19" t="n">
        <v>18</v>
      </c>
      <c r="AQ3418" s="19" t="n">
        <v>15</v>
      </c>
      <c r="AR3418" s="19"/>
      <c r="AS3418" s="20" t="str">
        <f aca="false">HYPERLINK("http://www.openstreetmap.org/?mlat=35.538&amp;mlon=45.4343&amp;zoom=12#map=12/35.538/45.4343","Maplink1")</f>
        <v>Maplink1</v>
      </c>
      <c r="AT3418" s="20" t="str">
        <f aca="false">HYPERLINK("https://www.google.iq/maps/search/+35.538,45.4343/@35.538,45.4343,14z?hl=en","Maplink2")</f>
        <v>Maplink2</v>
      </c>
      <c r="AU3418" s="20" t="str">
        <f aca="false">HYPERLINK("http://www.bing.com/maps/?lvl=14&amp;sty=h&amp;cp=35.538~45.4343&amp;sp=point.35.538_45.4343","Maplink3")</f>
        <v>Maplink3</v>
      </c>
    </row>
    <row r="3419" customFormat="false" ht="15" hidden="false" customHeight="true" outlineLevel="0" collapsed="false">
      <c r="A3419" s="15" t="n">
        <v>5809</v>
      </c>
      <c r="B3419" s="16" t="s">
        <v>30</v>
      </c>
      <c r="C3419" s="16" t="s">
        <v>6287</v>
      </c>
      <c r="D3419" s="16" t="s">
        <v>6485</v>
      </c>
      <c r="E3419" s="17" t="s">
        <v>6486</v>
      </c>
      <c r="F3419" s="16" t="n">
        <v>35.59495424</v>
      </c>
      <c r="G3419" s="16" t="n">
        <v>45.23176657</v>
      </c>
      <c r="H3419" s="18" t="n">
        <v>362</v>
      </c>
      <c r="I3419" s="18" t="n">
        <v>2172</v>
      </c>
      <c r="J3419" s="19" t="n">
        <v>130</v>
      </c>
      <c r="K3419" s="19"/>
      <c r="L3419" s="19"/>
      <c r="M3419" s="19"/>
      <c r="N3419" s="19"/>
      <c r="O3419" s="19"/>
      <c r="P3419" s="19"/>
      <c r="Q3419" s="19"/>
      <c r="R3419" s="19"/>
      <c r="S3419" s="19"/>
      <c r="T3419" s="19"/>
      <c r="U3419" s="19"/>
      <c r="V3419" s="19" t="n">
        <v>225</v>
      </c>
      <c r="W3419" s="19"/>
      <c r="X3419" s="19" t="n">
        <v>7</v>
      </c>
      <c r="Y3419" s="19"/>
      <c r="Z3419" s="19"/>
      <c r="AA3419" s="19"/>
      <c r="AB3419" s="19"/>
      <c r="AC3419" s="19"/>
      <c r="AD3419" s="19"/>
      <c r="AE3419" s="19" t="n">
        <v>43</v>
      </c>
      <c r="AF3419" s="19"/>
      <c r="AG3419" s="19"/>
      <c r="AH3419" s="19" t="n">
        <v>319</v>
      </c>
      <c r="AI3419" s="19"/>
      <c r="AJ3419" s="19"/>
      <c r="AK3419" s="19"/>
      <c r="AL3419" s="19" t="n">
        <v>32</v>
      </c>
      <c r="AM3419" s="19" t="n">
        <v>33</v>
      </c>
      <c r="AN3419" s="19" t="n">
        <v>239</v>
      </c>
      <c r="AO3419" s="19" t="n">
        <v>25</v>
      </c>
      <c r="AP3419" s="19" t="n">
        <v>19</v>
      </c>
      <c r="AQ3419" s="19" t="n">
        <v>14</v>
      </c>
      <c r="AR3419" s="19"/>
      <c r="AS3419" s="20" t="str">
        <f aca="false">HYPERLINK("http://www.openstreetmap.org/?mlat=35.595&amp;mlon=45.2318&amp;zoom=12#map=12/35.595/45.2318","Maplink1")</f>
        <v>Maplink1</v>
      </c>
      <c r="AT3419" s="20" t="str">
        <f aca="false">HYPERLINK("https://www.google.iq/maps/search/+35.595,45.2318/@35.595,45.2318,14z?hl=en","Maplink2")</f>
        <v>Maplink2</v>
      </c>
      <c r="AU3419" s="20" t="str">
        <f aca="false">HYPERLINK("http://www.bing.com/maps/?lvl=14&amp;sty=h&amp;cp=35.595~45.2318&amp;sp=point.35.595_45.2318","Maplink3")</f>
        <v>Maplink3</v>
      </c>
    </row>
    <row r="3420" customFormat="false" ht="15" hidden="false" customHeight="true" outlineLevel="0" collapsed="false">
      <c r="A3420" s="15" t="n">
        <v>25795</v>
      </c>
      <c r="B3420" s="16" t="s">
        <v>30</v>
      </c>
      <c r="C3420" s="16" t="s">
        <v>6287</v>
      </c>
      <c r="D3420" s="16" t="s">
        <v>6487</v>
      </c>
      <c r="E3420" s="17" t="s">
        <v>6488</v>
      </c>
      <c r="F3420" s="16" t="n">
        <v>35.66543</v>
      </c>
      <c r="G3420" s="16" t="n">
        <v>45.39995</v>
      </c>
      <c r="H3420" s="18" t="n">
        <v>16</v>
      </c>
      <c r="I3420" s="18" t="n">
        <v>96</v>
      </c>
      <c r="J3420" s="19" t="n">
        <v>3</v>
      </c>
      <c r="K3420" s="19"/>
      <c r="L3420" s="19"/>
      <c r="M3420" s="19"/>
      <c r="N3420" s="19"/>
      <c r="O3420" s="19"/>
      <c r="P3420" s="19"/>
      <c r="Q3420" s="19"/>
      <c r="R3420" s="19"/>
      <c r="S3420" s="19"/>
      <c r="T3420" s="19"/>
      <c r="U3420" s="19"/>
      <c r="V3420" s="19" t="n">
        <v>13</v>
      </c>
      <c r="W3420" s="19"/>
      <c r="X3420" s="19"/>
      <c r="Y3420" s="19"/>
      <c r="Z3420" s="19"/>
      <c r="AA3420" s="19"/>
      <c r="AB3420" s="19"/>
      <c r="AC3420" s="19"/>
      <c r="AD3420" s="19"/>
      <c r="AE3420" s="19" t="n">
        <v>7</v>
      </c>
      <c r="AF3420" s="19"/>
      <c r="AG3420" s="19"/>
      <c r="AH3420" s="19" t="n">
        <v>5</v>
      </c>
      <c r="AI3420" s="19"/>
      <c r="AJ3420" s="19" t="n">
        <v>4</v>
      </c>
      <c r="AK3420" s="19"/>
      <c r="AL3420" s="19"/>
      <c r="AM3420" s="19"/>
      <c r="AN3420" s="19" t="n">
        <v>13</v>
      </c>
      <c r="AO3420" s="19"/>
      <c r="AP3420" s="19" t="n">
        <v>3</v>
      </c>
      <c r="AQ3420" s="19"/>
      <c r="AR3420" s="19"/>
      <c r="AS3420" s="20" t="str">
        <f aca="false">HYPERLINK("http://www.openstreetmap.org/?mlat=35.6654&amp;mlon=45.3999&amp;zoom=12#map=12/35.6654/45.3999","Maplink1")</f>
        <v>Maplink1</v>
      </c>
      <c r="AT3420" s="20" t="str">
        <f aca="false">HYPERLINK("https://www.google.iq/maps/search/+35.6654,45.3999/@35.6654,45.3999,14z?hl=en","Maplink2")</f>
        <v>Maplink2</v>
      </c>
      <c r="AU3420" s="20" t="str">
        <f aca="false">HYPERLINK("http://www.bing.com/maps/?lvl=14&amp;sty=h&amp;cp=35.6654~45.3999&amp;sp=point.35.6654_45.3999","Maplink3")</f>
        <v>Maplink3</v>
      </c>
    </row>
    <row r="3421" customFormat="false" ht="15" hidden="false" customHeight="true" outlineLevel="0" collapsed="false">
      <c r="A3421" s="15" t="n">
        <v>21029</v>
      </c>
      <c r="B3421" s="16" t="s">
        <v>30</v>
      </c>
      <c r="C3421" s="16" t="s">
        <v>6287</v>
      </c>
      <c r="D3421" s="16" t="s">
        <v>6489</v>
      </c>
      <c r="E3421" s="17" t="s">
        <v>6490</v>
      </c>
      <c r="F3421" s="16" t="n">
        <v>35.57200414</v>
      </c>
      <c r="G3421" s="16" t="n">
        <v>45.45029388</v>
      </c>
      <c r="H3421" s="18" t="n">
        <v>73</v>
      </c>
      <c r="I3421" s="18" t="n">
        <v>438</v>
      </c>
      <c r="J3421" s="19" t="n">
        <v>61</v>
      </c>
      <c r="K3421" s="19"/>
      <c r="L3421" s="19" t="n">
        <v>5</v>
      </c>
      <c r="M3421" s="19"/>
      <c r="N3421" s="19"/>
      <c r="O3421" s="19" t="n">
        <v>1</v>
      </c>
      <c r="P3421" s="19"/>
      <c r="Q3421" s="19"/>
      <c r="R3421" s="19"/>
      <c r="S3421" s="19"/>
      <c r="T3421" s="19"/>
      <c r="U3421" s="19"/>
      <c r="V3421" s="19"/>
      <c r="W3421" s="19"/>
      <c r="X3421" s="19" t="n">
        <v>6</v>
      </c>
      <c r="Y3421" s="19"/>
      <c r="Z3421" s="19"/>
      <c r="AA3421" s="19"/>
      <c r="AB3421" s="19"/>
      <c r="AC3421" s="19"/>
      <c r="AD3421" s="19" t="n">
        <v>12</v>
      </c>
      <c r="AE3421" s="19"/>
      <c r="AF3421" s="19"/>
      <c r="AG3421" s="19"/>
      <c r="AH3421" s="19" t="n">
        <v>61</v>
      </c>
      <c r="AI3421" s="19"/>
      <c r="AJ3421" s="19"/>
      <c r="AK3421" s="19"/>
      <c r="AL3421" s="19" t="n">
        <v>28</v>
      </c>
      <c r="AM3421" s="19" t="n">
        <v>8</v>
      </c>
      <c r="AN3421" s="19" t="n">
        <v>2</v>
      </c>
      <c r="AO3421" s="19" t="n">
        <v>14</v>
      </c>
      <c r="AP3421" s="19" t="n">
        <v>16</v>
      </c>
      <c r="AQ3421" s="19" t="n">
        <v>5</v>
      </c>
      <c r="AR3421" s="19"/>
      <c r="AS3421" s="20" t="str">
        <f aca="false">HYPERLINK("http://www.openstreetmap.org/?mlat=35.572&amp;mlon=45.4503&amp;zoom=12#map=12/35.572/45.4503","Maplink1")</f>
        <v>Maplink1</v>
      </c>
      <c r="AT3421" s="20" t="str">
        <f aca="false">HYPERLINK("https://www.google.iq/maps/search/+35.572,45.4503/@35.572,45.4503,14z?hl=en","Maplink2")</f>
        <v>Maplink2</v>
      </c>
      <c r="AU3421" s="20" t="str">
        <f aca="false">HYPERLINK("http://www.bing.com/maps/?lvl=14&amp;sty=h&amp;cp=35.572~45.4503&amp;sp=point.35.572_45.4503","Maplink3")</f>
        <v>Maplink3</v>
      </c>
    </row>
    <row r="3422" customFormat="false" ht="15" hidden="false" customHeight="true" outlineLevel="0" collapsed="false">
      <c r="A3422" s="15" t="n">
        <v>25523</v>
      </c>
      <c r="B3422" s="16" t="s">
        <v>30</v>
      </c>
      <c r="C3422" s="16" t="s">
        <v>6287</v>
      </c>
      <c r="D3422" s="16" t="s">
        <v>6491</v>
      </c>
      <c r="E3422" s="17" t="s">
        <v>6492</v>
      </c>
      <c r="F3422" s="16" t="n">
        <v>35.42778528</v>
      </c>
      <c r="G3422" s="16" t="n">
        <v>45.44945938</v>
      </c>
      <c r="H3422" s="18" t="n">
        <v>34</v>
      </c>
      <c r="I3422" s="18" t="n">
        <v>204</v>
      </c>
      <c r="J3422" s="19" t="n">
        <v>12</v>
      </c>
      <c r="K3422" s="19" t="n">
        <v>6</v>
      </c>
      <c r="L3422" s="19" t="n">
        <v>6</v>
      </c>
      <c r="M3422" s="19"/>
      <c r="N3422" s="19"/>
      <c r="O3422" s="19" t="n">
        <v>5</v>
      </c>
      <c r="P3422" s="19"/>
      <c r="Q3422" s="19"/>
      <c r="R3422" s="19"/>
      <c r="S3422" s="19"/>
      <c r="T3422" s="19"/>
      <c r="U3422" s="19"/>
      <c r="V3422" s="19" t="n">
        <v>5</v>
      </c>
      <c r="W3422" s="19"/>
      <c r="X3422" s="19"/>
      <c r="Y3422" s="19"/>
      <c r="Z3422" s="19"/>
      <c r="AA3422" s="19"/>
      <c r="AB3422" s="19"/>
      <c r="AC3422" s="19"/>
      <c r="AD3422" s="19"/>
      <c r="AE3422" s="19"/>
      <c r="AF3422" s="19"/>
      <c r="AG3422" s="19"/>
      <c r="AH3422" s="19" t="n">
        <v>34</v>
      </c>
      <c r="AI3422" s="19"/>
      <c r="AJ3422" s="19"/>
      <c r="AK3422" s="19"/>
      <c r="AL3422" s="19" t="n">
        <v>3</v>
      </c>
      <c r="AM3422" s="19" t="n">
        <v>9</v>
      </c>
      <c r="AN3422" s="19" t="n">
        <v>11</v>
      </c>
      <c r="AO3422" s="19" t="n">
        <v>8</v>
      </c>
      <c r="AP3422" s="19" t="n">
        <v>3</v>
      </c>
      <c r="AQ3422" s="19"/>
      <c r="AR3422" s="19"/>
      <c r="AS3422" s="20" t="str">
        <f aca="false">HYPERLINK("http://www.openstreetmap.org/?mlat=35.4278&amp;mlon=45.4495&amp;zoom=12#map=12/35.4278/45.4495","Maplink1")</f>
        <v>Maplink1</v>
      </c>
      <c r="AT3422" s="20" t="str">
        <f aca="false">HYPERLINK("https://www.google.iq/maps/search/+35.4278,45.4495/@35.4278,45.4495,14z?hl=en","Maplink2")</f>
        <v>Maplink2</v>
      </c>
      <c r="AU3422" s="20" t="str">
        <f aca="false">HYPERLINK("http://www.bing.com/maps/?lvl=14&amp;sty=h&amp;cp=35.4278~45.4495&amp;sp=point.35.4278_45.4495","Maplink3")</f>
        <v>Maplink3</v>
      </c>
    </row>
    <row r="3423" customFormat="false" ht="15" hidden="false" customHeight="true" outlineLevel="0" collapsed="false">
      <c r="A3423" s="15" t="n">
        <v>5930</v>
      </c>
      <c r="B3423" s="16" t="s">
        <v>30</v>
      </c>
      <c r="C3423" s="16" t="s">
        <v>6287</v>
      </c>
      <c r="D3423" s="16" t="s">
        <v>6493</v>
      </c>
      <c r="E3423" s="17" t="s">
        <v>6494</v>
      </c>
      <c r="F3423" s="16" t="n">
        <v>35.52884227</v>
      </c>
      <c r="G3423" s="16" t="n">
        <v>45.43083939</v>
      </c>
      <c r="H3423" s="18" t="n">
        <v>221</v>
      </c>
      <c r="I3423" s="18" t="n">
        <v>1326</v>
      </c>
      <c r="J3423" s="19" t="n">
        <v>114</v>
      </c>
      <c r="K3423" s="19" t="n">
        <v>14</v>
      </c>
      <c r="L3423" s="19" t="n">
        <v>37</v>
      </c>
      <c r="M3423" s="19"/>
      <c r="N3423" s="19"/>
      <c r="O3423" s="19"/>
      <c r="P3423" s="19"/>
      <c r="Q3423" s="19"/>
      <c r="R3423" s="19"/>
      <c r="S3423" s="19"/>
      <c r="T3423" s="19"/>
      <c r="U3423" s="19"/>
      <c r="V3423" s="19" t="n">
        <v>26</v>
      </c>
      <c r="W3423" s="19"/>
      <c r="X3423" s="19" t="n">
        <v>30</v>
      </c>
      <c r="Y3423" s="19"/>
      <c r="Z3423" s="19"/>
      <c r="AA3423" s="19"/>
      <c r="AB3423" s="19"/>
      <c r="AC3423" s="19"/>
      <c r="AD3423" s="19"/>
      <c r="AE3423" s="19"/>
      <c r="AF3423" s="19"/>
      <c r="AG3423" s="19"/>
      <c r="AH3423" s="19" t="n">
        <v>221</v>
      </c>
      <c r="AI3423" s="19"/>
      <c r="AJ3423" s="19"/>
      <c r="AK3423" s="19"/>
      <c r="AL3423" s="19" t="n">
        <v>5</v>
      </c>
      <c r="AM3423" s="19" t="n">
        <v>29</v>
      </c>
      <c r="AN3423" s="19" t="n">
        <v>53</v>
      </c>
      <c r="AO3423" s="19" t="n">
        <v>83</v>
      </c>
      <c r="AP3423" s="19" t="n">
        <v>24</v>
      </c>
      <c r="AQ3423" s="19" t="n">
        <v>27</v>
      </c>
      <c r="AR3423" s="19"/>
      <c r="AS3423" s="20" t="str">
        <f aca="false">HYPERLINK("http://www.openstreetmap.org/?mlat=35.5288&amp;mlon=45.4308&amp;zoom=12#map=12/35.5288/45.4308","Maplink1")</f>
        <v>Maplink1</v>
      </c>
      <c r="AT3423" s="20" t="str">
        <f aca="false">HYPERLINK("https://www.google.iq/maps/search/+35.5288,45.4308/@35.5288,45.4308,14z?hl=en","Maplink2")</f>
        <v>Maplink2</v>
      </c>
      <c r="AU3423" s="20" t="str">
        <f aca="false">HYPERLINK("http://www.bing.com/maps/?lvl=14&amp;sty=h&amp;cp=35.5288~45.4308&amp;sp=point.35.5288_45.4308","Maplink3")</f>
        <v>Maplink3</v>
      </c>
    </row>
    <row r="3424" customFormat="false" ht="15" hidden="false" customHeight="true" outlineLevel="0" collapsed="false">
      <c r="A3424" s="15" t="n">
        <v>5813</v>
      </c>
      <c r="B3424" s="16" t="s">
        <v>30</v>
      </c>
      <c r="C3424" s="16" t="s">
        <v>6287</v>
      </c>
      <c r="D3424" s="16" t="s">
        <v>6495</v>
      </c>
      <c r="E3424" s="17" t="s">
        <v>6496</v>
      </c>
      <c r="F3424" s="16" t="n">
        <v>35.57671401</v>
      </c>
      <c r="G3424" s="16" t="n">
        <v>45.41821701</v>
      </c>
      <c r="H3424" s="18" t="n">
        <v>154</v>
      </c>
      <c r="I3424" s="18" t="n">
        <v>924</v>
      </c>
      <c r="J3424" s="19" t="n">
        <v>99</v>
      </c>
      <c r="K3424" s="19"/>
      <c r="L3424" s="19" t="n">
        <v>46</v>
      </c>
      <c r="M3424" s="19"/>
      <c r="N3424" s="19"/>
      <c r="O3424" s="19"/>
      <c r="P3424" s="19"/>
      <c r="Q3424" s="19"/>
      <c r="R3424" s="19"/>
      <c r="S3424" s="19"/>
      <c r="T3424" s="19"/>
      <c r="U3424" s="19"/>
      <c r="V3424" s="19" t="n">
        <v>1</v>
      </c>
      <c r="W3424" s="19"/>
      <c r="X3424" s="19" t="n">
        <v>8</v>
      </c>
      <c r="Y3424" s="19"/>
      <c r="Z3424" s="19"/>
      <c r="AA3424" s="19"/>
      <c r="AB3424" s="19"/>
      <c r="AC3424" s="19"/>
      <c r="AD3424" s="19" t="n">
        <v>2</v>
      </c>
      <c r="AE3424" s="19"/>
      <c r="AF3424" s="19"/>
      <c r="AG3424" s="19"/>
      <c r="AH3424" s="19" t="n">
        <v>152</v>
      </c>
      <c r="AI3424" s="19"/>
      <c r="AJ3424" s="19"/>
      <c r="AK3424" s="19"/>
      <c r="AL3424" s="19" t="n">
        <v>20</v>
      </c>
      <c r="AM3424" s="19" t="n">
        <v>7</v>
      </c>
      <c r="AN3424" s="19" t="n">
        <v>1</v>
      </c>
      <c r="AO3424" s="19" t="n">
        <v>26</v>
      </c>
      <c r="AP3424" s="19" t="n">
        <v>55</v>
      </c>
      <c r="AQ3424" s="19" t="n">
        <v>45</v>
      </c>
      <c r="AR3424" s="19"/>
      <c r="AS3424" s="20" t="str">
        <f aca="false">HYPERLINK("http://www.openstreetmap.org/?mlat=35.5767&amp;mlon=45.4182&amp;zoom=12#map=12/35.5767/45.4182","Maplink1")</f>
        <v>Maplink1</v>
      </c>
      <c r="AT3424" s="20" t="str">
        <f aca="false">HYPERLINK("https://www.google.iq/maps/search/+35.5767,45.4182/@35.5767,45.4182,14z?hl=en","Maplink2")</f>
        <v>Maplink2</v>
      </c>
      <c r="AU3424" s="20" t="str">
        <f aca="false">HYPERLINK("http://www.bing.com/maps/?lvl=14&amp;sty=h&amp;cp=35.5767~45.4182&amp;sp=point.35.5767_45.4182","Maplink3")</f>
        <v>Maplink3</v>
      </c>
    </row>
    <row r="3425" customFormat="false" ht="15" hidden="false" customHeight="true" outlineLevel="0" collapsed="false">
      <c r="A3425" s="15" t="n">
        <v>25076</v>
      </c>
      <c r="B3425" s="16" t="s">
        <v>30</v>
      </c>
      <c r="C3425" s="16" t="s">
        <v>6287</v>
      </c>
      <c r="D3425" s="16" t="s">
        <v>6497</v>
      </c>
      <c r="E3425" s="17" t="s">
        <v>6498</v>
      </c>
      <c r="F3425" s="16" t="n">
        <v>35.58839972</v>
      </c>
      <c r="G3425" s="16" t="n">
        <v>45.41677035</v>
      </c>
      <c r="H3425" s="18" t="n">
        <v>156</v>
      </c>
      <c r="I3425" s="18" t="n">
        <v>936</v>
      </c>
      <c r="J3425" s="19" t="n">
        <v>151</v>
      </c>
      <c r="K3425" s="19" t="n">
        <v>2</v>
      </c>
      <c r="L3425" s="19" t="n">
        <v>3</v>
      </c>
      <c r="M3425" s="19"/>
      <c r="N3425" s="19"/>
      <c r="O3425" s="19"/>
      <c r="P3425" s="19"/>
      <c r="Q3425" s="19"/>
      <c r="R3425" s="19"/>
      <c r="S3425" s="19"/>
      <c r="T3425" s="19"/>
      <c r="U3425" s="19"/>
      <c r="V3425" s="19"/>
      <c r="W3425" s="19"/>
      <c r="X3425" s="19"/>
      <c r="Y3425" s="19"/>
      <c r="Z3425" s="19"/>
      <c r="AA3425" s="19"/>
      <c r="AB3425" s="19"/>
      <c r="AC3425" s="19"/>
      <c r="AD3425" s="19"/>
      <c r="AE3425" s="19"/>
      <c r="AF3425" s="19"/>
      <c r="AG3425" s="19"/>
      <c r="AH3425" s="19" t="n">
        <v>156</v>
      </c>
      <c r="AI3425" s="19"/>
      <c r="AJ3425" s="19"/>
      <c r="AK3425" s="19"/>
      <c r="AL3425" s="19" t="n">
        <v>20</v>
      </c>
      <c r="AM3425" s="19" t="n">
        <v>34</v>
      </c>
      <c r="AN3425" s="19" t="n">
        <v>20</v>
      </c>
      <c r="AO3425" s="19" t="n">
        <v>26</v>
      </c>
      <c r="AP3425" s="19" t="n">
        <v>50</v>
      </c>
      <c r="AQ3425" s="19" t="n">
        <v>6</v>
      </c>
      <c r="AR3425" s="19"/>
      <c r="AS3425" s="20" t="str">
        <f aca="false">HYPERLINK("http://www.openstreetmap.org/?mlat=35.5884&amp;mlon=45.4168&amp;zoom=12#map=12/35.5884/45.4168","Maplink1")</f>
        <v>Maplink1</v>
      </c>
      <c r="AT3425" s="20" t="str">
        <f aca="false">HYPERLINK("https://www.google.iq/maps/search/+35.5884,45.4168/@35.5884,45.4168,14z?hl=en","Maplink2")</f>
        <v>Maplink2</v>
      </c>
      <c r="AU3425" s="20" t="str">
        <f aca="false">HYPERLINK("http://www.bing.com/maps/?lvl=14&amp;sty=h&amp;cp=35.5884~45.4168&amp;sp=point.35.5884_45.4168","Maplink3")</f>
        <v>Maplink3</v>
      </c>
    </row>
    <row r="3426" customFormat="false" ht="15" hidden="false" customHeight="true" outlineLevel="0" collapsed="false">
      <c r="A3426" s="15" t="n">
        <v>6144</v>
      </c>
      <c r="B3426" s="16" t="s">
        <v>30</v>
      </c>
      <c r="C3426" s="16" t="s">
        <v>6287</v>
      </c>
      <c r="D3426" s="16" t="s">
        <v>6499</v>
      </c>
      <c r="E3426" s="17" t="s">
        <v>6500</v>
      </c>
      <c r="F3426" s="16" t="n">
        <v>35.52830791</v>
      </c>
      <c r="G3426" s="16" t="n">
        <v>45.43435815</v>
      </c>
      <c r="H3426" s="18" t="n">
        <v>77</v>
      </c>
      <c r="I3426" s="18" t="n">
        <v>462</v>
      </c>
      <c r="J3426" s="19" t="n">
        <v>31</v>
      </c>
      <c r="K3426" s="19"/>
      <c r="L3426" s="19" t="n">
        <v>8</v>
      </c>
      <c r="M3426" s="19"/>
      <c r="N3426" s="19"/>
      <c r="O3426" s="19" t="n">
        <v>9</v>
      </c>
      <c r="P3426" s="19"/>
      <c r="Q3426" s="19"/>
      <c r="R3426" s="19"/>
      <c r="S3426" s="19"/>
      <c r="T3426" s="19"/>
      <c r="U3426" s="19"/>
      <c r="V3426" s="19" t="n">
        <v>21</v>
      </c>
      <c r="W3426" s="19"/>
      <c r="X3426" s="19" t="n">
        <v>8</v>
      </c>
      <c r="Y3426" s="19"/>
      <c r="Z3426" s="19"/>
      <c r="AA3426" s="19"/>
      <c r="AB3426" s="19"/>
      <c r="AC3426" s="19"/>
      <c r="AD3426" s="19"/>
      <c r="AE3426" s="19"/>
      <c r="AF3426" s="19"/>
      <c r="AG3426" s="19"/>
      <c r="AH3426" s="19" t="n">
        <v>77</v>
      </c>
      <c r="AI3426" s="19"/>
      <c r="AJ3426" s="19"/>
      <c r="AK3426" s="19"/>
      <c r="AL3426" s="19" t="n">
        <v>5</v>
      </c>
      <c r="AM3426" s="19" t="n">
        <v>19</v>
      </c>
      <c r="AN3426" s="19" t="n">
        <v>6</v>
      </c>
      <c r="AO3426" s="19" t="n">
        <v>27</v>
      </c>
      <c r="AP3426" s="19" t="n">
        <v>18</v>
      </c>
      <c r="AQ3426" s="19" t="n">
        <v>2</v>
      </c>
      <c r="AR3426" s="19"/>
      <c r="AS3426" s="20" t="str">
        <f aca="false">HYPERLINK("http://www.openstreetmap.org/?mlat=35.5283&amp;mlon=45.4344&amp;zoom=12#map=12/35.5283/45.4344","Maplink1")</f>
        <v>Maplink1</v>
      </c>
      <c r="AT3426" s="20" t="str">
        <f aca="false">HYPERLINK("https://www.google.iq/maps/search/+35.5283,45.4344/@35.5283,45.4344,14z?hl=en","Maplink2")</f>
        <v>Maplink2</v>
      </c>
      <c r="AU3426" s="20" t="str">
        <f aca="false">HYPERLINK("http://www.bing.com/maps/?lvl=14&amp;sty=h&amp;cp=35.5283~45.4344&amp;sp=point.35.5283_45.4344","Maplink3")</f>
        <v>Maplink3</v>
      </c>
    </row>
    <row r="3427" customFormat="false" ht="15" hidden="false" customHeight="true" outlineLevel="0" collapsed="false">
      <c r="A3427" s="15" t="n">
        <v>22177</v>
      </c>
      <c r="B3427" s="16" t="s">
        <v>31</v>
      </c>
      <c r="C3427" s="16" t="s">
        <v>6501</v>
      </c>
      <c r="D3427" s="16" t="s">
        <v>6502</v>
      </c>
      <c r="E3427" s="17" t="s">
        <v>6503</v>
      </c>
      <c r="F3427" s="16" t="n">
        <v>30.97315937</v>
      </c>
      <c r="G3427" s="16" t="n">
        <v>46.72267362</v>
      </c>
      <c r="H3427" s="18" t="n">
        <v>23</v>
      </c>
      <c r="I3427" s="18" t="n">
        <v>138</v>
      </c>
      <c r="J3427" s="19" t="n">
        <v>4</v>
      </c>
      <c r="K3427" s="19"/>
      <c r="L3427" s="19"/>
      <c r="M3427" s="19"/>
      <c r="N3427" s="19"/>
      <c r="O3427" s="19"/>
      <c r="P3427" s="19"/>
      <c r="Q3427" s="19"/>
      <c r="R3427" s="19"/>
      <c r="S3427" s="19"/>
      <c r="T3427" s="19"/>
      <c r="U3427" s="19"/>
      <c r="V3427" s="19" t="n">
        <v>19</v>
      </c>
      <c r="W3427" s="19"/>
      <c r="X3427" s="19"/>
      <c r="Y3427" s="19"/>
      <c r="Z3427" s="19"/>
      <c r="AA3427" s="19"/>
      <c r="AB3427" s="19"/>
      <c r="AC3427" s="19" t="n">
        <v>9</v>
      </c>
      <c r="AD3427" s="19"/>
      <c r="AE3427" s="19"/>
      <c r="AF3427" s="19"/>
      <c r="AG3427" s="19"/>
      <c r="AH3427" s="19" t="n">
        <v>14</v>
      </c>
      <c r="AI3427" s="19"/>
      <c r="AJ3427" s="19"/>
      <c r="AK3427" s="19"/>
      <c r="AL3427" s="19"/>
      <c r="AM3427" s="19" t="n">
        <v>17</v>
      </c>
      <c r="AN3427" s="19" t="n">
        <v>3</v>
      </c>
      <c r="AO3427" s="19" t="n">
        <v>3</v>
      </c>
      <c r="AP3427" s="19"/>
      <c r="AQ3427" s="19"/>
      <c r="AR3427" s="19"/>
      <c r="AS3427" s="20" t="str">
        <f aca="false">HYPERLINK("http://www.openstreetmap.org/?mlat=30.9732&amp;mlon=46.7227&amp;zoom=12#map=12/30.9732/46.7227","Maplink1")</f>
        <v>Maplink1</v>
      </c>
      <c r="AT3427" s="20" t="str">
        <f aca="false">HYPERLINK("https://www.google.iq/maps/search/+30.9732,46.7227/@30.9732,46.7227,14z?hl=en","Maplink2")</f>
        <v>Maplink2</v>
      </c>
      <c r="AU3427" s="20" t="str">
        <f aca="false">HYPERLINK("http://www.bing.com/maps/?lvl=14&amp;sty=h&amp;cp=30.9732~46.7227&amp;sp=point.30.9732_46.7227","Maplink3")</f>
        <v>Maplink3</v>
      </c>
    </row>
    <row r="3428" customFormat="false" ht="15" hidden="false" customHeight="true" outlineLevel="0" collapsed="false">
      <c r="A3428" s="15" t="n">
        <v>8881</v>
      </c>
      <c r="B3428" s="16" t="s">
        <v>31</v>
      </c>
      <c r="C3428" s="16" t="s">
        <v>6501</v>
      </c>
      <c r="D3428" s="16" t="s">
        <v>6504</v>
      </c>
      <c r="E3428" s="17" t="s">
        <v>6505</v>
      </c>
      <c r="F3428" s="16" t="n">
        <v>30.958015</v>
      </c>
      <c r="G3428" s="16" t="n">
        <v>46.848845</v>
      </c>
      <c r="H3428" s="18" t="n">
        <v>5</v>
      </c>
      <c r="I3428" s="18" t="n">
        <v>30</v>
      </c>
      <c r="J3428" s="19"/>
      <c r="K3428" s="19"/>
      <c r="L3428" s="19"/>
      <c r="M3428" s="19"/>
      <c r="N3428" s="19"/>
      <c r="O3428" s="19"/>
      <c r="P3428" s="19"/>
      <c r="Q3428" s="19"/>
      <c r="R3428" s="19"/>
      <c r="S3428" s="19"/>
      <c r="T3428" s="19"/>
      <c r="U3428" s="19"/>
      <c r="V3428" s="19" t="n">
        <v>5</v>
      </c>
      <c r="W3428" s="19"/>
      <c r="X3428" s="19"/>
      <c r="Y3428" s="19"/>
      <c r="Z3428" s="19"/>
      <c r="AA3428" s="19"/>
      <c r="AB3428" s="19"/>
      <c r="AC3428" s="19"/>
      <c r="AD3428" s="19"/>
      <c r="AE3428" s="19"/>
      <c r="AF3428" s="19"/>
      <c r="AG3428" s="19"/>
      <c r="AH3428" s="19" t="n">
        <v>5</v>
      </c>
      <c r="AI3428" s="19"/>
      <c r="AJ3428" s="19"/>
      <c r="AK3428" s="19"/>
      <c r="AL3428" s="19"/>
      <c r="AM3428" s="19" t="n">
        <v>5</v>
      </c>
      <c r="AN3428" s="19"/>
      <c r="AO3428" s="19"/>
      <c r="AP3428" s="19"/>
      <c r="AQ3428" s="19"/>
      <c r="AR3428" s="19"/>
      <c r="AS3428" s="20" t="str">
        <f aca="false">HYPERLINK("http://www.openstreetmap.org/?mlat=30.958&amp;mlon=46.8488&amp;zoom=12#map=12/30.958/46.8488","Maplink1")</f>
        <v>Maplink1</v>
      </c>
      <c r="AT3428" s="20" t="str">
        <f aca="false">HYPERLINK("https://www.google.iq/maps/search/+30.958,46.8488/@30.958,46.8488,14z?hl=en","Maplink2")</f>
        <v>Maplink2</v>
      </c>
      <c r="AU3428" s="20" t="str">
        <f aca="false">HYPERLINK("http://www.bing.com/maps/?lvl=14&amp;sty=h&amp;cp=30.958~46.8488&amp;sp=point.30.958_46.8488","Maplink3")</f>
        <v>Maplink3</v>
      </c>
    </row>
    <row r="3429" customFormat="false" ht="15" hidden="false" customHeight="true" outlineLevel="0" collapsed="false">
      <c r="A3429" s="15" t="n">
        <v>10297</v>
      </c>
      <c r="B3429" s="16" t="s">
        <v>31</v>
      </c>
      <c r="C3429" s="16" t="s">
        <v>6506</v>
      </c>
      <c r="D3429" s="16" t="s">
        <v>6507</v>
      </c>
      <c r="E3429" s="17" t="s">
        <v>241</v>
      </c>
      <c r="F3429" s="16" t="n">
        <v>31.71307884</v>
      </c>
      <c r="G3429" s="16" t="n">
        <v>46.11447254</v>
      </c>
      <c r="H3429" s="18" t="n">
        <v>10</v>
      </c>
      <c r="I3429" s="18" t="n">
        <v>60</v>
      </c>
      <c r="J3429" s="19"/>
      <c r="K3429" s="19"/>
      <c r="L3429" s="19"/>
      <c r="M3429" s="19"/>
      <c r="N3429" s="19"/>
      <c r="O3429" s="19"/>
      <c r="P3429" s="19"/>
      <c r="Q3429" s="19"/>
      <c r="R3429" s="19" t="n">
        <v>8</v>
      </c>
      <c r="S3429" s="19"/>
      <c r="T3429" s="19"/>
      <c r="U3429" s="19"/>
      <c r="V3429" s="19"/>
      <c r="W3429" s="19"/>
      <c r="X3429" s="19" t="n">
        <v>2</v>
      </c>
      <c r="Y3429" s="19"/>
      <c r="Z3429" s="19"/>
      <c r="AA3429" s="19"/>
      <c r="AB3429" s="19"/>
      <c r="AC3429" s="19" t="n">
        <v>6</v>
      </c>
      <c r="AD3429" s="19"/>
      <c r="AE3429" s="19"/>
      <c r="AF3429" s="19"/>
      <c r="AG3429" s="19"/>
      <c r="AH3429" s="19" t="n">
        <v>4</v>
      </c>
      <c r="AI3429" s="19"/>
      <c r="AJ3429" s="19"/>
      <c r="AK3429" s="19"/>
      <c r="AL3429" s="19"/>
      <c r="AM3429" s="19" t="n">
        <v>10</v>
      </c>
      <c r="AN3429" s="19"/>
      <c r="AO3429" s="19"/>
      <c r="AP3429" s="19"/>
      <c r="AQ3429" s="19"/>
      <c r="AR3429" s="19"/>
      <c r="AS3429" s="20" t="str">
        <f aca="false">HYPERLINK("http://www.openstreetmap.org/?mlat=31.7131&amp;mlon=46.1145&amp;zoom=12#map=12/31.7131/46.1145","Maplink1")</f>
        <v>Maplink1</v>
      </c>
      <c r="AT3429" s="20" t="str">
        <f aca="false">HYPERLINK("https://www.google.iq/maps/search/+31.7131,46.1145/@31.7131,46.1145,14z?hl=en","Maplink2")</f>
        <v>Maplink2</v>
      </c>
      <c r="AU3429" s="20" t="str">
        <f aca="false">HYPERLINK("http://www.bing.com/maps/?lvl=14&amp;sty=h&amp;cp=31.7131~46.1145&amp;sp=point.31.7131_46.1145","Maplink3")</f>
        <v>Maplink3</v>
      </c>
    </row>
    <row r="3430" customFormat="false" ht="15" hidden="false" customHeight="true" outlineLevel="0" collapsed="false">
      <c r="A3430" s="15" t="n">
        <v>9096</v>
      </c>
      <c r="B3430" s="16" t="s">
        <v>31</v>
      </c>
      <c r="C3430" s="16" t="s">
        <v>6506</v>
      </c>
      <c r="D3430" s="16" t="s">
        <v>6508</v>
      </c>
      <c r="E3430" s="17" t="s">
        <v>6509</v>
      </c>
      <c r="F3430" s="16" t="n">
        <v>31.53697987</v>
      </c>
      <c r="G3430" s="16" t="n">
        <v>46.12401455</v>
      </c>
      <c r="H3430" s="18" t="n">
        <v>24</v>
      </c>
      <c r="I3430" s="18" t="n">
        <v>144</v>
      </c>
      <c r="J3430" s="19" t="n">
        <v>1</v>
      </c>
      <c r="K3430" s="19"/>
      <c r="L3430" s="19"/>
      <c r="M3430" s="19"/>
      <c r="N3430" s="19"/>
      <c r="O3430" s="19"/>
      <c r="P3430" s="19"/>
      <c r="Q3430" s="19"/>
      <c r="R3430" s="19"/>
      <c r="S3430" s="19"/>
      <c r="T3430" s="19"/>
      <c r="U3430" s="19"/>
      <c r="V3430" s="19" t="n">
        <v>19</v>
      </c>
      <c r="W3430" s="19"/>
      <c r="X3430" s="19" t="n">
        <v>4</v>
      </c>
      <c r="Y3430" s="19"/>
      <c r="Z3430" s="19"/>
      <c r="AA3430" s="19"/>
      <c r="AB3430" s="19"/>
      <c r="AC3430" s="19" t="n">
        <v>19</v>
      </c>
      <c r="AD3430" s="19"/>
      <c r="AE3430" s="19"/>
      <c r="AF3430" s="19"/>
      <c r="AG3430" s="19"/>
      <c r="AH3430" s="19" t="n">
        <v>5</v>
      </c>
      <c r="AI3430" s="19"/>
      <c r="AJ3430" s="19"/>
      <c r="AK3430" s="19"/>
      <c r="AL3430" s="19"/>
      <c r="AM3430" s="19" t="n">
        <v>10</v>
      </c>
      <c r="AN3430" s="19" t="n">
        <v>14</v>
      </c>
      <c r="AO3430" s="19"/>
      <c r="AP3430" s="19"/>
      <c r="AQ3430" s="19"/>
      <c r="AR3430" s="19"/>
      <c r="AS3430" s="20" t="str">
        <f aca="false">HYPERLINK("http://www.openstreetmap.org/?mlat=31.537&amp;mlon=46.124&amp;zoom=12#map=12/31.537/46.124","Maplink1")</f>
        <v>Maplink1</v>
      </c>
      <c r="AT3430" s="20" t="str">
        <f aca="false">HYPERLINK("https://www.google.iq/maps/search/+31.537,46.124/@31.537,46.124,14z?hl=en","Maplink2")</f>
        <v>Maplink2</v>
      </c>
      <c r="AU3430" s="20" t="str">
        <f aca="false">HYPERLINK("http://www.bing.com/maps/?lvl=14&amp;sty=h&amp;cp=31.537~46.124&amp;sp=point.31.537_46.124","Maplink3")</f>
        <v>Maplink3</v>
      </c>
    </row>
    <row r="3431" customFormat="false" ht="15" hidden="false" customHeight="true" outlineLevel="0" collapsed="false">
      <c r="A3431" s="15" t="n">
        <v>24722</v>
      </c>
      <c r="B3431" s="16" t="s">
        <v>31</v>
      </c>
      <c r="C3431" s="16" t="s">
        <v>6506</v>
      </c>
      <c r="D3431" s="16" t="s">
        <v>5733</v>
      </c>
      <c r="E3431" s="17" t="s">
        <v>572</v>
      </c>
      <c r="F3431" s="16" t="n">
        <v>31.722073</v>
      </c>
      <c r="G3431" s="16" t="n">
        <v>46.11406821</v>
      </c>
      <c r="H3431" s="18" t="n">
        <v>18</v>
      </c>
      <c r="I3431" s="18" t="n">
        <v>108</v>
      </c>
      <c r="J3431" s="19"/>
      <c r="K3431" s="19"/>
      <c r="L3431" s="19"/>
      <c r="M3431" s="19"/>
      <c r="N3431" s="19"/>
      <c r="O3431" s="19"/>
      <c r="P3431" s="19"/>
      <c r="Q3431" s="19"/>
      <c r="R3431" s="19"/>
      <c r="S3431" s="19"/>
      <c r="T3431" s="19"/>
      <c r="U3431" s="19"/>
      <c r="V3431" s="19" t="n">
        <v>18</v>
      </c>
      <c r="W3431" s="19"/>
      <c r="X3431" s="19"/>
      <c r="Y3431" s="19"/>
      <c r="Z3431" s="19"/>
      <c r="AA3431" s="19"/>
      <c r="AB3431" s="19"/>
      <c r="AC3431" s="19" t="n">
        <v>10</v>
      </c>
      <c r="AD3431" s="19"/>
      <c r="AE3431" s="19"/>
      <c r="AF3431" s="19"/>
      <c r="AG3431" s="19"/>
      <c r="AH3431" s="19" t="n">
        <v>8</v>
      </c>
      <c r="AI3431" s="19"/>
      <c r="AJ3431" s="19"/>
      <c r="AK3431" s="19"/>
      <c r="AL3431" s="19"/>
      <c r="AM3431" s="19" t="n">
        <v>18</v>
      </c>
      <c r="AN3431" s="19"/>
      <c r="AO3431" s="19"/>
      <c r="AP3431" s="19"/>
      <c r="AQ3431" s="19"/>
      <c r="AR3431" s="19"/>
      <c r="AS3431" s="20" t="str">
        <f aca="false">HYPERLINK("http://www.openstreetmap.org/?mlat=31.7221&amp;mlon=46.1141&amp;zoom=12#map=12/31.7221/46.1141","Maplink1")</f>
        <v>Maplink1</v>
      </c>
      <c r="AT3431" s="20" t="str">
        <f aca="false">HYPERLINK("https://www.google.iq/maps/search/+31.7221,46.1141/@31.7221,46.1141,14z?hl=en","Maplink2")</f>
        <v>Maplink2</v>
      </c>
      <c r="AU3431" s="20" t="str">
        <f aca="false">HYPERLINK("http://www.bing.com/maps/?lvl=14&amp;sty=h&amp;cp=31.7221~46.1141&amp;sp=point.31.7221_46.1141","Maplink3")</f>
        <v>Maplink3</v>
      </c>
    </row>
    <row r="3432" customFormat="false" ht="15" hidden="false" customHeight="true" outlineLevel="0" collapsed="false">
      <c r="A3432" s="15" t="n">
        <v>21965</v>
      </c>
      <c r="B3432" s="16" t="s">
        <v>31</v>
      </c>
      <c r="C3432" s="16" t="s">
        <v>6506</v>
      </c>
      <c r="D3432" s="16" t="s">
        <v>6510</v>
      </c>
      <c r="E3432" s="17" t="s">
        <v>6511</v>
      </c>
      <c r="F3432" s="16" t="n">
        <v>31.72111399</v>
      </c>
      <c r="G3432" s="16" t="n">
        <v>46.10473809</v>
      </c>
      <c r="H3432" s="18" t="n">
        <v>22</v>
      </c>
      <c r="I3432" s="18" t="n">
        <v>132</v>
      </c>
      <c r="J3432" s="19"/>
      <c r="K3432" s="19"/>
      <c r="L3432" s="19"/>
      <c r="M3432" s="19"/>
      <c r="N3432" s="19"/>
      <c r="O3432" s="19"/>
      <c r="P3432" s="19"/>
      <c r="Q3432" s="19"/>
      <c r="R3432" s="19"/>
      <c r="S3432" s="19"/>
      <c r="T3432" s="19"/>
      <c r="U3432" s="19"/>
      <c r="V3432" s="19" t="n">
        <v>16</v>
      </c>
      <c r="W3432" s="19"/>
      <c r="X3432" s="19" t="n">
        <v>6</v>
      </c>
      <c r="Y3432" s="19"/>
      <c r="Z3432" s="19"/>
      <c r="AA3432" s="19"/>
      <c r="AB3432" s="19"/>
      <c r="AC3432" s="19" t="n">
        <v>10</v>
      </c>
      <c r="AD3432" s="19"/>
      <c r="AE3432" s="19"/>
      <c r="AF3432" s="19"/>
      <c r="AG3432" s="19"/>
      <c r="AH3432" s="19" t="n">
        <v>12</v>
      </c>
      <c r="AI3432" s="19"/>
      <c r="AJ3432" s="19"/>
      <c r="AK3432" s="19"/>
      <c r="AL3432" s="19"/>
      <c r="AM3432" s="19" t="n">
        <v>16</v>
      </c>
      <c r="AN3432" s="19" t="n">
        <v>6</v>
      </c>
      <c r="AO3432" s="19"/>
      <c r="AP3432" s="19"/>
      <c r="AQ3432" s="19"/>
      <c r="AR3432" s="19"/>
      <c r="AS3432" s="20" t="str">
        <f aca="false">HYPERLINK("http://www.openstreetmap.org/?mlat=31.7211&amp;mlon=46.1047&amp;zoom=12#map=12/31.7211/46.1047","Maplink1")</f>
        <v>Maplink1</v>
      </c>
      <c r="AT3432" s="20" t="str">
        <f aca="false">HYPERLINK("https://www.google.iq/maps/search/+31.7211,46.1047/@31.7211,46.1047,14z?hl=en","Maplink2")</f>
        <v>Maplink2</v>
      </c>
      <c r="AU3432" s="20" t="str">
        <f aca="false">HYPERLINK("http://www.bing.com/maps/?lvl=14&amp;sty=h&amp;cp=31.7211~46.1047&amp;sp=point.31.7211_46.1047","Maplink3")</f>
        <v>Maplink3</v>
      </c>
    </row>
    <row r="3433" customFormat="false" ht="15" hidden="false" customHeight="true" outlineLevel="0" collapsed="false">
      <c r="A3433" s="15" t="n">
        <v>9040</v>
      </c>
      <c r="B3433" s="16" t="s">
        <v>31</v>
      </c>
      <c r="C3433" s="16" t="s">
        <v>6506</v>
      </c>
      <c r="D3433" s="16" t="s">
        <v>6512</v>
      </c>
      <c r="E3433" s="17" t="s">
        <v>6513</v>
      </c>
      <c r="F3433" s="16" t="n">
        <v>31.85899691</v>
      </c>
      <c r="G3433" s="16" t="n">
        <v>46.07834399</v>
      </c>
      <c r="H3433" s="18" t="n">
        <v>52</v>
      </c>
      <c r="I3433" s="18" t="n">
        <v>312</v>
      </c>
      <c r="J3433" s="19" t="n">
        <v>1</v>
      </c>
      <c r="K3433" s="19"/>
      <c r="L3433" s="19"/>
      <c r="M3433" s="19"/>
      <c r="N3433" s="19"/>
      <c r="O3433" s="19"/>
      <c r="P3433" s="19"/>
      <c r="Q3433" s="19"/>
      <c r="R3433" s="19" t="n">
        <v>9</v>
      </c>
      <c r="S3433" s="19"/>
      <c r="T3433" s="19"/>
      <c r="U3433" s="19"/>
      <c r="V3433" s="19" t="n">
        <v>40</v>
      </c>
      <c r="W3433" s="19"/>
      <c r="X3433" s="19" t="n">
        <v>2</v>
      </c>
      <c r="Y3433" s="19"/>
      <c r="Z3433" s="19"/>
      <c r="AA3433" s="19"/>
      <c r="AB3433" s="19"/>
      <c r="AC3433" s="19" t="n">
        <v>12</v>
      </c>
      <c r="AD3433" s="19"/>
      <c r="AE3433" s="19"/>
      <c r="AF3433" s="19"/>
      <c r="AG3433" s="19"/>
      <c r="AH3433" s="19" t="n">
        <v>40</v>
      </c>
      <c r="AI3433" s="19"/>
      <c r="AJ3433" s="19"/>
      <c r="AK3433" s="19"/>
      <c r="AL3433" s="19" t="n">
        <v>10</v>
      </c>
      <c r="AM3433" s="19" t="n">
        <v>12</v>
      </c>
      <c r="AN3433" s="19" t="n">
        <v>30</v>
      </c>
      <c r="AO3433" s="19"/>
      <c r="AP3433" s="19"/>
      <c r="AQ3433" s="19"/>
      <c r="AR3433" s="19"/>
      <c r="AS3433" s="20" t="str">
        <f aca="false">HYPERLINK("http://www.openstreetmap.org/?mlat=31.859&amp;mlon=46.0783&amp;zoom=12#map=12/31.859/46.0783","Maplink1")</f>
        <v>Maplink1</v>
      </c>
      <c r="AT3433" s="20" t="str">
        <f aca="false">HYPERLINK("https://www.google.iq/maps/search/+31.859,46.0783/@31.859,46.0783,14z?hl=en","Maplink2")</f>
        <v>Maplink2</v>
      </c>
      <c r="AU3433" s="20" t="str">
        <f aca="false">HYPERLINK("http://www.bing.com/maps/?lvl=14&amp;sty=h&amp;cp=31.859~46.0783&amp;sp=point.31.859_46.0783","Maplink3")</f>
        <v>Maplink3</v>
      </c>
    </row>
    <row r="3434" customFormat="false" ht="15" hidden="false" customHeight="true" outlineLevel="0" collapsed="false">
      <c r="A3434" s="15" t="n">
        <v>8889</v>
      </c>
      <c r="B3434" s="16" t="s">
        <v>31</v>
      </c>
      <c r="C3434" s="16" t="s">
        <v>6506</v>
      </c>
      <c r="D3434" s="16" t="s">
        <v>6514</v>
      </c>
      <c r="E3434" s="17" t="s">
        <v>6515</v>
      </c>
      <c r="F3434" s="16" t="n">
        <v>31.71547679</v>
      </c>
      <c r="G3434" s="16" t="n">
        <v>46.10182837</v>
      </c>
      <c r="H3434" s="18" t="n">
        <v>27</v>
      </c>
      <c r="I3434" s="18" t="n">
        <v>162</v>
      </c>
      <c r="J3434" s="19"/>
      <c r="K3434" s="19"/>
      <c r="L3434" s="19"/>
      <c r="M3434" s="19"/>
      <c r="N3434" s="19"/>
      <c r="O3434" s="19"/>
      <c r="P3434" s="19"/>
      <c r="Q3434" s="19"/>
      <c r="R3434" s="19" t="n">
        <v>7</v>
      </c>
      <c r="S3434" s="19"/>
      <c r="T3434" s="19"/>
      <c r="U3434" s="19"/>
      <c r="V3434" s="19" t="n">
        <v>20</v>
      </c>
      <c r="W3434" s="19"/>
      <c r="X3434" s="19"/>
      <c r="Y3434" s="19"/>
      <c r="Z3434" s="19"/>
      <c r="AA3434" s="19"/>
      <c r="AB3434" s="19"/>
      <c r="AC3434" s="19" t="n">
        <v>10</v>
      </c>
      <c r="AD3434" s="19"/>
      <c r="AE3434" s="19"/>
      <c r="AF3434" s="19"/>
      <c r="AG3434" s="19"/>
      <c r="AH3434" s="19" t="n">
        <v>17</v>
      </c>
      <c r="AI3434" s="19"/>
      <c r="AJ3434" s="19"/>
      <c r="AK3434" s="19"/>
      <c r="AL3434" s="19"/>
      <c r="AM3434" s="19"/>
      <c r="AN3434" s="19" t="n">
        <v>16</v>
      </c>
      <c r="AO3434" s="19" t="n">
        <v>11</v>
      </c>
      <c r="AP3434" s="19"/>
      <c r="AQ3434" s="19"/>
      <c r="AR3434" s="19"/>
      <c r="AS3434" s="20" t="str">
        <f aca="false">HYPERLINK("http://www.openstreetmap.org/?mlat=31.7155&amp;mlon=46.1018&amp;zoom=12#map=12/31.7155/46.1018","Maplink1")</f>
        <v>Maplink1</v>
      </c>
      <c r="AT3434" s="20" t="str">
        <f aca="false">HYPERLINK("https://www.google.iq/maps/search/+31.7155,46.1018/@31.7155,46.1018,14z?hl=en","Maplink2")</f>
        <v>Maplink2</v>
      </c>
      <c r="AU3434" s="20" t="str">
        <f aca="false">HYPERLINK("http://www.bing.com/maps/?lvl=14&amp;sty=h&amp;cp=31.7155~46.1018&amp;sp=point.31.7155_46.1018","Maplink3")</f>
        <v>Maplink3</v>
      </c>
    </row>
    <row r="3435" customFormat="false" ht="15" hidden="false" customHeight="true" outlineLevel="0" collapsed="false">
      <c r="A3435" s="15" t="n">
        <v>10250</v>
      </c>
      <c r="B3435" s="16" t="s">
        <v>31</v>
      </c>
      <c r="C3435" s="16" t="s">
        <v>6516</v>
      </c>
      <c r="D3435" s="16" t="s">
        <v>6517</v>
      </c>
      <c r="E3435" s="17" t="s">
        <v>6518</v>
      </c>
      <c r="F3435" s="16" t="n">
        <v>31.41168622</v>
      </c>
      <c r="G3435" s="16" t="n">
        <v>46.18590598</v>
      </c>
      <c r="H3435" s="18" t="n">
        <v>28</v>
      </c>
      <c r="I3435" s="18" t="n">
        <v>168</v>
      </c>
      <c r="J3435" s="19"/>
      <c r="K3435" s="19"/>
      <c r="L3435" s="19"/>
      <c r="M3435" s="19"/>
      <c r="N3435" s="19"/>
      <c r="O3435" s="19"/>
      <c r="P3435" s="19"/>
      <c r="Q3435" s="19"/>
      <c r="R3435" s="19"/>
      <c r="S3435" s="19"/>
      <c r="T3435" s="19"/>
      <c r="U3435" s="19"/>
      <c r="V3435" s="19" t="n">
        <v>28</v>
      </c>
      <c r="W3435" s="19"/>
      <c r="X3435" s="19"/>
      <c r="Y3435" s="19"/>
      <c r="Z3435" s="19"/>
      <c r="AA3435" s="19"/>
      <c r="AB3435" s="19"/>
      <c r="AC3435" s="19" t="n">
        <v>28</v>
      </c>
      <c r="AD3435" s="19"/>
      <c r="AE3435" s="19"/>
      <c r="AF3435" s="19"/>
      <c r="AG3435" s="19"/>
      <c r="AH3435" s="19"/>
      <c r="AI3435" s="19"/>
      <c r="AJ3435" s="19"/>
      <c r="AK3435" s="19"/>
      <c r="AL3435" s="19"/>
      <c r="AM3435" s="19"/>
      <c r="AN3435" s="19"/>
      <c r="AO3435" s="19" t="n">
        <v>28</v>
      </c>
      <c r="AP3435" s="19"/>
      <c r="AQ3435" s="19"/>
      <c r="AR3435" s="19"/>
      <c r="AS3435" s="20" t="str">
        <f aca="false">HYPERLINK("http://www.openstreetmap.org/?mlat=31.4117&amp;mlon=46.1859&amp;zoom=12#map=12/31.4117/46.1859","Maplink1")</f>
        <v>Maplink1</v>
      </c>
      <c r="AT3435" s="20" t="str">
        <f aca="false">HYPERLINK("https://www.google.iq/maps/search/+31.4117,46.1859/@31.4117,46.1859,14z?hl=en","Maplink2")</f>
        <v>Maplink2</v>
      </c>
      <c r="AU3435" s="20" t="str">
        <f aca="false">HYPERLINK("http://www.bing.com/maps/?lvl=14&amp;sty=h&amp;cp=31.4117~46.1859&amp;sp=point.31.4117_46.1859","Maplink3")</f>
        <v>Maplink3</v>
      </c>
    </row>
    <row r="3436" customFormat="false" ht="15" hidden="false" customHeight="true" outlineLevel="0" collapsed="false">
      <c r="A3436" s="15" t="n">
        <v>9880</v>
      </c>
      <c r="B3436" s="16" t="s">
        <v>31</v>
      </c>
      <c r="C3436" s="16" t="s">
        <v>6516</v>
      </c>
      <c r="D3436" s="16" t="s">
        <v>6519</v>
      </c>
      <c r="E3436" s="17" t="s">
        <v>6520</v>
      </c>
      <c r="F3436" s="16" t="n">
        <v>31.44857984</v>
      </c>
      <c r="G3436" s="16" t="n">
        <v>46.17304324</v>
      </c>
      <c r="H3436" s="18" t="n">
        <v>10</v>
      </c>
      <c r="I3436" s="18" t="n">
        <v>60</v>
      </c>
      <c r="J3436" s="19"/>
      <c r="K3436" s="19"/>
      <c r="L3436" s="19"/>
      <c r="M3436" s="19"/>
      <c r="N3436" s="19"/>
      <c r="O3436" s="19"/>
      <c r="P3436" s="19"/>
      <c r="Q3436" s="19"/>
      <c r="R3436" s="19"/>
      <c r="S3436" s="19"/>
      <c r="T3436" s="19"/>
      <c r="U3436" s="19"/>
      <c r="V3436" s="19" t="n">
        <v>10</v>
      </c>
      <c r="W3436" s="19"/>
      <c r="X3436" s="19"/>
      <c r="Y3436" s="19"/>
      <c r="Z3436" s="19"/>
      <c r="AA3436" s="19"/>
      <c r="AB3436" s="19"/>
      <c r="AC3436" s="19" t="n">
        <v>4</v>
      </c>
      <c r="AD3436" s="19"/>
      <c r="AE3436" s="19"/>
      <c r="AF3436" s="19"/>
      <c r="AG3436" s="19"/>
      <c r="AH3436" s="19" t="n">
        <v>6</v>
      </c>
      <c r="AI3436" s="19"/>
      <c r="AJ3436" s="19"/>
      <c r="AK3436" s="19"/>
      <c r="AL3436" s="19"/>
      <c r="AM3436" s="19" t="n">
        <v>8</v>
      </c>
      <c r="AN3436" s="19" t="n">
        <v>2</v>
      </c>
      <c r="AO3436" s="19"/>
      <c r="AP3436" s="19"/>
      <c r="AQ3436" s="19"/>
      <c r="AR3436" s="19"/>
      <c r="AS3436" s="20" t="str">
        <f aca="false">HYPERLINK("http://www.openstreetmap.org/?mlat=31.4486&amp;mlon=46.173&amp;zoom=12#map=12/31.4486/46.173","Maplink1")</f>
        <v>Maplink1</v>
      </c>
      <c r="AT3436" s="20" t="str">
        <f aca="false">HYPERLINK("https://www.google.iq/maps/search/+31.4486,46.173/@31.4486,46.173,14z?hl=en","Maplink2")</f>
        <v>Maplink2</v>
      </c>
      <c r="AU3436" s="20" t="str">
        <f aca="false">HYPERLINK("http://www.bing.com/maps/?lvl=14&amp;sty=h&amp;cp=31.4486~46.173&amp;sp=point.31.4486_46.173","Maplink3")</f>
        <v>Maplink3</v>
      </c>
    </row>
    <row r="3437" customFormat="false" ht="15" hidden="false" customHeight="true" outlineLevel="0" collapsed="false">
      <c r="A3437" s="15" t="n">
        <v>8888</v>
      </c>
      <c r="B3437" s="16" t="s">
        <v>31</v>
      </c>
      <c r="C3437" s="16" t="s">
        <v>6516</v>
      </c>
      <c r="D3437" s="16" t="s">
        <v>6521</v>
      </c>
      <c r="E3437" s="17" t="s">
        <v>6522</v>
      </c>
      <c r="F3437" s="16" t="n">
        <v>31.49752915</v>
      </c>
      <c r="G3437" s="16" t="n">
        <v>46.37465025</v>
      </c>
      <c r="H3437" s="18" t="n">
        <v>41</v>
      </c>
      <c r="I3437" s="18" t="n">
        <v>246</v>
      </c>
      <c r="J3437" s="19" t="n">
        <v>1</v>
      </c>
      <c r="K3437" s="19"/>
      <c r="L3437" s="19"/>
      <c r="M3437" s="19"/>
      <c r="N3437" s="19"/>
      <c r="O3437" s="19"/>
      <c r="P3437" s="19"/>
      <c r="Q3437" s="19"/>
      <c r="R3437" s="19"/>
      <c r="S3437" s="19"/>
      <c r="T3437" s="19"/>
      <c r="U3437" s="19"/>
      <c r="V3437" s="19" t="n">
        <v>40</v>
      </c>
      <c r="W3437" s="19"/>
      <c r="X3437" s="19"/>
      <c r="Y3437" s="19"/>
      <c r="Z3437" s="19"/>
      <c r="AA3437" s="19"/>
      <c r="AB3437" s="19"/>
      <c r="AC3437" s="19" t="n">
        <v>30</v>
      </c>
      <c r="AD3437" s="19"/>
      <c r="AE3437" s="19"/>
      <c r="AF3437" s="19"/>
      <c r="AG3437" s="19"/>
      <c r="AH3437" s="19" t="n">
        <v>11</v>
      </c>
      <c r="AI3437" s="19"/>
      <c r="AJ3437" s="19"/>
      <c r="AK3437" s="19"/>
      <c r="AL3437" s="19"/>
      <c r="AM3437" s="19"/>
      <c r="AN3437" s="19" t="n">
        <v>40</v>
      </c>
      <c r="AO3437" s="19"/>
      <c r="AP3437" s="19" t="n">
        <v>1</v>
      </c>
      <c r="AQ3437" s="19"/>
      <c r="AR3437" s="19"/>
      <c r="AS3437" s="20" t="str">
        <f aca="false">HYPERLINK("http://www.openstreetmap.org/?mlat=31.4975&amp;mlon=46.3747&amp;zoom=12#map=12/31.4975/46.3747","Maplink1")</f>
        <v>Maplink1</v>
      </c>
      <c r="AT3437" s="20" t="str">
        <f aca="false">HYPERLINK("https://www.google.iq/maps/search/+31.4975,46.3747/@31.4975,46.3747,14z?hl=en","Maplink2")</f>
        <v>Maplink2</v>
      </c>
      <c r="AU3437" s="20" t="str">
        <f aca="false">HYPERLINK("http://www.bing.com/maps/?lvl=14&amp;sty=h&amp;cp=31.4975~46.3747&amp;sp=point.31.4975_46.3747","Maplink3")</f>
        <v>Maplink3</v>
      </c>
    </row>
    <row r="3438" customFormat="false" ht="15" hidden="false" customHeight="true" outlineLevel="0" collapsed="false">
      <c r="A3438" s="15" t="n">
        <v>8886</v>
      </c>
      <c r="B3438" s="16" t="s">
        <v>31</v>
      </c>
      <c r="C3438" s="16" t="s">
        <v>6516</v>
      </c>
      <c r="D3438" s="16" t="s">
        <v>6523</v>
      </c>
      <c r="E3438" s="17" t="s">
        <v>6524</v>
      </c>
      <c r="F3438" s="16" t="n">
        <v>31.29637688</v>
      </c>
      <c r="G3438" s="16" t="n">
        <v>46.2408177</v>
      </c>
      <c r="H3438" s="18" t="n">
        <v>10</v>
      </c>
      <c r="I3438" s="18" t="n">
        <v>60</v>
      </c>
      <c r="J3438" s="19"/>
      <c r="K3438" s="19"/>
      <c r="L3438" s="19"/>
      <c r="M3438" s="19"/>
      <c r="N3438" s="19"/>
      <c r="O3438" s="19"/>
      <c r="P3438" s="19"/>
      <c r="Q3438" s="19"/>
      <c r="R3438" s="19"/>
      <c r="S3438" s="19"/>
      <c r="T3438" s="19"/>
      <c r="U3438" s="19"/>
      <c r="V3438" s="19" t="n">
        <v>10</v>
      </c>
      <c r="W3438" s="19"/>
      <c r="X3438" s="19"/>
      <c r="Y3438" s="19"/>
      <c r="Z3438" s="19"/>
      <c r="AA3438" s="19"/>
      <c r="AB3438" s="19"/>
      <c r="AC3438" s="19" t="n">
        <v>10</v>
      </c>
      <c r="AD3438" s="19"/>
      <c r="AE3438" s="19"/>
      <c r="AF3438" s="19"/>
      <c r="AG3438" s="19"/>
      <c r="AH3438" s="19"/>
      <c r="AI3438" s="19"/>
      <c r="AJ3438" s="19"/>
      <c r="AK3438" s="19"/>
      <c r="AL3438" s="19"/>
      <c r="AM3438" s="19"/>
      <c r="AN3438" s="19" t="n">
        <v>10</v>
      </c>
      <c r="AO3438" s="19"/>
      <c r="AP3438" s="19"/>
      <c r="AQ3438" s="19"/>
      <c r="AR3438" s="19"/>
      <c r="AS3438" s="20" t="str">
        <f aca="false">HYPERLINK("http://www.openstreetmap.org/?mlat=31.2964&amp;mlon=46.2408&amp;zoom=12#map=12/31.2964/46.2408","Maplink1")</f>
        <v>Maplink1</v>
      </c>
      <c r="AT3438" s="20" t="str">
        <f aca="false">HYPERLINK("https://www.google.iq/maps/search/+31.2964,46.2408/@31.2964,46.2408,14z?hl=en","Maplink2")</f>
        <v>Maplink2</v>
      </c>
      <c r="AU3438" s="20" t="str">
        <f aca="false">HYPERLINK("http://www.bing.com/maps/?lvl=14&amp;sty=h&amp;cp=31.2964~46.2408&amp;sp=point.31.2964_46.2408","Maplink3")</f>
        <v>Maplink3</v>
      </c>
    </row>
    <row r="3439" customFormat="false" ht="15" hidden="false" customHeight="true" outlineLevel="0" collapsed="false">
      <c r="A3439" s="15" t="n">
        <v>24538</v>
      </c>
      <c r="B3439" s="16" t="s">
        <v>31</v>
      </c>
      <c r="C3439" s="16" t="s">
        <v>6516</v>
      </c>
      <c r="D3439" s="16" t="s">
        <v>6525</v>
      </c>
      <c r="E3439" s="17" t="s">
        <v>6526</v>
      </c>
      <c r="F3439" s="16" t="n">
        <v>31.40287364</v>
      </c>
      <c r="G3439" s="16" t="n">
        <v>46.16620534</v>
      </c>
      <c r="H3439" s="18" t="n">
        <v>48</v>
      </c>
      <c r="I3439" s="18" t="n">
        <v>288</v>
      </c>
      <c r="J3439" s="19" t="n">
        <v>9</v>
      </c>
      <c r="K3439" s="19"/>
      <c r="L3439" s="19"/>
      <c r="M3439" s="19"/>
      <c r="N3439" s="19"/>
      <c r="O3439" s="19"/>
      <c r="P3439" s="19"/>
      <c r="Q3439" s="19"/>
      <c r="R3439" s="19"/>
      <c r="S3439" s="19"/>
      <c r="T3439" s="19"/>
      <c r="U3439" s="19"/>
      <c r="V3439" s="19" t="n">
        <v>39</v>
      </c>
      <c r="W3439" s="19"/>
      <c r="X3439" s="19"/>
      <c r="Y3439" s="19"/>
      <c r="Z3439" s="19"/>
      <c r="AA3439" s="19"/>
      <c r="AB3439" s="19"/>
      <c r="AC3439" s="19" t="n">
        <v>20</v>
      </c>
      <c r="AD3439" s="19"/>
      <c r="AE3439" s="19"/>
      <c r="AF3439" s="19"/>
      <c r="AG3439" s="19"/>
      <c r="AH3439" s="19" t="n">
        <v>28</v>
      </c>
      <c r="AI3439" s="19"/>
      <c r="AJ3439" s="19"/>
      <c r="AK3439" s="19"/>
      <c r="AL3439" s="19"/>
      <c r="AM3439" s="19"/>
      <c r="AN3439" s="19" t="n">
        <v>36</v>
      </c>
      <c r="AO3439" s="19"/>
      <c r="AP3439" s="19" t="n">
        <v>12</v>
      </c>
      <c r="AQ3439" s="19"/>
      <c r="AR3439" s="19"/>
      <c r="AS3439" s="20" t="str">
        <f aca="false">HYPERLINK("http://www.openstreetmap.org/?mlat=31.4029&amp;mlon=46.1662&amp;zoom=12#map=12/31.4029/46.1662","Maplink1")</f>
        <v>Maplink1</v>
      </c>
      <c r="AT3439" s="20" t="str">
        <f aca="false">HYPERLINK("https://www.google.iq/maps/search/+31.4029,46.1662/@31.4029,46.1662,14z?hl=en","Maplink2")</f>
        <v>Maplink2</v>
      </c>
      <c r="AU3439" s="20" t="str">
        <f aca="false">HYPERLINK("http://www.bing.com/maps/?lvl=14&amp;sty=h&amp;cp=31.4029~46.1662&amp;sp=point.31.4029_46.1662","Maplink3")</f>
        <v>Maplink3</v>
      </c>
    </row>
    <row r="3440" customFormat="false" ht="15" hidden="false" customHeight="true" outlineLevel="0" collapsed="false">
      <c r="A3440" s="15" t="n">
        <v>21209</v>
      </c>
      <c r="B3440" s="16" t="s">
        <v>31</v>
      </c>
      <c r="C3440" s="16" t="s">
        <v>6516</v>
      </c>
      <c r="D3440" s="16" t="s">
        <v>6527</v>
      </c>
      <c r="E3440" s="17" t="s">
        <v>6528</v>
      </c>
      <c r="F3440" s="16" t="n">
        <v>31.41035155</v>
      </c>
      <c r="G3440" s="16" t="n">
        <v>46.16005407</v>
      </c>
      <c r="H3440" s="18" t="n">
        <v>42</v>
      </c>
      <c r="I3440" s="18" t="n">
        <v>252</v>
      </c>
      <c r="J3440" s="19" t="n">
        <v>4</v>
      </c>
      <c r="K3440" s="19"/>
      <c r="L3440" s="19"/>
      <c r="M3440" s="19"/>
      <c r="N3440" s="19"/>
      <c r="O3440" s="19"/>
      <c r="P3440" s="19"/>
      <c r="Q3440" s="19"/>
      <c r="R3440" s="19"/>
      <c r="S3440" s="19"/>
      <c r="T3440" s="19"/>
      <c r="U3440" s="19"/>
      <c r="V3440" s="19" t="n">
        <v>38</v>
      </c>
      <c r="W3440" s="19"/>
      <c r="X3440" s="19"/>
      <c r="Y3440" s="19"/>
      <c r="Z3440" s="19"/>
      <c r="AA3440" s="19"/>
      <c r="AB3440" s="19"/>
      <c r="AC3440" s="19" t="n">
        <v>18</v>
      </c>
      <c r="AD3440" s="19"/>
      <c r="AE3440" s="19"/>
      <c r="AF3440" s="19"/>
      <c r="AG3440" s="19"/>
      <c r="AH3440" s="19" t="n">
        <v>24</v>
      </c>
      <c r="AI3440" s="19"/>
      <c r="AJ3440" s="19"/>
      <c r="AK3440" s="19"/>
      <c r="AL3440" s="19"/>
      <c r="AM3440" s="19"/>
      <c r="AN3440" s="19" t="n">
        <v>38</v>
      </c>
      <c r="AO3440" s="19"/>
      <c r="AP3440" s="19" t="n">
        <v>4</v>
      </c>
      <c r="AQ3440" s="19"/>
      <c r="AR3440" s="19"/>
      <c r="AS3440" s="20" t="str">
        <f aca="false">HYPERLINK("http://www.openstreetmap.org/?mlat=31.4104&amp;mlon=46.1601&amp;zoom=12#map=12/31.4104/46.1601","Maplink1")</f>
        <v>Maplink1</v>
      </c>
      <c r="AT3440" s="20" t="str">
        <f aca="false">HYPERLINK("https://www.google.iq/maps/search/+31.4104,46.1601/@31.4104,46.1601,14z?hl=en","Maplink2")</f>
        <v>Maplink2</v>
      </c>
      <c r="AU3440" s="20" t="str">
        <f aca="false">HYPERLINK("http://www.bing.com/maps/?lvl=14&amp;sty=h&amp;cp=31.4104~46.1601&amp;sp=point.31.4104_46.1601","Maplink3")</f>
        <v>Maplink3</v>
      </c>
    </row>
    <row r="3441" customFormat="false" ht="15" hidden="false" customHeight="true" outlineLevel="0" collapsed="false">
      <c r="A3441" s="15" t="n">
        <v>9848</v>
      </c>
      <c r="B3441" s="16" t="s">
        <v>31</v>
      </c>
      <c r="C3441" s="16" t="s">
        <v>6516</v>
      </c>
      <c r="D3441" s="16" t="s">
        <v>6529</v>
      </c>
      <c r="E3441" s="17" t="s">
        <v>6530</v>
      </c>
      <c r="F3441" s="16" t="n">
        <v>31.4106313</v>
      </c>
      <c r="G3441" s="16" t="n">
        <v>46.18256306</v>
      </c>
      <c r="H3441" s="18" t="n">
        <v>10</v>
      </c>
      <c r="I3441" s="18" t="n">
        <v>60</v>
      </c>
      <c r="J3441" s="19" t="n">
        <v>1</v>
      </c>
      <c r="K3441" s="19"/>
      <c r="L3441" s="19"/>
      <c r="M3441" s="19"/>
      <c r="N3441" s="19"/>
      <c r="O3441" s="19"/>
      <c r="P3441" s="19"/>
      <c r="Q3441" s="19"/>
      <c r="R3441" s="19"/>
      <c r="S3441" s="19"/>
      <c r="T3441" s="19"/>
      <c r="U3441" s="19"/>
      <c r="V3441" s="19" t="n">
        <v>8</v>
      </c>
      <c r="W3441" s="19"/>
      <c r="X3441" s="19" t="n">
        <v>1</v>
      </c>
      <c r="Y3441" s="19"/>
      <c r="Z3441" s="19"/>
      <c r="AA3441" s="19"/>
      <c r="AB3441" s="19"/>
      <c r="AC3441" s="19" t="n">
        <v>6</v>
      </c>
      <c r="AD3441" s="19"/>
      <c r="AE3441" s="19"/>
      <c r="AF3441" s="19"/>
      <c r="AG3441" s="19" t="n">
        <v>4</v>
      </c>
      <c r="AH3441" s="19"/>
      <c r="AI3441" s="19"/>
      <c r="AJ3441" s="19"/>
      <c r="AK3441" s="19"/>
      <c r="AL3441" s="19"/>
      <c r="AM3441" s="19" t="n">
        <v>1</v>
      </c>
      <c r="AN3441" s="19" t="n">
        <v>8</v>
      </c>
      <c r="AO3441" s="19"/>
      <c r="AP3441" s="19" t="n">
        <v>1</v>
      </c>
      <c r="AQ3441" s="19"/>
      <c r="AR3441" s="19"/>
      <c r="AS3441" s="20" t="str">
        <f aca="false">HYPERLINK("http://www.openstreetmap.org/?mlat=31.4106&amp;mlon=46.1826&amp;zoom=12#map=12/31.4106/46.1826","Maplink1")</f>
        <v>Maplink1</v>
      </c>
      <c r="AT3441" s="20" t="str">
        <f aca="false">HYPERLINK("https://www.google.iq/maps/search/+31.4106,46.1826/@31.4106,46.1826,14z?hl=en","Maplink2")</f>
        <v>Maplink2</v>
      </c>
      <c r="AU3441" s="20" t="str">
        <f aca="false">HYPERLINK("http://www.bing.com/maps/?lvl=14&amp;sty=h&amp;cp=31.4106~46.1826&amp;sp=point.31.4106_46.1826","Maplink3")</f>
        <v>Maplink3</v>
      </c>
    </row>
    <row r="3442" customFormat="false" ht="15" hidden="false" customHeight="true" outlineLevel="0" collapsed="false">
      <c r="A3442" s="15" t="n">
        <v>9822</v>
      </c>
      <c r="B3442" s="16" t="s">
        <v>31</v>
      </c>
      <c r="C3442" s="16" t="s">
        <v>6516</v>
      </c>
      <c r="D3442" s="16" t="s">
        <v>6531</v>
      </c>
      <c r="E3442" s="17" t="s">
        <v>6532</v>
      </c>
      <c r="F3442" s="16" t="n">
        <v>31.40833749</v>
      </c>
      <c r="G3442" s="16" t="n">
        <v>46.17964875</v>
      </c>
      <c r="H3442" s="18" t="n">
        <v>22</v>
      </c>
      <c r="I3442" s="18" t="n">
        <v>132</v>
      </c>
      <c r="J3442" s="19" t="n">
        <v>4</v>
      </c>
      <c r="K3442" s="19"/>
      <c r="L3442" s="19"/>
      <c r="M3442" s="19"/>
      <c r="N3442" s="19"/>
      <c r="O3442" s="19" t="n">
        <v>1</v>
      </c>
      <c r="P3442" s="19"/>
      <c r="Q3442" s="19"/>
      <c r="R3442" s="19"/>
      <c r="S3442" s="19"/>
      <c r="T3442" s="19"/>
      <c r="U3442" s="19"/>
      <c r="V3442" s="19" t="n">
        <v>14</v>
      </c>
      <c r="W3442" s="19"/>
      <c r="X3442" s="19" t="n">
        <v>3</v>
      </c>
      <c r="Y3442" s="19"/>
      <c r="Z3442" s="19"/>
      <c r="AA3442" s="19"/>
      <c r="AB3442" s="19"/>
      <c r="AC3442" s="19" t="n">
        <v>20</v>
      </c>
      <c r="AD3442" s="19"/>
      <c r="AE3442" s="19"/>
      <c r="AF3442" s="19"/>
      <c r="AG3442" s="19"/>
      <c r="AH3442" s="19" t="n">
        <v>2</v>
      </c>
      <c r="AI3442" s="19"/>
      <c r="AJ3442" s="19"/>
      <c r="AK3442" s="19"/>
      <c r="AL3442" s="19" t="n">
        <v>4</v>
      </c>
      <c r="AM3442" s="19" t="n">
        <v>2</v>
      </c>
      <c r="AN3442" s="19" t="n">
        <v>16</v>
      </c>
      <c r="AO3442" s="19"/>
      <c r="AP3442" s="19"/>
      <c r="AQ3442" s="19"/>
      <c r="AR3442" s="19"/>
      <c r="AS3442" s="20" t="str">
        <f aca="false">HYPERLINK("http://www.openstreetmap.org/?mlat=31.4083&amp;mlon=46.1796&amp;zoom=12#map=12/31.4083/46.1796","Maplink1")</f>
        <v>Maplink1</v>
      </c>
      <c r="AT3442" s="20" t="str">
        <f aca="false">HYPERLINK("https://www.google.iq/maps/search/+31.4083,46.1796/@31.4083,46.1796,14z?hl=en","Maplink2")</f>
        <v>Maplink2</v>
      </c>
      <c r="AU3442" s="20" t="str">
        <f aca="false">HYPERLINK("http://www.bing.com/maps/?lvl=14&amp;sty=h&amp;cp=31.4083~46.1796&amp;sp=point.31.4083_46.1796","Maplink3")</f>
        <v>Maplink3</v>
      </c>
    </row>
    <row r="3443" customFormat="false" ht="15" hidden="false" customHeight="true" outlineLevel="0" collapsed="false">
      <c r="A3443" s="15" t="n">
        <v>9188</v>
      </c>
      <c r="B3443" s="16" t="s">
        <v>31</v>
      </c>
      <c r="C3443" s="16" t="s">
        <v>6516</v>
      </c>
      <c r="D3443" s="16" t="s">
        <v>6533</v>
      </c>
      <c r="E3443" s="17" t="s">
        <v>6534</v>
      </c>
      <c r="F3443" s="16" t="n">
        <v>31.439278</v>
      </c>
      <c r="G3443" s="16" t="n">
        <v>46.170621</v>
      </c>
      <c r="H3443" s="18" t="n">
        <v>5</v>
      </c>
      <c r="I3443" s="18" t="n">
        <v>30</v>
      </c>
      <c r="J3443" s="19"/>
      <c r="K3443" s="19"/>
      <c r="L3443" s="19"/>
      <c r="M3443" s="19"/>
      <c r="N3443" s="19"/>
      <c r="O3443" s="19"/>
      <c r="P3443" s="19"/>
      <c r="Q3443" s="19"/>
      <c r="R3443" s="19"/>
      <c r="S3443" s="19"/>
      <c r="T3443" s="19"/>
      <c r="U3443" s="19"/>
      <c r="V3443" s="19" t="n">
        <v>5</v>
      </c>
      <c r="W3443" s="19"/>
      <c r="X3443" s="19"/>
      <c r="Y3443" s="19"/>
      <c r="Z3443" s="19"/>
      <c r="AA3443" s="19"/>
      <c r="AB3443" s="19"/>
      <c r="AC3443" s="19"/>
      <c r="AD3443" s="19"/>
      <c r="AE3443" s="19"/>
      <c r="AF3443" s="19"/>
      <c r="AG3443" s="19"/>
      <c r="AH3443" s="19"/>
      <c r="AI3443" s="19"/>
      <c r="AJ3443" s="19" t="n">
        <v>5</v>
      </c>
      <c r="AK3443" s="19"/>
      <c r="AL3443" s="19"/>
      <c r="AM3443" s="19" t="n">
        <v>5</v>
      </c>
      <c r="AN3443" s="19"/>
      <c r="AO3443" s="19"/>
      <c r="AP3443" s="19"/>
      <c r="AQ3443" s="19"/>
      <c r="AR3443" s="19"/>
      <c r="AS3443" s="20" t="str">
        <f aca="false">HYPERLINK("http://www.openstreetmap.org/?mlat=31.4393&amp;mlon=46.1706&amp;zoom=12#map=12/31.4393/46.1706","Maplink1")</f>
        <v>Maplink1</v>
      </c>
      <c r="AT3443" s="20" t="str">
        <f aca="false">HYPERLINK("https://www.google.iq/maps/search/+31.4393,46.1706/@31.4393,46.1706,14z?hl=en","Maplink2")</f>
        <v>Maplink2</v>
      </c>
      <c r="AU3443" s="20" t="str">
        <f aca="false">HYPERLINK("http://www.bing.com/maps/?lvl=14&amp;sty=h&amp;cp=31.4393~46.1706&amp;sp=point.31.4393_46.1706","Maplink3")</f>
        <v>Maplink3</v>
      </c>
    </row>
    <row r="3444" customFormat="false" ht="15" hidden="false" customHeight="true" outlineLevel="0" collapsed="false">
      <c r="A3444" s="15" t="n">
        <v>10286</v>
      </c>
      <c r="B3444" s="16" t="s">
        <v>31</v>
      </c>
      <c r="C3444" s="16" t="s">
        <v>6516</v>
      </c>
      <c r="D3444" s="16" t="s">
        <v>6535</v>
      </c>
      <c r="E3444" s="17" t="s">
        <v>2027</v>
      </c>
      <c r="F3444" s="16" t="n">
        <v>31.411603</v>
      </c>
      <c r="G3444" s="16" t="n">
        <v>46.179587</v>
      </c>
      <c r="H3444" s="18" t="n">
        <v>3</v>
      </c>
      <c r="I3444" s="18" t="n">
        <v>18</v>
      </c>
      <c r="J3444" s="19" t="n">
        <v>3</v>
      </c>
      <c r="K3444" s="19"/>
      <c r="L3444" s="19"/>
      <c r="M3444" s="19"/>
      <c r="N3444" s="19"/>
      <c r="O3444" s="19"/>
      <c r="P3444" s="19"/>
      <c r="Q3444" s="19"/>
      <c r="R3444" s="19"/>
      <c r="S3444" s="19"/>
      <c r="T3444" s="19"/>
      <c r="U3444" s="19"/>
      <c r="V3444" s="19"/>
      <c r="W3444" s="19"/>
      <c r="X3444" s="19"/>
      <c r="Y3444" s="19"/>
      <c r="Z3444" s="19"/>
      <c r="AA3444" s="19"/>
      <c r="AB3444" s="19"/>
      <c r="AC3444" s="19"/>
      <c r="AD3444" s="19"/>
      <c r="AE3444" s="19"/>
      <c r="AF3444" s="19"/>
      <c r="AG3444" s="19"/>
      <c r="AH3444" s="19" t="n">
        <v>3</v>
      </c>
      <c r="AI3444" s="19"/>
      <c r="AJ3444" s="19"/>
      <c r="AK3444" s="19"/>
      <c r="AL3444" s="19"/>
      <c r="AM3444" s="19" t="n">
        <v>3</v>
      </c>
      <c r="AN3444" s="19"/>
      <c r="AO3444" s="19"/>
      <c r="AP3444" s="19"/>
      <c r="AQ3444" s="19"/>
      <c r="AR3444" s="19"/>
      <c r="AS3444" s="20" t="str">
        <f aca="false">HYPERLINK("http://www.openstreetmap.org/?mlat=31.4116&amp;mlon=46.1796&amp;zoom=12#map=12/31.4116/46.1796","Maplink1")</f>
        <v>Maplink1</v>
      </c>
      <c r="AT3444" s="20" t="str">
        <f aca="false">HYPERLINK("https://www.google.iq/maps/search/+31.4116,46.1796/@31.4116,46.1796,14z?hl=en","Maplink2")</f>
        <v>Maplink2</v>
      </c>
      <c r="AU3444" s="20" t="str">
        <f aca="false">HYPERLINK("http://www.bing.com/maps/?lvl=14&amp;sty=h&amp;cp=31.4116~46.1796&amp;sp=point.31.4116_46.1796","Maplink3")</f>
        <v>Maplink3</v>
      </c>
    </row>
    <row r="3445" customFormat="false" ht="15" hidden="false" customHeight="true" outlineLevel="0" collapsed="false">
      <c r="A3445" s="15" t="n">
        <v>27273</v>
      </c>
      <c r="B3445" s="16" t="s">
        <v>31</v>
      </c>
      <c r="C3445" s="16" t="s">
        <v>6516</v>
      </c>
      <c r="D3445" s="16" t="s">
        <v>6536</v>
      </c>
      <c r="E3445" s="17" t="s">
        <v>6537</v>
      </c>
      <c r="F3445" s="16" t="n">
        <v>31.46542732</v>
      </c>
      <c r="G3445" s="16" t="n">
        <v>46.19900146</v>
      </c>
      <c r="H3445" s="18" t="n">
        <v>20</v>
      </c>
      <c r="I3445" s="18" t="n">
        <v>120</v>
      </c>
      <c r="J3445" s="19"/>
      <c r="K3445" s="19"/>
      <c r="L3445" s="19"/>
      <c r="M3445" s="19"/>
      <c r="N3445" s="19"/>
      <c r="O3445" s="19"/>
      <c r="P3445" s="19"/>
      <c r="Q3445" s="19"/>
      <c r="R3445" s="19"/>
      <c r="S3445" s="19"/>
      <c r="T3445" s="19"/>
      <c r="U3445" s="19"/>
      <c r="V3445" s="19" t="n">
        <v>20</v>
      </c>
      <c r="W3445" s="19"/>
      <c r="X3445" s="19"/>
      <c r="Y3445" s="19"/>
      <c r="Z3445" s="19"/>
      <c r="AA3445" s="19"/>
      <c r="AB3445" s="19"/>
      <c r="AC3445" s="19"/>
      <c r="AD3445" s="19"/>
      <c r="AE3445" s="19"/>
      <c r="AF3445" s="19" t="n">
        <v>20</v>
      </c>
      <c r="AG3445" s="19"/>
      <c r="AH3445" s="19"/>
      <c r="AI3445" s="19"/>
      <c r="AJ3445" s="19"/>
      <c r="AK3445" s="19"/>
      <c r="AL3445" s="19"/>
      <c r="AM3445" s="19"/>
      <c r="AN3445" s="19" t="n">
        <v>6</v>
      </c>
      <c r="AO3445" s="19" t="n">
        <v>14</v>
      </c>
      <c r="AP3445" s="19"/>
      <c r="AQ3445" s="19"/>
      <c r="AR3445" s="19"/>
      <c r="AS3445" s="20" t="str">
        <f aca="false">HYPERLINK("http://www.openstreetmap.org/?mlat=31.4654&amp;mlon=46.199&amp;zoom=12#map=12/31.4654/46.199","Maplink1")</f>
        <v>Maplink1</v>
      </c>
      <c r="AT3445" s="20" t="str">
        <f aca="false">HYPERLINK("https://www.google.iq/maps/search/+31.4654,46.199/@31.4654,46.199,14z?hl=en","Maplink2")</f>
        <v>Maplink2</v>
      </c>
      <c r="AU3445" s="20" t="str">
        <f aca="false">HYPERLINK("http://www.bing.com/maps/?lvl=14&amp;sty=h&amp;cp=31.4654~46.199&amp;sp=point.31.4654_46.199","Maplink3")</f>
        <v>Maplink3</v>
      </c>
    </row>
    <row r="3446" customFormat="false" ht="15" hidden="false" customHeight="true" outlineLevel="0" collapsed="false">
      <c r="A3446" s="15" t="n">
        <v>24494</v>
      </c>
      <c r="B3446" s="16" t="s">
        <v>31</v>
      </c>
      <c r="C3446" s="16" t="s">
        <v>6538</v>
      </c>
      <c r="D3446" s="16" t="s">
        <v>6539</v>
      </c>
      <c r="E3446" s="17" t="s">
        <v>6540</v>
      </c>
      <c r="F3446" s="16" t="n">
        <v>31.03400228</v>
      </c>
      <c r="G3446" s="16" t="n">
        <v>46.19031575</v>
      </c>
      <c r="H3446" s="18" t="n">
        <v>4</v>
      </c>
      <c r="I3446" s="18" t="n">
        <v>24</v>
      </c>
      <c r="J3446" s="19"/>
      <c r="K3446" s="19"/>
      <c r="L3446" s="19"/>
      <c r="M3446" s="19"/>
      <c r="N3446" s="19"/>
      <c r="O3446" s="19"/>
      <c r="P3446" s="19"/>
      <c r="Q3446" s="19"/>
      <c r="R3446" s="19"/>
      <c r="S3446" s="19"/>
      <c r="T3446" s="19"/>
      <c r="U3446" s="19"/>
      <c r="V3446" s="19" t="n">
        <v>4</v>
      </c>
      <c r="W3446" s="19"/>
      <c r="X3446" s="19"/>
      <c r="Y3446" s="19"/>
      <c r="Z3446" s="19"/>
      <c r="AA3446" s="19"/>
      <c r="AB3446" s="19"/>
      <c r="AC3446" s="19" t="n">
        <v>4</v>
      </c>
      <c r="AD3446" s="19"/>
      <c r="AE3446" s="19"/>
      <c r="AF3446" s="19"/>
      <c r="AG3446" s="19"/>
      <c r="AH3446" s="19"/>
      <c r="AI3446" s="19"/>
      <c r="AJ3446" s="19"/>
      <c r="AK3446" s="19"/>
      <c r="AL3446" s="19"/>
      <c r="AM3446" s="19" t="n">
        <v>4</v>
      </c>
      <c r="AN3446" s="19"/>
      <c r="AO3446" s="19"/>
      <c r="AP3446" s="19"/>
      <c r="AQ3446" s="19"/>
      <c r="AR3446" s="19"/>
      <c r="AS3446" s="20" t="str">
        <f aca="false">HYPERLINK("http://www.openstreetmap.org/?mlat=31.034&amp;mlon=46.1903&amp;zoom=12#map=12/31.034/46.1903","Maplink1")</f>
        <v>Maplink1</v>
      </c>
      <c r="AT3446" s="20" t="str">
        <f aca="false">HYPERLINK("https://www.google.iq/maps/search/+31.034,46.1903/@31.034,46.1903,14z?hl=en","Maplink2")</f>
        <v>Maplink2</v>
      </c>
      <c r="AU3446" s="20" t="str">
        <f aca="false">HYPERLINK("http://www.bing.com/maps/?lvl=14&amp;sty=h&amp;cp=31.034~46.1903&amp;sp=point.31.034_46.1903","Maplink3")</f>
        <v>Maplink3</v>
      </c>
    </row>
    <row r="3447" customFormat="false" ht="15" hidden="false" customHeight="true" outlineLevel="0" collapsed="false">
      <c r="A3447" s="15" t="n">
        <v>25529</v>
      </c>
      <c r="B3447" s="16" t="s">
        <v>31</v>
      </c>
      <c r="C3447" s="16" t="s">
        <v>6538</v>
      </c>
      <c r="D3447" s="16" t="s">
        <v>6541</v>
      </c>
      <c r="E3447" s="17" t="s">
        <v>6542</v>
      </c>
      <c r="F3447" s="16" t="n">
        <v>31.04083177</v>
      </c>
      <c r="G3447" s="16" t="n">
        <v>46.24486586</v>
      </c>
      <c r="H3447" s="18" t="n">
        <v>10</v>
      </c>
      <c r="I3447" s="18" t="n">
        <v>60</v>
      </c>
      <c r="J3447" s="19" t="n">
        <v>1</v>
      </c>
      <c r="K3447" s="19"/>
      <c r="L3447" s="19"/>
      <c r="M3447" s="19"/>
      <c r="N3447" s="19"/>
      <c r="O3447" s="19"/>
      <c r="P3447" s="19"/>
      <c r="Q3447" s="19"/>
      <c r="R3447" s="19"/>
      <c r="S3447" s="19"/>
      <c r="T3447" s="19"/>
      <c r="U3447" s="19"/>
      <c r="V3447" s="19" t="n">
        <v>9</v>
      </c>
      <c r="W3447" s="19"/>
      <c r="X3447" s="19"/>
      <c r="Y3447" s="19"/>
      <c r="Z3447" s="19"/>
      <c r="AA3447" s="19"/>
      <c r="AB3447" s="19"/>
      <c r="AC3447" s="19" t="n">
        <v>5</v>
      </c>
      <c r="AD3447" s="19"/>
      <c r="AE3447" s="19"/>
      <c r="AF3447" s="19"/>
      <c r="AG3447" s="19" t="n">
        <v>1</v>
      </c>
      <c r="AH3447" s="19" t="n">
        <v>4</v>
      </c>
      <c r="AI3447" s="19"/>
      <c r="AJ3447" s="19"/>
      <c r="AK3447" s="19"/>
      <c r="AL3447" s="19"/>
      <c r="AM3447" s="19" t="n">
        <v>6</v>
      </c>
      <c r="AN3447" s="19" t="n">
        <v>3</v>
      </c>
      <c r="AO3447" s="19"/>
      <c r="AP3447" s="19" t="n">
        <v>1</v>
      </c>
      <c r="AQ3447" s="19"/>
      <c r="AR3447" s="19"/>
      <c r="AS3447" s="20" t="str">
        <f aca="false">HYPERLINK("http://www.openstreetmap.org/?mlat=31.0408&amp;mlon=46.2449&amp;zoom=12#map=12/31.0408/46.2449","Maplink1")</f>
        <v>Maplink1</v>
      </c>
      <c r="AT3447" s="20" t="str">
        <f aca="false">HYPERLINK("https://www.google.iq/maps/search/+31.0408,46.2449/@31.0408,46.2449,14z?hl=en","Maplink2")</f>
        <v>Maplink2</v>
      </c>
      <c r="AU3447" s="20" t="str">
        <f aca="false">HYPERLINK("http://www.bing.com/maps/?lvl=14&amp;sty=h&amp;cp=31.0408~46.2449&amp;sp=point.31.0408_46.2449","Maplink3")</f>
        <v>Maplink3</v>
      </c>
    </row>
    <row r="3448" customFormat="false" ht="15" hidden="false" customHeight="true" outlineLevel="0" collapsed="false">
      <c r="A3448" s="15" t="n">
        <v>24415</v>
      </c>
      <c r="B3448" s="16" t="s">
        <v>31</v>
      </c>
      <c r="C3448" s="16" t="s">
        <v>6538</v>
      </c>
      <c r="D3448" s="16" t="s">
        <v>6543</v>
      </c>
      <c r="E3448" s="17" t="s">
        <v>5686</v>
      </c>
      <c r="F3448" s="16" t="n">
        <v>31.12315387</v>
      </c>
      <c r="G3448" s="16" t="n">
        <v>46.23382556</v>
      </c>
      <c r="H3448" s="18" t="n">
        <v>5</v>
      </c>
      <c r="I3448" s="18" t="n">
        <v>30</v>
      </c>
      <c r="J3448" s="19"/>
      <c r="K3448" s="19"/>
      <c r="L3448" s="19"/>
      <c r="M3448" s="19"/>
      <c r="N3448" s="19"/>
      <c r="O3448" s="19"/>
      <c r="P3448" s="19"/>
      <c r="Q3448" s="19"/>
      <c r="R3448" s="19"/>
      <c r="S3448" s="19"/>
      <c r="T3448" s="19"/>
      <c r="U3448" s="19"/>
      <c r="V3448" s="19" t="n">
        <v>5</v>
      </c>
      <c r="W3448" s="19"/>
      <c r="X3448" s="19"/>
      <c r="Y3448" s="19"/>
      <c r="Z3448" s="19"/>
      <c r="AA3448" s="19"/>
      <c r="AB3448" s="19"/>
      <c r="AC3448" s="19"/>
      <c r="AD3448" s="19"/>
      <c r="AE3448" s="19"/>
      <c r="AF3448" s="19"/>
      <c r="AG3448" s="19"/>
      <c r="AH3448" s="19" t="n">
        <v>5</v>
      </c>
      <c r="AI3448" s="19"/>
      <c r="AJ3448" s="19"/>
      <c r="AK3448" s="19"/>
      <c r="AL3448" s="19"/>
      <c r="AM3448" s="19"/>
      <c r="AN3448" s="19" t="n">
        <v>5</v>
      </c>
      <c r="AO3448" s="19"/>
      <c r="AP3448" s="19"/>
      <c r="AQ3448" s="19"/>
      <c r="AR3448" s="19"/>
      <c r="AS3448" s="20" t="str">
        <f aca="false">HYPERLINK("http://www.openstreetmap.org/?mlat=31.1232&amp;mlon=46.2338&amp;zoom=12#map=12/31.1232/46.2338","Maplink1")</f>
        <v>Maplink1</v>
      </c>
      <c r="AT3448" s="20" t="str">
        <f aca="false">HYPERLINK("https://www.google.iq/maps/search/+31.1232,46.2338/@31.1232,46.2338,14z?hl=en","Maplink2")</f>
        <v>Maplink2</v>
      </c>
      <c r="AU3448" s="20" t="str">
        <f aca="false">HYPERLINK("http://www.bing.com/maps/?lvl=14&amp;sty=h&amp;cp=31.1232~46.2338&amp;sp=point.31.1232_46.2338","Maplink3")</f>
        <v>Maplink3</v>
      </c>
    </row>
    <row r="3449" customFormat="false" ht="15" hidden="false" customHeight="true" outlineLevel="0" collapsed="false">
      <c r="A3449" s="15" t="n">
        <v>8884</v>
      </c>
      <c r="B3449" s="16" t="s">
        <v>31</v>
      </c>
      <c r="C3449" s="16" t="s">
        <v>6538</v>
      </c>
      <c r="D3449" s="16" t="s">
        <v>6544</v>
      </c>
      <c r="E3449" s="17" t="s">
        <v>6545</v>
      </c>
      <c r="F3449" s="16" t="n">
        <v>31.10887146</v>
      </c>
      <c r="G3449" s="16" t="n">
        <v>45.88637362</v>
      </c>
      <c r="H3449" s="18" t="n">
        <v>8</v>
      </c>
      <c r="I3449" s="18" t="n">
        <v>48</v>
      </c>
      <c r="J3449" s="19" t="n">
        <v>4</v>
      </c>
      <c r="K3449" s="19"/>
      <c r="L3449" s="19"/>
      <c r="M3449" s="19"/>
      <c r="N3449" s="19"/>
      <c r="O3449" s="19"/>
      <c r="P3449" s="19"/>
      <c r="Q3449" s="19"/>
      <c r="R3449" s="19"/>
      <c r="S3449" s="19"/>
      <c r="T3449" s="19"/>
      <c r="U3449" s="19"/>
      <c r="V3449" s="19" t="n">
        <v>4</v>
      </c>
      <c r="W3449" s="19"/>
      <c r="X3449" s="19"/>
      <c r="Y3449" s="19"/>
      <c r="Z3449" s="19"/>
      <c r="AA3449" s="19"/>
      <c r="AB3449" s="19"/>
      <c r="AC3449" s="19" t="n">
        <v>4</v>
      </c>
      <c r="AD3449" s="19"/>
      <c r="AE3449" s="19"/>
      <c r="AF3449" s="19"/>
      <c r="AG3449" s="19"/>
      <c r="AH3449" s="19" t="n">
        <v>4</v>
      </c>
      <c r="AI3449" s="19"/>
      <c r="AJ3449" s="19"/>
      <c r="AK3449" s="19"/>
      <c r="AL3449" s="19"/>
      <c r="AM3449" s="19"/>
      <c r="AN3449" s="19"/>
      <c r="AO3449" s="19" t="n">
        <v>8</v>
      </c>
      <c r="AP3449" s="19"/>
      <c r="AQ3449" s="19"/>
      <c r="AR3449" s="19"/>
      <c r="AS3449" s="20" t="str">
        <f aca="false">HYPERLINK("http://www.openstreetmap.org/?mlat=31.1089&amp;mlon=45.8864&amp;zoom=12#map=12/31.1089/45.8864","Maplink1")</f>
        <v>Maplink1</v>
      </c>
      <c r="AT3449" s="20" t="str">
        <f aca="false">HYPERLINK("https://www.google.iq/maps/search/+31.1089,45.8864/@31.1089,45.8864,14z?hl=en","Maplink2")</f>
        <v>Maplink2</v>
      </c>
      <c r="AU3449" s="20" t="str">
        <f aca="false">HYPERLINK("http://www.bing.com/maps/?lvl=14&amp;sty=h&amp;cp=31.1089~45.8864&amp;sp=point.31.1089_45.8864","Maplink3")</f>
        <v>Maplink3</v>
      </c>
    </row>
    <row r="3450" customFormat="false" ht="15" hidden="false" customHeight="true" outlineLevel="0" collapsed="false">
      <c r="A3450" s="15" t="n">
        <v>24884</v>
      </c>
      <c r="B3450" s="16" t="s">
        <v>31</v>
      </c>
      <c r="C3450" s="16" t="s">
        <v>6538</v>
      </c>
      <c r="D3450" s="16" t="s">
        <v>6546</v>
      </c>
      <c r="E3450" s="17" t="s">
        <v>6547</v>
      </c>
      <c r="F3450" s="16" t="n">
        <v>31.15542699</v>
      </c>
      <c r="G3450" s="16" t="n">
        <v>46.24628516</v>
      </c>
      <c r="H3450" s="18" t="n">
        <v>30</v>
      </c>
      <c r="I3450" s="18" t="n">
        <v>180</v>
      </c>
      <c r="J3450" s="19"/>
      <c r="K3450" s="19"/>
      <c r="L3450" s="19"/>
      <c r="M3450" s="19"/>
      <c r="N3450" s="19"/>
      <c r="O3450" s="19"/>
      <c r="P3450" s="19"/>
      <c r="Q3450" s="19"/>
      <c r="R3450" s="19"/>
      <c r="S3450" s="19"/>
      <c r="T3450" s="19"/>
      <c r="U3450" s="19"/>
      <c r="V3450" s="19" t="n">
        <v>30</v>
      </c>
      <c r="W3450" s="19"/>
      <c r="X3450" s="19"/>
      <c r="Y3450" s="19"/>
      <c r="Z3450" s="19"/>
      <c r="AA3450" s="19"/>
      <c r="AB3450" s="19"/>
      <c r="AC3450" s="19" t="n">
        <v>27</v>
      </c>
      <c r="AD3450" s="19"/>
      <c r="AE3450" s="19"/>
      <c r="AF3450" s="19"/>
      <c r="AG3450" s="19"/>
      <c r="AH3450" s="19" t="n">
        <v>3</v>
      </c>
      <c r="AI3450" s="19"/>
      <c r="AJ3450" s="19"/>
      <c r="AK3450" s="19"/>
      <c r="AL3450" s="19" t="n">
        <v>7</v>
      </c>
      <c r="AM3450" s="19" t="n">
        <v>23</v>
      </c>
      <c r="AN3450" s="19"/>
      <c r="AO3450" s="19"/>
      <c r="AP3450" s="19"/>
      <c r="AQ3450" s="19"/>
      <c r="AR3450" s="19"/>
      <c r="AS3450" s="20" t="str">
        <f aca="false">HYPERLINK("http://www.openstreetmap.org/?mlat=31.1554&amp;mlon=46.2463&amp;zoom=12#map=12/31.1554/46.2463","Maplink1")</f>
        <v>Maplink1</v>
      </c>
      <c r="AT3450" s="20" t="str">
        <f aca="false">HYPERLINK("https://www.google.iq/maps/search/+31.1554,46.2463/@31.1554,46.2463,14z?hl=en","Maplink2")</f>
        <v>Maplink2</v>
      </c>
      <c r="AU3450" s="20" t="str">
        <f aca="false">HYPERLINK("http://www.bing.com/maps/?lvl=14&amp;sty=h&amp;cp=31.1554~46.2463&amp;sp=point.31.1554_46.2463","Maplink3")</f>
        <v>Maplink3</v>
      </c>
    </row>
    <row r="3451" customFormat="false" ht="15" hidden="false" customHeight="true" outlineLevel="0" collapsed="false">
      <c r="A3451" s="15" t="n">
        <v>9728</v>
      </c>
      <c r="B3451" s="16" t="s">
        <v>31</v>
      </c>
      <c r="C3451" s="16" t="s">
        <v>6538</v>
      </c>
      <c r="D3451" s="16" t="s">
        <v>6548</v>
      </c>
      <c r="E3451" s="17" t="s">
        <v>917</v>
      </c>
      <c r="F3451" s="16" t="n">
        <v>31.03173637</v>
      </c>
      <c r="G3451" s="16" t="n">
        <v>46.24196177</v>
      </c>
      <c r="H3451" s="18" t="n">
        <v>3</v>
      </c>
      <c r="I3451" s="18" t="n">
        <v>18</v>
      </c>
      <c r="J3451" s="19" t="n">
        <v>3</v>
      </c>
      <c r="K3451" s="19"/>
      <c r="L3451" s="19"/>
      <c r="M3451" s="19"/>
      <c r="N3451" s="19"/>
      <c r="O3451" s="19"/>
      <c r="P3451" s="19"/>
      <c r="Q3451" s="19"/>
      <c r="R3451" s="19"/>
      <c r="S3451" s="19"/>
      <c r="T3451" s="19"/>
      <c r="U3451" s="19"/>
      <c r="V3451" s="19"/>
      <c r="W3451" s="19"/>
      <c r="X3451" s="19"/>
      <c r="Y3451" s="19"/>
      <c r="Z3451" s="19"/>
      <c r="AA3451" s="19"/>
      <c r="AB3451" s="19"/>
      <c r="AC3451" s="19"/>
      <c r="AD3451" s="19"/>
      <c r="AE3451" s="19"/>
      <c r="AF3451" s="19"/>
      <c r="AG3451" s="19"/>
      <c r="AH3451" s="19" t="n">
        <v>3</v>
      </c>
      <c r="AI3451" s="19"/>
      <c r="AJ3451" s="19"/>
      <c r="AK3451" s="19"/>
      <c r="AL3451" s="19"/>
      <c r="AM3451" s="19" t="n">
        <v>3</v>
      </c>
      <c r="AN3451" s="19"/>
      <c r="AO3451" s="19"/>
      <c r="AP3451" s="19"/>
      <c r="AQ3451" s="19"/>
      <c r="AR3451" s="19"/>
      <c r="AS3451" s="20" t="str">
        <f aca="false">HYPERLINK("http://www.openstreetmap.org/?mlat=31.0317&amp;mlon=46.242&amp;zoom=12#map=12/31.0317/46.242","Maplink1")</f>
        <v>Maplink1</v>
      </c>
      <c r="AT3451" s="20" t="str">
        <f aca="false">HYPERLINK("https://www.google.iq/maps/search/+31.0317,46.242/@31.0317,46.242,14z?hl=en","Maplink2")</f>
        <v>Maplink2</v>
      </c>
      <c r="AU3451" s="20" t="str">
        <f aca="false">HYPERLINK("http://www.bing.com/maps/?lvl=14&amp;sty=h&amp;cp=31.0317~46.242&amp;sp=point.31.0317_46.242","Maplink3")</f>
        <v>Maplink3</v>
      </c>
    </row>
    <row r="3452" customFormat="false" ht="15" hidden="false" customHeight="true" outlineLevel="0" collapsed="false">
      <c r="A3452" s="15" t="n">
        <v>25525</v>
      </c>
      <c r="B3452" s="16" t="s">
        <v>31</v>
      </c>
      <c r="C3452" s="16" t="s">
        <v>6538</v>
      </c>
      <c r="D3452" s="16" t="s">
        <v>6549</v>
      </c>
      <c r="E3452" s="17" t="s">
        <v>6550</v>
      </c>
      <c r="F3452" s="16" t="n">
        <v>31.02751552</v>
      </c>
      <c r="G3452" s="16" t="n">
        <v>46.24017577</v>
      </c>
      <c r="H3452" s="18" t="n">
        <v>10</v>
      </c>
      <c r="I3452" s="18" t="n">
        <v>60</v>
      </c>
      <c r="J3452" s="19"/>
      <c r="K3452" s="19" t="n">
        <v>2</v>
      </c>
      <c r="L3452" s="19"/>
      <c r="M3452" s="19"/>
      <c r="N3452" s="19"/>
      <c r="O3452" s="19"/>
      <c r="P3452" s="19"/>
      <c r="Q3452" s="19"/>
      <c r="R3452" s="19"/>
      <c r="S3452" s="19"/>
      <c r="T3452" s="19"/>
      <c r="U3452" s="19"/>
      <c r="V3452" s="19" t="n">
        <v>8</v>
      </c>
      <c r="W3452" s="19"/>
      <c r="X3452" s="19"/>
      <c r="Y3452" s="19"/>
      <c r="Z3452" s="19"/>
      <c r="AA3452" s="19"/>
      <c r="AB3452" s="19"/>
      <c r="AC3452" s="19"/>
      <c r="AD3452" s="19"/>
      <c r="AE3452" s="19"/>
      <c r="AF3452" s="19"/>
      <c r="AG3452" s="19"/>
      <c r="AH3452" s="19" t="n">
        <v>10</v>
      </c>
      <c r="AI3452" s="19"/>
      <c r="AJ3452" s="19"/>
      <c r="AK3452" s="19"/>
      <c r="AL3452" s="19"/>
      <c r="AM3452" s="19" t="n">
        <v>10</v>
      </c>
      <c r="AN3452" s="19"/>
      <c r="AO3452" s="19"/>
      <c r="AP3452" s="19"/>
      <c r="AQ3452" s="19"/>
      <c r="AR3452" s="19"/>
      <c r="AS3452" s="20" t="str">
        <f aca="false">HYPERLINK("http://www.openstreetmap.org/?mlat=31.0275&amp;mlon=46.2402&amp;zoom=12#map=12/31.0275/46.2402","Maplink1")</f>
        <v>Maplink1</v>
      </c>
      <c r="AT3452" s="20" t="str">
        <f aca="false">HYPERLINK("https://www.google.iq/maps/search/+31.0275,46.2402/@31.0275,46.2402,14z?hl=en","Maplink2")</f>
        <v>Maplink2</v>
      </c>
      <c r="AU3452" s="20" t="str">
        <f aca="false">HYPERLINK("http://www.bing.com/maps/?lvl=14&amp;sty=h&amp;cp=31.0275~46.2402&amp;sp=point.31.0275_46.2402","Maplink3")</f>
        <v>Maplink3</v>
      </c>
    </row>
    <row r="3453" customFormat="false" ht="15" hidden="false" customHeight="true" outlineLevel="0" collapsed="false">
      <c r="A3453" s="15" t="n">
        <v>24740</v>
      </c>
      <c r="B3453" s="16" t="s">
        <v>31</v>
      </c>
      <c r="C3453" s="16" t="s">
        <v>6538</v>
      </c>
      <c r="D3453" s="16" t="s">
        <v>794</v>
      </c>
      <c r="E3453" s="17" t="s">
        <v>795</v>
      </c>
      <c r="F3453" s="16" t="n">
        <v>31.03780009</v>
      </c>
      <c r="G3453" s="16" t="n">
        <v>46.24240537</v>
      </c>
      <c r="H3453" s="18" t="n">
        <v>2</v>
      </c>
      <c r="I3453" s="18" t="n">
        <v>12</v>
      </c>
      <c r="J3453" s="19" t="n">
        <v>1</v>
      </c>
      <c r="K3453" s="19"/>
      <c r="L3453" s="19"/>
      <c r="M3453" s="19"/>
      <c r="N3453" s="19"/>
      <c r="O3453" s="19"/>
      <c r="P3453" s="19"/>
      <c r="Q3453" s="19"/>
      <c r="R3453" s="19"/>
      <c r="S3453" s="19"/>
      <c r="T3453" s="19"/>
      <c r="U3453" s="19"/>
      <c r="V3453" s="19"/>
      <c r="W3453" s="19"/>
      <c r="X3453" s="19" t="n">
        <v>1</v>
      </c>
      <c r="Y3453" s="19"/>
      <c r="Z3453" s="19"/>
      <c r="AA3453" s="19"/>
      <c r="AB3453" s="19"/>
      <c r="AC3453" s="19" t="n">
        <v>1</v>
      </c>
      <c r="AD3453" s="19"/>
      <c r="AE3453" s="19"/>
      <c r="AF3453" s="19"/>
      <c r="AG3453" s="19"/>
      <c r="AH3453" s="19" t="n">
        <v>1</v>
      </c>
      <c r="AI3453" s="19"/>
      <c r="AJ3453" s="19"/>
      <c r="AK3453" s="19"/>
      <c r="AL3453" s="19"/>
      <c r="AM3453" s="19"/>
      <c r="AN3453" s="19"/>
      <c r="AO3453" s="19" t="n">
        <v>1</v>
      </c>
      <c r="AP3453" s="19" t="n">
        <v>1</v>
      </c>
      <c r="AQ3453" s="19"/>
      <c r="AR3453" s="19"/>
      <c r="AS3453" s="20" t="str">
        <f aca="false">HYPERLINK("http://www.openstreetmap.org/?mlat=31.0378&amp;mlon=46.2424&amp;zoom=12#map=12/31.0378/46.2424","Maplink1")</f>
        <v>Maplink1</v>
      </c>
      <c r="AT3453" s="20" t="str">
        <f aca="false">HYPERLINK("https://www.google.iq/maps/search/+31.0378,46.2424/@31.0378,46.2424,14z?hl=en","Maplink2")</f>
        <v>Maplink2</v>
      </c>
      <c r="AU3453" s="20" t="str">
        <f aca="false">HYPERLINK("http://www.bing.com/maps/?lvl=14&amp;sty=h&amp;cp=31.0378~46.2424&amp;sp=point.31.0378_46.2424","Maplink3")</f>
        <v>Maplink3</v>
      </c>
    </row>
    <row r="3454" customFormat="false" ht="15" hidden="false" customHeight="true" outlineLevel="0" collapsed="false">
      <c r="A3454" s="15" t="n">
        <v>10260</v>
      </c>
      <c r="B3454" s="16" t="s">
        <v>31</v>
      </c>
      <c r="C3454" s="16" t="s">
        <v>6538</v>
      </c>
      <c r="D3454" s="16" t="s">
        <v>6551</v>
      </c>
      <c r="E3454" s="17" t="s">
        <v>6552</v>
      </c>
      <c r="F3454" s="16" t="n">
        <v>31.00871395</v>
      </c>
      <c r="G3454" s="16" t="n">
        <v>46.28480512</v>
      </c>
      <c r="H3454" s="18" t="n">
        <v>46</v>
      </c>
      <c r="I3454" s="18" t="n">
        <v>276</v>
      </c>
      <c r="J3454" s="19" t="n">
        <v>8</v>
      </c>
      <c r="K3454" s="19" t="n">
        <v>1</v>
      </c>
      <c r="L3454" s="19"/>
      <c r="M3454" s="19"/>
      <c r="N3454" s="19"/>
      <c r="O3454" s="19" t="n">
        <v>6</v>
      </c>
      <c r="P3454" s="19"/>
      <c r="Q3454" s="19"/>
      <c r="R3454" s="19" t="n">
        <v>8</v>
      </c>
      <c r="S3454" s="19"/>
      <c r="T3454" s="19"/>
      <c r="U3454" s="19"/>
      <c r="V3454" s="19" t="n">
        <v>23</v>
      </c>
      <c r="W3454" s="19"/>
      <c r="X3454" s="19"/>
      <c r="Y3454" s="19"/>
      <c r="Z3454" s="19"/>
      <c r="AA3454" s="19"/>
      <c r="AB3454" s="19"/>
      <c r="AC3454" s="19" t="n">
        <v>25</v>
      </c>
      <c r="AD3454" s="19"/>
      <c r="AE3454" s="19"/>
      <c r="AF3454" s="19"/>
      <c r="AG3454" s="19"/>
      <c r="AH3454" s="19" t="n">
        <v>21</v>
      </c>
      <c r="AI3454" s="19"/>
      <c r="AJ3454" s="19"/>
      <c r="AK3454" s="19"/>
      <c r="AL3454" s="19"/>
      <c r="AM3454" s="19" t="n">
        <v>5</v>
      </c>
      <c r="AN3454" s="19" t="n">
        <v>39</v>
      </c>
      <c r="AO3454" s="19" t="n">
        <v>1</v>
      </c>
      <c r="AP3454" s="19" t="n">
        <v>1</v>
      </c>
      <c r="AQ3454" s="19"/>
      <c r="AR3454" s="19"/>
      <c r="AS3454" s="20" t="str">
        <f aca="false">HYPERLINK("http://www.openstreetmap.org/?mlat=31.0087&amp;mlon=46.2848&amp;zoom=12#map=12/31.0087/46.2848","Maplink1")</f>
        <v>Maplink1</v>
      </c>
      <c r="AT3454" s="20" t="str">
        <f aca="false">HYPERLINK("https://www.google.iq/maps/search/+31.0087,46.2848/@31.0087,46.2848,14z?hl=en","Maplink2")</f>
        <v>Maplink2</v>
      </c>
      <c r="AU3454" s="20" t="str">
        <f aca="false">HYPERLINK("http://www.bing.com/maps/?lvl=14&amp;sty=h&amp;cp=31.0087~46.2848&amp;sp=point.31.0087_46.2848","Maplink3")</f>
        <v>Maplink3</v>
      </c>
    </row>
    <row r="3455" customFormat="false" ht="15" hidden="false" customHeight="true" outlineLevel="0" collapsed="false">
      <c r="A3455" s="15" t="n">
        <v>24540</v>
      </c>
      <c r="B3455" s="16" t="s">
        <v>31</v>
      </c>
      <c r="C3455" s="16" t="s">
        <v>6538</v>
      </c>
      <c r="D3455" s="16" t="s">
        <v>6553</v>
      </c>
      <c r="E3455" s="17" t="s">
        <v>6554</v>
      </c>
      <c r="F3455" s="16" t="n">
        <v>31.05108112</v>
      </c>
      <c r="G3455" s="16" t="n">
        <v>46.24529305</v>
      </c>
      <c r="H3455" s="18" t="n">
        <v>21</v>
      </c>
      <c r="I3455" s="18" t="n">
        <v>126</v>
      </c>
      <c r="J3455" s="19" t="n">
        <v>6</v>
      </c>
      <c r="K3455" s="19"/>
      <c r="L3455" s="19"/>
      <c r="M3455" s="19"/>
      <c r="N3455" s="19"/>
      <c r="O3455" s="19"/>
      <c r="P3455" s="19"/>
      <c r="Q3455" s="19"/>
      <c r="R3455" s="19" t="n">
        <v>6</v>
      </c>
      <c r="S3455" s="19"/>
      <c r="T3455" s="19"/>
      <c r="U3455" s="19"/>
      <c r="V3455" s="19"/>
      <c r="W3455" s="19"/>
      <c r="X3455" s="19" t="n">
        <v>9</v>
      </c>
      <c r="Y3455" s="19"/>
      <c r="Z3455" s="19"/>
      <c r="AA3455" s="19"/>
      <c r="AB3455" s="19"/>
      <c r="AC3455" s="19" t="n">
        <v>7</v>
      </c>
      <c r="AD3455" s="19"/>
      <c r="AE3455" s="19"/>
      <c r="AF3455" s="19"/>
      <c r="AG3455" s="19"/>
      <c r="AH3455" s="19" t="n">
        <v>14</v>
      </c>
      <c r="AI3455" s="19"/>
      <c r="AJ3455" s="19"/>
      <c r="AK3455" s="19"/>
      <c r="AL3455" s="19" t="n">
        <v>5</v>
      </c>
      <c r="AM3455" s="19" t="n">
        <v>6</v>
      </c>
      <c r="AN3455" s="19"/>
      <c r="AO3455" s="19" t="n">
        <v>10</v>
      </c>
      <c r="AP3455" s="19"/>
      <c r="AQ3455" s="19"/>
      <c r="AR3455" s="19"/>
      <c r="AS3455" s="20" t="str">
        <f aca="false">HYPERLINK("http://www.openstreetmap.org/?mlat=31.0511&amp;mlon=46.2453&amp;zoom=12#map=12/31.0511/46.2453","Maplink1")</f>
        <v>Maplink1</v>
      </c>
      <c r="AT3455" s="20" t="str">
        <f aca="false">HYPERLINK("https://www.google.iq/maps/search/+31.0511,46.2453/@31.0511,46.2453,14z?hl=en","Maplink2")</f>
        <v>Maplink2</v>
      </c>
      <c r="AU3455" s="20" t="str">
        <f aca="false">HYPERLINK("http://www.bing.com/maps/?lvl=14&amp;sty=h&amp;cp=31.0511~46.2453&amp;sp=point.31.0511_46.2453","Maplink3")</f>
        <v>Maplink3</v>
      </c>
    </row>
    <row r="3456" customFormat="false" ht="15" hidden="false" customHeight="true" outlineLevel="0" collapsed="false">
      <c r="A3456" s="15" t="n">
        <v>10270</v>
      </c>
      <c r="B3456" s="16" t="s">
        <v>31</v>
      </c>
      <c r="C3456" s="16" t="s">
        <v>6538</v>
      </c>
      <c r="D3456" s="16" t="s">
        <v>6555</v>
      </c>
      <c r="E3456" s="17" t="s">
        <v>6556</v>
      </c>
      <c r="F3456" s="16" t="n">
        <v>31.03718953</v>
      </c>
      <c r="G3456" s="16" t="n">
        <v>46.15152423</v>
      </c>
      <c r="H3456" s="18" t="n">
        <v>5</v>
      </c>
      <c r="I3456" s="18" t="n">
        <v>30</v>
      </c>
      <c r="J3456" s="19"/>
      <c r="K3456" s="19"/>
      <c r="L3456" s="19"/>
      <c r="M3456" s="19"/>
      <c r="N3456" s="19"/>
      <c r="O3456" s="19"/>
      <c r="P3456" s="19"/>
      <c r="Q3456" s="19"/>
      <c r="R3456" s="19"/>
      <c r="S3456" s="19"/>
      <c r="T3456" s="19"/>
      <c r="U3456" s="19"/>
      <c r="V3456" s="19" t="n">
        <v>5</v>
      </c>
      <c r="W3456" s="19"/>
      <c r="X3456" s="19"/>
      <c r="Y3456" s="19"/>
      <c r="Z3456" s="19"/>
      <c r="AA3456" s="19"/>
      <c r="AB3456" s="19"/>
      <c r="AC3456" s="19"/>
      <c r="AD3456" s="19"/>
      <c r="AE3456" s="19"/>
      <c r="AF3456" s="19"/>
      <c r="AG3456" s="19"/>
      <c r="AH3456" s="19" t="n">
        <v>5</v>
      </c>
      <c r="AI3456" s="19"/>
      <c r="AJ3456" s="19"/>
      <c r="AK3456" s="19"/>
      <c r="AL3456" s="19"/>
      <c r="AM3456" s="19" t="n">
        <v>5</v>
      </c>
      <c r="AN3456" s="19"/>
      <c r="AO3456" s="19"/>
      <c r="AP3456" s="19"/>
      <c r="AQ3456" s="19"/>
      <c r="AR3456" s="19"/>
      <c r="AS3456" s="20" t="str">
        <f aca="false">HYPERLINK("http://www.openstreetmap.org/?mlat=31.0372&amp;mlon=46.1515&amp;zoom=12#map=12/31.0372/46.1515","Maplink1")</f>
        <v>Maplink1</v>
      </c>
      <c r="AT3456" s="20" t="str">
        <f aca="false">HYPERLINK("https://www.google.iq/maps/search/+31.0372,46.1515/@31.0372,46.1515,14z?hl=en","Maplink2")</f>
        <v>Maplink2</v>
      </c>
      <c r="AU3456" s="20" t="str">
        <f aca="false">HYPERLINK("http://www.bing.com/maps/?lvl=14&amp;sty=h&amp;cp=31.0372~46.1515&amp;sp=point.31.0372_46.1515","Maplink3")</f>
        <v>Maplink3</v>
      </c>
    </row>
    <row r="3457" customFormat="false" ht="15" hidden="false" customHeight="true" outlineLevel="0" collapsed="false">
      <c r="A3457" s="15" t="n">
        <v>10254</v>
      </c>
      <c r="B3457" s="16" t="s">
        <v>31</v>
      </c>
      <c r="C3457" s="16" t="s">
        <v>6538</v>
      </c>
      <c r="D3457" s="16" t="s">
        <v>6557</v>
      </c>
      <c r="E3457" s="17" t="s">
        <v>6558</v>
      </c>
      <c r="F3457" s="16" t="n">
        <v>31.04593894</v>
      </c>
      <c r="G3457" s="16" t="n">
        <v>46.26260726</v>
      </c>
      <c r="H3457" s="18" t="n">
        <v>35</v>
      </c>
      <c r="I3457" s="18" t="n">
        <v>210</v>
      </c>
      <c r="J3457" s="19" t="n">
        <v>1</v>
      </c>
      <c r="K3457" s="19"/>
      <c r="L3457" s="19"/>
      <c r="M3457" s="19"/>
      <c r="N3457" s="19"/>
      <c r="O3457" s="19"/>
      <c r="P3457" s="19"/>
      <c r="Q3457" s="19"/>
      <c r="R3457" s="19" t="n">
        <v>10</v>
      </c>
      <c r="S3457" s="19"/>
      <c r="T3457" s="19"/>
      <c r="U3457" s="19"/>
      <c r="V3457" s="19" t="n">
        <v>24</v>
      </c>
      <c r="W3457" s="19"/>
      <c r="X3457" s="19"/>
      <c r="Y3457" s="19"/>
      <c r="Z3457" s="19"/>
      <c r="AA3457" s="19"/>
      <c r="AB3457" s="19"/>
      <c r="AC3457" s="19" t="n">
        <v>17</v>
      </c>
      <c r="AD3457" s="19"/>
      <c r="AE3457" s="19"/>
      <c r="AF3457" s="19"/>
      <c r="AG3457" s="19"/>
      <c r="AH3457" s="19" t="n">
        <v>18</v>
      </c>
      <c r="AI3457" s="19"/>
      <c r="AJ3457" s="19"/>
      <c r="AK3457" s="19"/>
      <c r="AL3457" s="19"/>
      <c r="AM3457" s="19"/>
      <c r="AN3457" s="19" t="n">
        <v>35</v>
      </c>
      <c r="AO3457" s="19"/>
      <c r="AP3457" s="19"/>
      <c r="AQ3457" s="19"/>
      <c r="AR3457" s="19"/>
      <c r="AS3457" s="20" t="str">
        <f aca="false">HYPERLINK("http://www.openstreetmap.org/?mlat=31.0459&amp;mlon=46.2626&amp;zoom=12#map=12/31.0459/46.2626","Maplink1")</f>
        <v>Maplink1</v>
      </c>
      <c r="AT3457" s="20" t="str">
        <f aca="false">HYPERLINK("https://www.google.iq/maps/search/+31.0459,46.2626/@31.0459,46.2626,14z?hl=en","Maplink2")</f>
        <v>Maplink2</v>
      </c>
      <c r="AU3457" s="20" t="str">
        <f aca="false">HYPERLINK("http://www.bing.com/maps/?lvl=14&amp;sty=h&amp;cp=31.0459~46.2626&amp;sp=point.31.0459_46.2626","Maplink3")</f>
        <v>Maplink3</v>
      </c>
    </row>
    <row r="3458" customFormat="false" ht="15" hidden="false" customHeight="true" outlineLevel="0" collapsed="false">
      <c r="A3458" s="15" t="n">
        <v>10272</v>
      </c>
      <c r="B3458" s="16" t="s">
        <v>31</v>
      </c>
      <c r="C3458" s="16" t="s">
        <v>6538</v>
      </c>
      <c r="D3458" s="16" t="s">
        <v>6559</v>
      </c>
      <c r="E3458" s="17" t="s">
        <v>6560</v>
      </c>
      <c r="F3458" s="16" t="n">
        <v>31.03475023</v>
      </c>
      <c r="G3458" s="16" t="n">
        <v>46.23951431</v>
      </c>
      <c r="H3458" s="18" t="n">
        <v>8</v>
      </c>
      <c r="I3458" s="18" t="n">
        <v>48</v>
      </c>
      <c r="J3458" s="19" t="n">
        <v>3</v>
      </c>
      <c r="K3458" s="19"/>
      <c r="L3458" s="19"/>
      <c r="M3458" s="19"/>
      <c r="N3458" s="19"/>
      <c r="O3458" s="19"/>
      <c r="P3458" s="19"/>
      <c r="Q3458" s="19"/>
      <c r="R3458" s="19"/>
      <c r="S3458" s="19"/>
      <c r="T3458" s="19"/>
      <c r="U3458" s="19"/>
      <c r="V3458" s="19" t="n">
        <v>5</v>
      </c>
      <c r="W3458" s="19"/>
      <c r="X3458" s="19"/>
      <c r="Y3458" s="19"/>
      <c r="Z3458" s="19"/>
      <c r="AA3458" s="19"/>
      <c r="AB3458" s="19"/>
      <c r="AC3458" s="19"/>
      <c r="AD3458" s="19"/>
      <c r="AE3458" s="19"/>
      <c r="AF3458" s="19"/>
      <c r="AG3458" s="19" t="n">
        <v>3</v>
      </c>
      <c r="AH3458" s="19" t="n">
        <v>5</v>
      </c>
      <c r="AI3458" s="19"/>
      <c r="AJ3458" s="19"/>
      <c r="AK3458" s="19"/>
      <c r="AL3458" s="19" t="n">
        <v>3</v>
      </c>
      <c r="AM3458" s="19" t="n">
        <v>3</v>
      </c>
      <c r="AN3458" s="19"/>
      <c r="AO3458" s="19" t="n">
        <v>2</v>
      </c>
      <c r="AP3458" s="19"/>
      <c r="AQ3458" s="19"/>
      <c r="AR3458" s="19"/>
      <c r="AS3458" s="20" t="str">
        <f aca="false">HYPERLINK("http://www.openstreetmap.org/?mlat=31.0348&amp;mlon=46.2395&amp;zoom=12#map=12/31.0348/46.2395","Maplink1")</f>
        <v>Maplink1</v>
      </c>
      <c r="AT3458" s="20" t="str">
        <f aca="false">HYPERLINK("https://www.google.iq/maps/search/+31.0348,46.2395/@31.0348,46.2395,14z?hl=en","Maplink2")</f>
        <v>Maplink2</v>
      </c>
      <c r="AU3458" s="20" t="str">
        <f aca="false">HYPERLINK("http://www.bing.com/maps/?lvl=14&amp;sty=h&amp;cp=31.0348~46.2395&amp;sp=point.31.0348_46.2395","Maplink3")</f>
        <v>Maplink3</v>
      </c>
    </row>
    <row r="3459" customFormat="false" ht="15" hidden="false" customHeight="true" outlineLevel="0" collapsed="false">
      <c r="A3459" s="15" t="n">
        <v>10281</v>
      </c>
      <c r="B3459" s="16" t="s">
        <v>31</v>
      </c>
      <c r="C3459" s="16" t="s">
        <v>6538</v>
      </c>
      <c r="D3459" s="16" t="s">
        <v>6561</v>
      </c>
      <c r="E3459" s="17" t="s">
        <v>6562</v>
      </c>
      <c r="F3459" s="16" t="n">
        <v>31.03025317</v>
      </c>
      <c r="G3459" s="16" t="n">
        <v>46.24613144</v>
      </c>
      <c r="H3459" s="18" t="n">
        <v>11</v>
      </c>
      <c r="I3459" s="18" t="n">
        <v>66</v>
      </c>
      <c r="J3459" s="19" t="n">
        <v>8</v>
      </c>
      <c r="K3459" s="19"/>
      <c r="L3459" s="19"/>
      <c r="M3459" s="19"/>
      <c r="N3459" s="19"/>
      <c r="O3459" s="19"/>
      <c r="P3459" s="19"/>
      <c r="Q3459" s="19"/>
      <c r="R3459" s="19"/>
      <c r="S3459" s="19"/>
      <c r="T3459" s="19"/>
      <c r="U3459" s="19"/>
      <c r="V3459" s="19" t="n">
        <v>3</v>
      </c>
      <c r="W3459" s="19"/>
      <c r="X3459" s="19"/>
      <c r="Y3459" s="19"/>
      <c r="Z3459" s="19"/>
      <c r="AA3459" s="19"/>
      <c r="AB3459" s="19"/>
      <c r="AC3459" s="19" t="n">
        <v>2</v>
      </c>
      <c r="AD3459" s="19"/>
      <c r="AE3459" s="19"/>
      <c r="AF3459" s="19"/>
      <c r="AG3459" s="19"/>
      <c r="AH3459" s="19" t="n">
        <v>9</v>
      </c>
      <c r="AI3459" s="19"/>
      <c r="AJ3459" s="19"/>
      <c r="AK3459" s="19"/>
      <c r="AL3459" s="19"/>
      <c r="AM3459" s="19" t="n">
        <v>11</v>
      </c>
      <c r="AN3459" s="19"/>
      <c r="AO3459" s="19"/>
      <c r="AP3459" s="19"/>
      <c r="AQ3459" s="19"/>
      <c r="AR3459" s="19"/>
      <c r="AS3459" s="20" t="str">
        <f aca="false">HYPERLINK("http://www.openstreetmap.org/?mlat=31.0303&amp;mlon=46.2461&amp;zoom=12#map=12/31.0303/46.2461","Maplink1")</f>
        <v>Maplink1</v>
      </c>
      <c r="AT3459" s="20" t="str">
        <f aca="false">HYPERLINK("https://www.google.iq/maps/search/+31.0303,46.2461/@31.0303,46.2461,14z?hl=en","Maplink2")</f>
        <v>Maplink2</v>
      </c>
      <c r="AU3459" s="20" t="str">
        <f aca="false">HYPERLINK("http://www.bing.com/maps/?lvl=14&amp;sty=h&amp;cp=31.0303~46.2461&amp;sp=point.31.0303_46.2461","Maplink3")</f>
        <v>Maplink3</v>
      </c>
    </row>
    <row r="3460" customFormat="false" ht="15" hidden="false" customHeight="true" outlineLevel="0" collapsed="false">
      <c r="A3460" s="15" t="n">
        <v>9460</v>
      </c>
      <c r="B3460" s="16" t="s">
        <v>31</v>
      </c>
      <c r="C3460" s="16" t="s">
        <v>6538</v>
      </c>
      <c r="D3460" s="16" t="s">
        <v>6563</v>
      </c>
      <c r="E3460" s="17" t="s">
        <v>6564</v>
      </c>
      <c r="F3460" s="16" t="n">
        <v>31.05240124</v>
      </c>
      <c r="G3460" s="16" t="n">
        <v>46.23485141</v>
      </c>
      <c r="H3460" s="18" t="n">
        <v>1</v>
      </c>
      <c r="I3460" s="18" t="n">
        <v>6</v>
      </c>
      <c r="J3460" s="19" t="n">
        <v>1</v>
      </c>
      <c r="K3460" s="19"/>
      <c r="L3460" s="19"/>
      <c r="M3460" s="19"/>
      <c r="N3460" s="19"/>
      <c r="O3460" s="19"/>
      <c r="P3460" s="19"/>
      <c r="Q3460" s="19"/>
      <c r="R3460" s="19"/>
      <c r="S3460" s="19"/>
      <c r="T3460" s="19"/>
      <c r="U3460" s="19"/>
      <c r="V3460" s="19"/>
      <c r="W3460" s="19"/>
      <c r="X3460" s="19"/>
      <c r="Y3460" s="19"/>
      <c r="Z3460" s="19"/>
      <c r="AA3460" s="19"/>
      <c r="AB3460" s="19"/>
      <c r="AC3460" s="19"/>
      <c r="AD3460" s="19"/>
      <c r="AE3460" s="19"/>
      <c r="AF3460" s="19"/>
      <c r="AG3460" s="19"/>
      <c r="AH3460" s="19" t="n">
        <v>1</v>
      </c>
      <c r="AI3460" s="19"/>
      <c r="AJ3460" s="19"/>
      <c r="AK3460" s="19"/>
      <c r="AL3460" s="19"/>
      <c r="AM3460" s="19"/>
      <c r="AN3460" s="19" t="n">
        <v>1</v>
      </c>
      <c r="AO3460" s="19"/>
      <c r="AP3460" s="19"/>
      <c r="AQ3460" s="19"/>
      <c r="AR3460" s="19"/>
      <c r="AS3460" s="20" t="str">
        <f aca="false">HYPERLINK("http://www.openstreetmap.org/?mlat=31.0524&amp;mlon=46.2349&amp;zoom=12#map=12/31.0524/46.2349","Maplink1")</f>
        <v>Maplink1</v>
      </c>
      <c r="AT3460" s="20" t="str">
        <f aca="false">HYPERLINK("https://www.google.iq/maps/search/+31.0524,46.2349/@31.0524,46.2349,14z?hl=en","Maplink2")</f>
        <v>Maplink2</v>
      </c>
      <c r="AU3460" s="20" t="str">
        <f aca="false">HYPERLINK("http://www.bing.com/maps/?lvl=14&amp;sty=h&amp;cp=31.0524~46.2349&amp;sp=point.31.0524_46.2349","Maplink3")</f>
        <v>Maplink3</v>
      </c>
    </row>
    <row r="3461" customFormat="false" ht="15" hidden="false" customHeight="true" outlineLevel="0" collapsed="false">
      <c r="A3461" s="15" t="n">
        <v>24741</v>
      </c>
      <c r="B3461" s="16" t="s">
        <v>31</v>
      </c>
      <c r="C3461" s="16" t="s">
        <v>6538</v>
      </c>
      <c r="D3461" s="16" t="s">
        <v>6565</v>
      </c>
      <c r="E3461" s="17" t="s">
        <v>5044</v>
      </c>
      <c r="F3461" s="16" t="n">
        <v>31.04472579</v>
      </c>
      <c r="G3461" s="16" t="n">
        <v>46.24948303</v>
      </c>
      <c r="H3461" s="18" t="n">
        <v>2</v>
      </c>
      <c r="I3461" s="18" t="n">
        <v>12</v>
      </c>
      <c r="J3461" s="19"/>
      <c r="K3461" s="19"/>
      <c r="L3461" s="19"/>
      <c r="M3461" s="19"/>
      <c r="N3461" s="19"/>
      <c r="O3461" s="19"/>
      <c r="P3461" s="19"/>
      <c r="Q3461" s="19"/>
      <c r="R3461" s="19"/>
      <c r="S3461" s="19"/>
      <c r="T3461" s="19"/>
      <c r="U3461" s="19"/>
      <c r="V3461" s="19" t="n">
        <v>2</v>
      </c>
      <c r="W3461" s="19"/>
      <c r="X3461" s="19"/>
      <c r="Y3461" s="19"/>
      <c r="Z3461" s="19"/>
      <c r="AA3461" s="19"/>
      <c r="AB3461" s="19"/>
      <c r="AC3461" s="19"/>
      <c r="AD3461" s="19"/>
      <c r="AE3461" s="19"/>
      <c r="AF3461" s="19"/>
      <c r="AG3461" s="19"/>
      <c r="AH3461" s="19" t="n">
        <v>2</v>
      </c>
      <c r="AI3461" s="19"/>
      <c r="AJ3461" s="19"/>
      <c r="AK3461" s="19"/>
      <c r="AL3461" s="19"/>
      <c r="AM3461" s="19"/>
      <c r="AN3461" s="19"/>
      <c r="AO3461" s="19" t="n">
        <v>2</v>
      </c>
      <c r="AP3461" s="19"/>
      <c r="AQ3461" s="19"/>
      <c r="AR3461" s="19"/>
      <c r="AS3461" s="20" t="str">
        <f aca="false">HYPERLINK("http://www.openstreetmap.org/?mlat=31.0447&amp;mlon=46.2495&amp;zoom=12#map=12/31.0447/46.2495","Maplink1")</f>
        <v>Maplink1</v>
      </c>
      <c r="AT3461" s="20" t="str">
        <f aca="false">HYPERLINK("https://www.google.iq/maps/search/+31.0447,46.2495/@31.0447,46.2495,14z?hl=en","Maplink2")</f>
        <v>Maplink2</v>
      </c>
      <c r="AU3461" s="20" t="str">
        <f aca="false">HYPERLINK("http://www.bing.com/maps/?lvl=14&amp;sty=h&amp;cp=31.0447~46.2495&amp;sp=point.31.0447_46.2495","Maplink3")</f>
        <v>Maplink3</v>
      </c>
    </row>
    <row r="3462" customFormat="false" ht="15" hidden="false" customHeight="true" outlineLevel="0" collapsed="false">
      <c r="A3462" s="15" t="n">
        <v>9470</v>
      </c>
      <c r="B3462" s="16" t="s">
        <v>31</v>
      </c>
      <c r="C3462" s="16" t="s">
        <v>6538</v>
      </c>
      <c r="D3462" s="16" t="s">
        <v>4548</v>
      </c>
      <c r="E3462" s="17" t="s">
        <v>2263</v>
      </c>
      <c r="F3462" s="16" t="n">
        <v>31.05874248</v>
      </c>
      <c r="G3462" s="16" t="n">
        <v>46.26656144</v>
      </c>
      <c r="H3462" s="18" t="n">
        <v>8</v>
      </c>
      <c r="I3462" s="18" t="n">
        <v>48</v>
      </c>
      <c r="J3462" s="19" t="n">
        <v>2</v>
      </c>
      <c r="K3462" s="19"/>
      <c r="L3462" s="19"/>
      <c r="M3462" s="19"/>
      <c r="N3462" s="19"/>
      <c r="O3462" s="19"/>
      <c r="P3462" s="19"/>
      <c r="Q3462" s="19"/>
      <c r="R3462" s="19"/>
      <c r="S3462" s="19"/>
      <c r="T3462" s="19"/>
      <c r="U3462" s="19"/>
      <c r="V3462" s="19" t="n">
        <v>6</v>
      </c>
      <c r="W3462" s="19"/>
      <c r="X3462" s="19"/>
      <c r="Y3462" s="19"/>
      <c r="Z3462" s="19"/>
      <c r="AA3462" s="19"/>
      <c r="AB3462" s="19"/>
      <c r="AC3462" s="19"/>
      <c r="AD3462" s="19"/>
      <c r="AE3462" s="19"/>
      <c r="AF3462" s="19"/>
      <c r="AG3462" s="19"/>
      <c r="AH3462" s="19" t="n">
        <v>8</v>
      </c>
      <c r="AI3462" s="19"/>
      <c r="AJ3462" s="19"/>
      <c r="AK3462" s="19"/>
      <c r="AL3462" s="19"/>
      <c r="AM3462" s="19" t="n">
        <v>2</v>
      </c>
      <c r="AN3462" s="19" t="n">
        <v>2</v>
      </c>
      <c r="AO3462" s="19" t="n">
        <v>1</v>
      </c>
      <c r="AP3462" s="19" t="n">
        <v>3</v>
      </c>
      <c r="AQ3462" s="19"/>
      <c r="AR3462" s="19"/>
      <c r="AS3462" s="20" t="str">
        <f aca="false">HYPERLINK("http://www.openstreetmap.org/?mlat=31.0587&amp;mlon=46.2666&amp;zoom=12#map=12/31.0587/46.2666","Maplink1")</f>
        <v>Maplink1</v>
      </c>
      <c r="AT3462" s="20" t="str">
        <f aca="false">HYPERLINK("https://www.google.iq/maps/search/+31.0587,46.2666/@31.0587,46.2666,14z?hl=en","Maplink2")</f>
        <v>Maplink2</v>
      </c>
      <c r="AU3462" s="20" t="str">
        <f aca="false">HYPERLINK("http://www.bing.com/maps/?lvl=14&amp;sty=h&amp;cp=31.0587~46.2666&amp;sp=point.31.0587_46.2666","Maplink3")</f>
        <v>Maplink3</v>
      </c>
    </row>
    <row r="3463" customFormat="false" ht="15" hidden="false" customHeight="true" outlineLevel="0" collapsed="false">
      <c r="A3463" s="15" t="n">
        <v>9541</v>
      </c>
      <c r="B3463" s="16" t="s">
        <v>31</v>
      </c>
      <c r="C3463" s="16" t="s">
        <v>6538</v>
      </c>
      <c r="D3463" s="16" t="s">
        <v>6566</v>
      </c>
      <c r="E3463" s="17" t="s">
        <v>6567</v>
      </c>
      <c r="F3463" s="16" t="n">
        <v>31.135477</v>
      </c>
      <c r="G3463" s="16" t="n">
        <v>46.436772</v>
      </c>
      <c r="H3463" s="18" t="n">
        <v>3</v>
      </c>
      <c r="I3463" s="18" t="n">
        <v>18</v>
      </c>
      <c r="J3463" s="19"/>
      <c r="K3463" s="19"/>
      <c r="L3463" s="19"/>
      <c r="M3463" s="19"/>
      <c r="N3463" s="19"/>
      <c r="O3463" s="19"/>
      <c r="P3463" s="19"/>
      <c r="Q3463" s="19"/>
      <c r="R3463" s="19" t="n">
        <v>3</v>
      </c>
      <c r="S3463" s="19"/>
      <c r="T3463" s="19"/>
      <c r="U3463" s="19"/>
      <c r="V3463" s="19"/>
      <c r="W3463" s="19"/>
      <c r="X3463" s="19"/>
      <c r="Y3463" s="19"/>
      <c r="Z3463" s="19"/>
      <c r="AA3463" s="19"/>
      <c r="AB3463" s="19"/>
      <c r="AC3463" s="19"/>
      <c r="AD3463" s="19"/>
      <c r="AE3463" s="19"/>
      <c r="AF3463" s="19"/>
      <c r="AG3463" s="19"/>
      <c r="AH3463" s="19" t="n">
        <v>3</v>
      </c>
      <c r="AI3463" s="19"/>
      <c r="AJ3463" s="19"/>
      <c r="AK3463" s="19"/>
      <c r="AL3463" s="19"/>
      <c r="AM3463" s="19" t="n">
        <v>3</v>
      </c>
      <c r="AN3463" s="19"/>
      <c r="AO3463" s="19"/>
      <c r="AP3463" s="19"/>
      <c r="AQ3463" s="19"/>
      <c r="AR3463" s="19"/>
      <c r="AS3463" s="20" t="str">
        <f aca="false">HYPERLINK("http://www.openstreetmap.org/?mlat=31.1355&amp;mlon=46.4368&amp;zoom=12#map=12/31.1355/46.4368","Maplink1")</f>
        <v>Maplink1</v>
      </c>
      <c r="AT3463" s="20" t="str">
        <f aca="false">HYPERLINK("https://www.google.iq/maps/search/+31.1355,46.4368/@31.1355,46.4368,14z?hl=en","Maplink2")</f>
        <v>Maplink2</v>
      </c>
      <c r="AU3463" s="20" t="str">
        <f aca="false">HYPERLINK("http://www.bing.com/maps/?lvl=14&amp;sty=h&amp;cp=31.1355~46.4368&amp;sp=point.31.1355_46.4368","Maplink3")</f>
        <v>Maplink3</v>
      </c>
    </row>
    <row r="3464" customFormat="false" ht="15" hidden="false" customHeight="true" outlineLevel="0" collapsed="false">
      <c r="A3464" s="15" t="n">
        <v>10335</v>
      </c>
      <c r="B3464" s="16" t="s">
        <v>31</v>
      </c>
      <c r="C3464" s="16" t="s">
        <v>6538</v>
      </c>
      <c r="D3464" s="16" t="s">
        <v>6568</v>
      </c>
      <c r="E3464" s="17" t="s">
        <v>6569</v>
      </c>
      <c r="F3464" s="16" t="n">
        <v>31.0514062</v>
      </c>
      <c r="G3464" s="16" t="n">
        <v>46.26759929</v>
      </c>
      <c r="H3464" s="18" t="n">
        <v>33</v>
      </c>
      <c r="I3464" s="18" t="n">
        <v>198</v>
      </c>
      <c r="J3464" s="19" t="n">
        <v>3</v>
      </c>
      <c r="K3464" s="19"/>
      <c r="L3464" s="19"/>
      <c r="M3464" s="19"/>
      <c r="N3464" s="19"/>
      <c r="O3464" s="19"/>
      <c r="P3464" s="19"/>
      <c r="Q3464" s="19"/>
      <c r="R3464" s="19"/>
      <c r="S3464" s="19"/>
      <c r="T3464" s="19"/>
      <c r="U3464" s="19"/>
      <c r="V3464" s="19" t="n">
        <v>30</v>
      </c>
      <c r="W3464" s="19"/>
      <c r="X3464" s="19"/>
      <c r="Y3464" s="19"/>
      <c r="Z3464" s="19"/>
      <c r="AA3464" s="19"/>
      <c r="AB3464" s="19"/>
      <c r="AC3464" s="19" t="n">
        <v>14</v>
      </c>
      <c r="AD3464" s="19"/>
      <c r="AE3464" s="19"/>
      <c r="AF3464" s="19"/>
      <c r="AG3464" s="19"/>
      <c r="AH3464" s="19" t="n">
        <v>19</v>
      </c>
      <c r="AI3464" s="19"/>
      <c r="AJ3464" s="19"/>
      <c r="AK3464" s="19"/>
      <c r="AL3464" s="19"/>
      <c r="AM3464" s="19" t="n">
        <v>14</v>
      </c>
      <c r="AN3464" s="19"/>
      <c r="AO3464" s="19" t="n">
        <v>19</v>
      </c>
      <c r="AP3464" s="19"/>
      <c r="AQ3464" s="19"/>
      <c r="AR3464" s="19"/>
      <c r="AS3464" s="20" t="str">
        <f aca="false">HYPERLINK("http://www.openstreetmap.org/?mlat=31.0514&amp;mlon=46.2676&amp;zoom=12#map=12/31.0514/46.2676","Maplink1")</f>
        <v>Maplink1</v>
      </c>
      <c r="AT3464" s="20" t="str">
        <f aca="false">HYPERLINK("https://www.google.iq/maps/search/+31.0514,46.2676/@31.0514,46.2676,14z?hl=en","Maplink2")</f>
        <v>Maplink2</v>
      </c>
      <c r="AU3464" s="20" t="str">
        <f aca="false">HYPERLINK("http://www.bing.com/maps/?lvl=14&amp;sty=h&amp;cp=31.0514~46.2676&amp;sp=point.31.0514_46.2676","Maplink3")</f>
        <v>Maplink3</v>
      </c>
    </row>
    <row r="3465" customFormat="false" ht="15" hidden="false" customHeight="true" outlineLevel="0" collapsed="false">
      <c r="A3465" s="15" t="n">
        <v>9576</v>
      </c>
      <c r="B3465" s="16" t="s">
        <v>31</v>
      </c>
      <c r="C3465" s="16" t="s">
        <v>6538</v>
      </c>
      <c r="D3465" s="16" t="s">
        <v>6570</v>
      </c>
      <c r="E3465" s="17" t="s">
        <v>6571</v>
      </c>
      <c r="F3465" s="16" t="n">
        <v>31.12250725</v>
      </c>
      <c r="G3465" s="16" t="n">
        <v>46.23532342</v>
      </c>
      <c r="H3465" s="18" t="n">
        <v>7</v>
      </c>
      <c r="I3465" s="18" t="n">
        <v>42</v>
      </c>
      <c r="J3465" s="19" t="n">
        <v>4</v>
      </c>
      <c r="K3465" s="19"/>
      <c r="L3465" s="19"/>
      <c r="M3465" s="19"/>
      <c r="N3465" s="19"/>
      <c r="O3465" s="19"/>
      <c r="P3465" s="19"/>
      <c r="Q3465" s="19"/>
      <c r="R3465" s="19"/>
      <c r="S3465" s="19"/>
      <c r="T3465" s="19"/>
      <c r="U3465" s="19"/>
      <c r="V3465" s="19" t="n">
        <v>3</v>
      </c>
      <c r="W3465" s="19"/>
      <c r="X3465" s="19"/>
      <c r="Y3465" s="19"/>
      <c r="Z3465" s="19"/>
      <c r="AA3465" s="19"/>
      <c r="AB3465" s="19"/>
      <c r="AC3465" s="19" t="n">
        <v>7</v>
      </c>
      <c r="AD3465" s="19"/>
      <c r="AE3465" s="19"/>
      <c r="AF3465" s="19"/>
      <c r="AG3465" s="19"/>
      <c r="AH3465" s="19"/>
      <c r="AI3465" s="19"/>
      <c r="AJ3465" s="19"/>
      <c r="AK3465" s="19"/>
      <c r="AL3465" s="19"/>
      <c r="AM3465" s="19" t="n">
        <v>3</v>
      </c>
      <c r="AN3465" s="19"/>
      <c r="AO3465" s="19"/>
      <c r="AP3465" s="19" t="n">
        <v>4</v>
      </c>
      <c r="AQ3465" s="19"/>
      <c r="AR3465" s="19"/>
      <c r="AS3465" s="20" t="str">
        <f aca="false">HYPERLINK("http://www.openstreetmap.org/?mlat=31.1225&amp;mlon=46.2353&amp;zoom=12#map=12/31.1225/46.2353","Maplink1")</f>
        <v>Maplink1</v>
      </c>
      <c r="AT3465" s="20" t="str">
        <f aca="false">HYPERLINK("https://www.google.iq/maps/search/+31.1225,46.2353/@31.1225,46.2353,14z?hl=en","Maplink2")</f>
        <v>Maplink2</v>
      </c>
      <c r="AU3465" s="20" t="str">
        <f aca="false">HYPERLINK("http://www.bing.com/maps/?lvl=14&amp;sty=h&amp;cp=31.1225~46.2353&amp;sp=point.31.1225_46.2353","Maplink3")</f>
        <v>Maplink3</v>
      </c>
    </row>
    <row r="3466" customFormat="false" ht="15" hidden="false" customHeight="true" outlineLevel="0" collapsed="false">
      <c r="A3466" s="15" t="n">
        <v>9448</v>
      </c>
      <c r="B3466" s="16" t="s">
        <v>31</v>
      </c>
      <c r="C3466" s="16" t="s">
        <v>6538</v>
      </c>
      <c r="D3466" s="16" t="s">
        <v>6572</v>
      </c>
      <c r="E3466" s="17" t="s">
        <v>6573</v>
      </c>
      <c r="F3466" s="16" t="n">
        <v>31.02953315</v>
      </c>
      <c r="G3466" s="16" t="n">
        <v>46.23122742</v>
      </c>
      <c r="H3466" s="18" t="n">
        <v>31</v>
      </c>
      <c r="I3466" s="18" t="n">
        <v>186</v>
      </c>
      <c r="J3466" s="19" t="n">
        <v>4</v>
      </c>
      <c r="K3466" s="19"/>
      <c r="L3466" s="19"/>
      <c r="M3466" s="19"/>
      <c r="N3466" s="19"/>
      <c r="O3466" s="19"/>
      <c r="P3466" s="19"/>
      <c r="Q3466" s="19"/>
      <c r="R3466" s="19" t="n">
        <v>3</v>
      </c>
      <c r="S3466" s="19"/>
      <c r="T3466" s="19"/>
      <c r="U3466" s="19"/>
      <c r="V3466" s="19" t="n">
        <v>24</v>
      </c>
      <c r="W3466" s="19"/>
      <c r="X3466" s="19"/>
      <c r="Y3466" s="19"/>
      <c r="Z3466" s="19"/>
      <c r="AA3466" s="19"/>
      <c r="AB3466" s="19"/>
      <c r="AC3466" s="19" t="n">
        <v>21</v>
      </c>
      <c r="AD3466" s="19"/>
      <c r="AE3466" s="19"/>
      <c r="AF3466" s="19"/>
      <c r="AG3466" s="19"/>
      <c r="AH3466" s="19" t="n">
        <v>10</v>
      </c>
      <c r="AI3466" s="19"/>
      <c r="AJ3466" s="19"/>
      <c r="AK3466" s="19"/>
      <c r="AL3466" s="19"/>
      <c r="AM3466" s="19"/>
      <c r="AN3466" s="19"/>
      <c r="AO3466" s="19" t="n">
        <v>27</v>
      </c>
      <c r="AP3466" s="19" t="n">
        <v>4</v>
      </c>
      <c r="AQ3466" s="19"/>
      <c r="AR3466" s="19"/>
      <c r="AS3466" s="20" t="str">
        <f aca="false">HYPERLINK("http://www.openstreetmap.org/?mlat=31.0295&amp;mlon=46.2312&amp;zoom=12#map=12/31.0295/46.2312","Maplink1")</f>
        <v>Maplink1</v>
      </c>
      <c r="AT3466" s="20" t="str">
        <f aca="false">HYPERLINK("https://www.google.iq/maps/search/+31.0295,46.2312/@31.0295,46.2312,14z?hl=en","Maplink2")</f>
        <v>Maplink2</v>
      </c>
      <c r="AU3466" s="20" t="str">
        <f aca="false">HYPERLINK("http://www.bing.com/maps/?lvl=14&amp;sty=h&amp;cp=31.0295~46.2312&amp;sp=point.31.0295_46.2312","Maplink3")</f>
        <v>Maplink3</v>
      </c>
    </row>
    <row r="3467" customFormat="false" ht="15" hidden="false" customHeight="true" outlineLevel="0" collapsed="false">
      <c r="A3467" s="15" t="n">
        <v>9396</v>
      </c>
      <c r="B3467" s="16" t="s">
        <v>31</v>
      </c>
      <c r="C3467" s="16" t="s">
        <v>6538</v>
      </c>
      <c r="D3467" s="16" t="s">
        <v>6574</v>
      </c>
      <c r="E3467" s="17" t="s">
        <v>6575</v>
      </c>
      <c r="F3467" s="16" t="n">
        <v>31.02499872</v>
      </c>
      <c r="G3467" s="16" t="n">
        <v>46.263068</v>
      </c>
      <c r="H3467" s="18" t="n">
        <v>25</v>
      </c>
      <c r="I3467" s="18" t="n">
        <v>150</v>
      </c>
      <c r="J3467" s="19"/>
      <c r="K3467" s="19"/>
      <c r="L3467" s="19"/>
      <c r="M3467" s="19"/>
      <c r="N3467" s="19"/>
      <c r="O3467" s="19"/>
      <c r="P3467" s="19"/>
      <c r="Q3467" s="19"/>
      <c r="R3467" s="19"/>
      <c r="S3467" s="19"/>
      <c r="T3467" s="19"/>
      <c r="U3467" s="19"/>
      <c r="V3467" s="19" t="n">
        <v>25</v>
      </c>
      <c r="W3467" s="19"/>
      <c r="X3467" s="19"/>
      <c r="Y3467" s="19"/>
      <c r="Z3467" s="19"/>
      <c r="AA3467" s="19"/>
      <c r="AB3467" s="19"/>
      <c r="AC3467" s="19" t="n">
        <v>8</v>
      </c>
      <c r="AD3467" s="19"/>
      <c r="AE3467" s="19"/>
      <c r="AF3467" s="19"/>
      <c r="AG3467" s="19"/>
      <c r="AH3467" s="19" t="n">
        <v>17</v>
      </c>
      <c r="AI3467" s="19"/>
      <c r="AJ3467" s="19"/>
      <c r="AK3467" s="19"/>
      <c r="AL3467" s="19"/>
      <c r="AM3467" s="19"/>
      <c r="AN3467" s="19" t="n">
        <v>22</v>
      </c>
      <c r="AO3467" s="19"/>
      <c r="AP3467" s="19"/>
      <c r="AQ3467" s="19"/>
      <c r="AR3467" s="19" t="n">
        <v>3</v>
      </c>
      <c r="AS3467" s="20" t="str">
        <f aca="false">HYPERLINK("http://www.openstreetmap.org/?mlat=31.025&amp;mlon=46.2631&amp;zoom=12#map=12/31.025/46.2631","Maplink1")</f>
        <v>Maplink1</v>
      </c>
      <c r="AT3467" s="20" t="str">
        <f aca="false">HYPERLINK("https://www.google.iq/maps/search/+31.025,46.2631/@31.025,46.2631,14z?hl=en","Maplink2")</f>
        <v>Maplink2</v>
      </c>
      <c r="AU3467" s="20" t="str">
        <f aca="false">HYPERLINK("http://www.bing.com/maps/?lvl=14&amp;sty=h&amp;cp=31.025~46.2631&amp;sp=point.31.025_46.2631","Maplink3")</f>
        <v>Maplink3</v>
      </c>
    </row>
    <row r="3468" customFormat="false" ht="15" hidden="false" customHeight="true" outlineLevel="0" collapsed="false">
      <c r="A3468" s="15" t="n">
        <v>10262</v>
      </c>
      <c r="B3468" s="16" t="s">
        <v>31</v>
      </c>
      <c r="C3468" s="16" t="s">
        <v>6538</v>
      </c>
      <c r="D3468" s="16" t="s">
        <v>6576</v>
      </c>
      <c r="E3468" s="17" t="s">
        <v>6577</v>
      </c>
      <c r="F3468" s="16" t="n">
        <v>31.07416714</v>
      </c>
      <c r="G3468" s="16" t="n">
        <v>46.25435794</v>
      </c>
      <c r="H3468" s="18" t="n">
        <v>44</v>
      </c>
      <c r="I3468" s="18" t="n">
        <v>264</v>
      </c>
      <c r="J3468" s="19" t="n">
        <v>8</v>
      </c>
      <c r="K3468" s="19"/>
      <c r="L3468" s="19"/>
      <c r="M3468" s="19"/>
      <c r="N3468" s="19"/>
      <c r="O3468" s="19" t="n">
        <v>3</v>
      </c>
      <c r="P3468" s="19"/>
      <c r="Q3468" s="19"/>
      <c r="R3468" s="19" t="n">
        <v>7</v>
      </c>
      <c r="S3468" s="19"/>
      <c r="T3468" s="19"/>
      <c r="U3468" s="19"/>
      <c r="V3468" s="19" t="n">
        <v>23</v>
      </c>
      <c r="W3468" s="19"/>
      <c r="X3468" s="19" t="n">
        <v>3</v>
      </c>
      <c r="Y3468" s="19"/>
      <c r="Z3468" s="19"/>
      <c r="AA3468" s="19"/>
      <c r="AB3468" s="19"/>
      <c r="AC3468" s="19" t="n">
        <v>20</v>
      </c>
      <c r="AD3468" s="19"/>
      <c r="AE3468" s="19"/>
      <c r="AF3468" s="19"/>
      <c r="AG3468" s="19" t="n">
        <v>2</v>
      </c>
      <c r="AH3468" s="19" t="n">
        <v>22</v>
      </c>
      <c r="AI3468" s="19"/>
      <c r="AJ3468" s="19"/>
      <c r="AK3468" s="19"/>
      <c r="AL3468" s="19" t="n">
        <v>3</v>
      </c>
      <c r="AM3468" s="19" t="n">
        <v>10</v>
      </c>
      <c r="AN3468" s="19" t="n">
        <v>15</v>
      </c>
      <c r="AO3468" s="19" t="n">
        <v>5</v>
      </c>
      <c r="AP3468" s="19" t="n">
        <v>7</v>
      </c>
      <c r="AQ3468" s="19"/>
      <c r="AR3468" s="19" t="n">
        <v>4</v>
      </c>
      <c r="AS3468" s="20" t="str">
        <f aca="false">HYPERLINK("http://www.openstreetmap.org/?mlat=31.0742&amp;mlon=46.2544&amp;zoom=12#map=12/31.0742/46.2544","Maplink1")</f>
        <v>Maplink1</v>
      </c>
      <c r="AT3468" s="20" t="str">
        <f aca="false">HYPERLINK("https://www.google.iq/maps/search/+31.0742,46.2544/@31.0742,46.2544,14z?hl=en","Maplink2")</f>
        <v>Maplink2</v>
      </c>
      <c r="AU3468" s="20" t="str">
        <f aca="false">HYPERLINK("http://www.bing.com/maps/?lvl=14&amp;sty=h&amp;cp=31.0742~46.2544&amp;sp=point.31.0742_46.2544","Maplink3")</f>
        <v>Maplink3</v>
      </c>
    </row>
    <row r="3469" customFormat="false" ht="15" hidden="false" customHeight="true" outlineLevel="0" collapsed="false">
      <c r="A3469" s="15" t="n">
        <v>10253</v>
      </c>
      <c r="B3469" s="16" t="s">
        <v>31</v>
      </c>
      <c r="C3469" s="16" t="s">
        <v>6538</v>
      </c>
      <c r="D3469" s="16" t="s">
        <v>6578</v>
      </c>
      <c r="E3469" s="17" t="s">
        <v>6579</v>
      </c>
      <c r="F3469" s="16" t="n">
        <v>31.03789681</v>
      </c>
      <c r="G3469" s="16" t="n">
        <v>46.23931351</v>
      </c>
      <c r="H3469" s="18" t="n">
        <v>12</v>
      </c>
      <c r="I3469" s="18" t="n">
        <v>72</v>
      </c>
      <c r="J3469" s="19" t="n">
        <v>8</v>
      </c>
      <c r="K3469" s="19"/>
      <c r="L3469" s="19"/>
      <c r="M3469" s="19"/>
      <c r="N3469" s="19"/>
      <c r="O3469" s="19"/>
      <c r="P3469" s="19"/>
      <c r="Q3469" s="19"/>
      <c r="R3469" s="19"/>
      <c r="S3469" s="19"/>
      <c r="T3469" s="19"/>
      <c r="U3469" s="19"/>
      <c r="V3469" s="19" t="n">
        <v>4</v>
      </c>
      <c r="W3469" s="19"/>
      <c r="X3469" s="19"/>
      <c r="Y3469" s="19"/>
      <c r="Z3469" s="19"/>
      <c r="AA3469" s="19"/>
      <c r="AB3469" s="19"/>
      <c r="AC3469" s="19" t="n">
        <v>7</v>
      </c>
      <c r="AD3469" s="19"/>
      <c r="AE3469" s="19"/>
      <c r="AF3469" s="19"/>
      <c r="AG3469" s="19"/>
      <c r="AH3469" s="19" t="n">
        <v>5</v>
      </c>
      <c r="AI3469" s="19"/>
      <c r="AJ3469" s="19"/>
      <c r="AK3469" s="19"/>
      <c r="AL3469" s="19" t="n">
        <v>8</v>
      </c>
      <c r="AM3469" s="19" t="n">
        <v>4</v>
      </c>
      <c r="AN3469" s="19"/>
      <c r="AO3469" s="19"/>
      <c r="AP3469" s="19"/>
      <c r="AQ3469" s="19"/>
      <c r="AR3469" s="19"/>
      <c r="AS3469" s="20" t="str">
        <f aca="false">HYPERLINK("http://www.openstreetmap.org/?mlat=31.0379&amp;mlon=46.2393&amp;zoom=12#map=12/31.0379/46.2393","Maplink1")</f>
        <v>Maplink1</v>
      </c>
      <c r="AT3469" s="20" t="str">
        <f aca="false">HYPERLINK("https://www.google.iq/maps/search/+31.0379,46.2393/@31.0379,46.2393,14z?hl=en","Maplink2")</f>
        <v>Maplink2</v>
      </c>
      <c r="AU3469" s="20" t="str">
        <f aca="false">HYPERLINK("http://www.bing.com/maps/?lvl=14&amp;sty=h&amp;cp=31.0379~46.2393&amp;sp=point.31.0379_46.2393","Maplink3")</f>
        <v>Maplink3</v>
      </c>
    </row>
    <row r="3470" customFormat="false" ht="15" hidden="false" customHeight="true" outlineLevel="0" collapsed="false">
      <c r="A3470" s="15" t="n">
        <v>24885</v>
      </c>
      <c r="B3470" s="16" t="s">
        <v>31</v>
      </c>
      <c r="C3470" s="16" t="s">
        <v>6538</v>
      </c>
      <c r="D3470" s="16" t="s">
        <v>6580</v>
      </c>
      <c r="E3470" s="17" t="s">
        <v>674</v>
      </c>
      <c r="F3470" s="16" t="n">
        <v>31.05974396</v>
      </c>
      <c r="G3470" s="16" t="n">
        <v>46.28179543</v>
      </c>
      <c r="H3470" s="18" t="n">
        <v>4</v>
      </c>
      <c r="I3470" s="18" t="n">
        <v>24</v>
      </c>
      <c r="J3470" s="19"/>
      <c r="K3470" s="19"/>
      <c r="L3470" s="19" t="n">
        <v>1</v>
      </c>
      <c r="M3470" s="19"/>
      <c r="N3470" s="19"/>
      <c r="O3470" s="19"/>
      <c r="P3470" s="19"/>
      <c r="Q3470" s="19"/>
      <c r="R3470" s="19" t="n">
        <v>1</v>
      </c>
      <c r="S3470" s="19"/>
      <c r="T3470" s="19"/>
      <c r="U3470" s="19"/>
      <c r="V3470" s="19" t="n">
        <v>2</v>
      </c>
      <c r="W3470" s="19"/>
      <c r="X3470" s="19"/>
      <c r="Y3470" s="19"/>
      <c r="Z3470" s="19"/>
      <c r="AA3470" s="19"/>
      <c r="AB3470" s="19"/>
      <c r="AC3470" s="19"/>
      <c r="AD3470" s="19"/>
      <c r="AE3470" s="19"/>
      <c r="AF3470" s="19"/>
      <c r="AG3470" s="19"/>
      <c r="AH3470" s="19" t="n">
        <v>4</v>
      </c>
      <c r="AI3470" s="19"/>
      <c r="AJ3470" s="19"/>
      <c r="AK3470" s="19"/>
      <c r="AL3470" s="19"/>
      <c r="AM3470" s="19" t="n">
        <v>4</v>
      </c>
      <c r="AN3470" s="19"/>
      <c r="AO3470" s="19"/>
      <c r="AP3470" s="19"/>
      <c r="AQ3470" s="19"/>
      <c r="AR3470" s="19"/>
      <c r="AS3470" s="20" t="str">
        <f aca="false">HYPERLINK("http://www.openstreetmap.org/?mlat=31.0597&amp;mlon=46.2818&amp;zoom=12#map=12/31.0597/46.2818","Maplink1")</f>
        <v>Maplink1</v>
      </c>
      <c r="AT3470" s="20" t="str">
        <f aca="false">HYPERLINK("https://www.google.iq/maps/search/+31.0597,46.2818/@31.0597,46.2818,14z?hl=en","Maplink2")</f>
        <v>Maplink2</v>
      </c>
      <c r="AU3470" s="20" t="str">
        <f aca="false">HYPERLINK("http://www.bing.com/maps/?lvl=14&amp;sty=h&amp;cp=31.0597~46.2818&amp;sp=point.31.0597_46.2818","Maplink3")</f>
        <v>Maplink3</v>
      </c>
    </row>
    <row r="3471" customFormat="false" ht="15" hidden="false" customHeight="true" outlineLevel="0" collapsed="false">
      <c r="A3471" s="15" t="n">
        <v>25526</v>
      </c>
      <c r="B3471" s="16" t="s">
        <v>31</v>
      </c>
      <c r="C3471" s="16" t="s">
        <v>6538</v>
      </c>
      <c r="D3471" s="16" t="s">
        <v>4846</v>
      </c>
      <c r="E3471" s="17" t="s">
        <v>547</v>
      </c>
      <c r="F3471" s="16" t="n">
        <v>31.03782141</v>
      </c>
      <c r="G3471" s="16" t="n">
        <v>46.21615592</v>
      </c>
      <c r="H3471" s="18" t="n">
        <v>17</v>
      </c>
      <c r="I3471" s="18" t="n">
        <v>102</v>
      </c>
      <c r="J3471" s="19" t="n">
        <v>4</v>
      </c>
      <c r="K3471" s="19"/>
      <c r="L3471" s="19" t="n">
        <v>1</v>
      </c>
      <c r="M3471" s="19"/>
      <c r="N3471" s="19"/>
      <c r="O3471" s="19"/>
      <c r="P3471" s="19"/>
      <c r="Q3471" s="19"/>
      <c r="R3471" s="19"/>
      <c r="S3471" s="19"/>
      <c r="T3471" s="19"/>
      <c r="U3471" s="19"/>
      <c r="V3471" s="19" t="n">
        <v>8</v>
      </c>
      <c r="W3471" s="19"/>
      <c r="X3471" s="19" t="n">
        <v>4</v>
      </c>
      <c r="Y3471" s="19"/>
      <c r="Z3471" s="19"/>
      <c r="AA3471" s="19"/>
      <c r="AB3471" s="19"/>
      <c r="AC3471" s="19" t="n">
        <v>1</v>
      </c>
      <c r="AD3471" s="19"/>
      <c r="AE3471" s="19"/>
      <c r="AF3471" s="19"/>
      <c r="AG3471" s="19"/>
      <c r="AH3471" s="19" t="n">
        <v>16</v>
      </c>
      <c r="AI3471" s="19"/>
      <c r="AJ3471" s="19"/>
      <c r="AK3471" s="19"/>
      <c r="AL3471" s="19" t="n">
        <v>1</v>
      </c>
      <c r="AM3471" s="19" t="n">
        <v>12</v>
      </c>
      <c r="AN3471" s="19"/>
      <c r="AO3471" s="19"/>
      <c r="AP3471" s="19" t="n">
        <v>4</v>
      </c>
      <c r="AQ3471" s="19"/>
      <c r="AR3471" s="19"/>
      <c r="AS3471" s="20" t="str">
        <f aca="false">HYPERLINK("http://www.openstreetmap.org/?mlat=31.0378&amp;mlon=46.2162&amp;zoom=12#map=12/31.0378/46.2162","Maplink1")</f>
        <v>Maplink1</v>
      </c>
      <c r="AT3471" s="20" t="str">
        <f aca="false">HYPERLINK("https://www.google.iq/maps/search/+31.0378,46.2162/@31.0378,46.2162,14z?hl=en","Maplink2")</f>
        <v>Maplink2</v>
      </c>
      <c r="AU3471" s="20" t="str">
        <f aca="false">HYPERLINK("http://www.bing.com/maps/?lvl=14&amp;sty=h&amp;cp=31.0378~46.2162&amp;sp=point.31.0378_46.2162","Maplink3")</f>
        <v>Maplink3</v>
      </c>
    </row>
    <row r="3472" customFormat="false" ht="15" hidden="false" customHeight="true" outlineLevel="0" collapsed="false">
      <c r="A3472" s="15" t="n">
        <v>10301</v>
      </c>
      <c r="B3472" s="16" t="s">
        <v>31</v>
      </c>
      <c r="C3472" s="16" t="s">
        <v>6538</v>
      </c>
      <c r="D3472" s="16" t="s">
        <v>6581</v>
      </c>
      <c r="E3472" s="17" t="s">
        <v>6582</v>
      </c>
      <c r="F3472" s="16" t="n">
        <v>31.0685597</v>
      </c>
      <c r="G3472" s="16" t="n">
        <v>46.28108083</v>
      </c>
      <c r="H3472" s="18" t="n">
        <v>23</v>
      </c>
      <c r="I3472" s="18" t="n">
        <v>138</v>
      </c>
      <c r="J3472" s="19" t="n">
        <v>20</v>
      </c>
      <c r="K3472" s="19"/>
      <c r="L3472" s="19"/>
      <c r="M3472" s="19"/>
      <c r="N3472" s="19"/>
      <c r="O3472" s="19"/>
      <c r="P3472" s="19"/>
      <c r="Q3472" s="19"/>
      <c r="R3472" s="19"/>
      <c r="S3472" s="19"/>
      <c r="T3472" s="19"/>
      <c r="U3472" s="19"/>
      <c r="V3472" s="19" t="n">
        <v>3</v>
      </c>
      <c r="W3472" s="19"/>
      <c r="X3472" s="19"/>
      <c r="Y3472" s="19"/>
      <c r="Z3472" s="19"/>
      <c r="AA3472" s="19"/>
      <c r="AB3472" s="19"/>
      <c r="AC3472" s="19" t="n">
        <v>2</v>
      </c>
      <c r="AD3472" s="19"/>
      <c r="AE3472" s="19"/>
      <c r="AF3472" s="19"/>
      <c r="AG3472" s="19" t="n">
        <v>2</v>
      </c>
      <c r="AH3472" s="19" t="n">
        <v>19</v>
      </c>
      <c r="AI3472" s="19"/>
      <c r="AJ3472" s="19"/>
      <c r="AK3472" s="19"/>
      <c r="AL3472" s="19" t="n">
        <v>3</v>
      </c>
      <c r="AM3472" s="19" t="n">
        <v>3</v>
      </c>
      <c r="AN3472" s="19"/>
      <c r="AO3472" s="19" t="n">
        <v>8</v>
      </c>
      <c r="AP3472" s="19" t="n">
        <v>6</v>
      </c>
      <c r="AQ3472" s="19"/>
      <c r="AR3472" s="19" t="n">
        <v>3</v>
      </c>
      <c r="AS3472" s="20" t="str">
        <f aca="false">HYPERLINK("http://www.openstreetmap.org/?mlat=31.0686&amp;mlon=46.2811&amp;zoom=12#map=12/31.0686/46.2811","Maplink1")</f>
        <v>Maplink1</v>
      </c>
      <c r="AT3472" s="20" t="str">
        <f aca="false">HYPERLINK("https://www.google.iq/maps/search/+31.0686,46.2811/@31.0686,46.2811,14z?hl=en","Maplink2")</f>
        <v>Maplink2</v>
      </c>
      <c r="AU3472" s="20" t="str">
        <f aca="false">HYPERLINK("http://www.bing.com/maps/?lvl=14&amp;sty=h&amp;cp=31.0686~46.2811&amp;sp=point.31.0686_46.2811","Maplink3")</f>
        <v>Maplink3</v>
      </c>
    </row>
    <row r="3473" customFormat="false" ht="15" hidden="false" customHeight="true" outlineLevel="0" collapsed="false">
      <c r="A3473" s="15" t="n">
        <v>24746</v>
      </c>
      <c r="B3473" s="16" t="s">
        <v>31</v>
      </c>
      <c r="C3473" s="16" t="s">
        <v>6538</v>
      </c>
      <c r="D3473" s="16" t="s">
        <v>297</v>
      </c>
      <c r="E3473" s="17" t="s">
        <v>2581</v>
      </c>
      <c r="F3473" s="16" t="n">
        <v>31.04155302</v>
      </c>
      <c r="G3473" s="16" t="n">
        <v>46.27561257</v>
      </c>
      <c r="H3473" s="18" t="n">
        <v>4</v>
      </c>
      <c r="I3473" s="18" t="n">
        <v>24</v>
      </c>
      <c r="J3473" s="19"/>
      <c r="K3473" s="19"/>
      <c r="L3473" s="19"/>
      <c r="M3473" s="19"/>
      <c r="N3473" s="19"/>
      <c r="O3473" s="19"/>
      <c r="P3473" s="19"/>
      <c r="Q3473" s="19"/>
      <c r="R3473" s="19"/>
      <c r="S3473" s="19"/>
      <c r="T3473" s="19"/>
      <c r="U3473" s="19"/>
      <c r="V3473" s="19" t="n">
        <v>4</v>
      </c>
      <c r="W3473" s="19"/>
      <c r="X3473" s="19"/>
      <c r="Y3473" s="19"/>
      <c r="Z3473" s="19"/>
      <c r="AA3473" s="19"/>
      <c r="AB3473" s="19"/>
      <c r="AC3473" s="19"/>
      <c r="AD3473" s="19"/>
      <c r="AE3473" s="19"/>
      <c r="AF3473" s="19"/>
      <c r="AG3473" s="19"/>
      <c r="AH3473" s="19" t="n">
        <v>4</v>
      </c>
      <c r="AI3473" s="19"/>
      <c r="AJ3473" s="19"/>
      <c r="AK3473" s="19"/>
      <c r="AL3473" s="19"/>
      <c r="AM3473" s="19" t="n">
        <v>4</v>
      </c>
      <c r="AN3473" s="19"/>
      <c r="AO3473" s="19"/>
      <c r="AP3473" s="19"/>
      <c r="AQ3473" s="19"/>
      <c r="AR3473" s="19"/>
      <c r="AS3473" s="20" t="str">
        <f aca="false">HYPERLINK("http://www.openstreetmap.org/?mlat=31.0416&amp;mlon=46.2756&amp;zoom=12#map=12/31.0416/46.2756","Maplink1")</f>
        <v>Maplink1</v>
      </c>
      <c r="AT3473" s="20" t="str">
        <f aca="false">HYPERLINK("https://www.google.iq/maps/search/+31.0416,46.2756/@31.0416,46.2756,14z?hl=en","Maplink2")</f>
        <v>Maplink2</v>
      </c>
      <c r="AU3473" s="20" t="str">
        <f aca="false">HYPERLINK("http://www.bing.com/maps/?lvl=14&amp;sty=h&amp;cp=31.0416~46.2756&amp;sp=point.31.0416_46.2756","Maplink3")</f>
        <v>Maplink3</v>
      </c>
    </row>
    <row r="3474" customFormat="false" ht="15" hidden="false" customHeight="true" outlineLevel="0" collapsed="false">
      <c r="A3474" s="15" t="n">
        <v>21208</v>
      </c>
      <c r="B3474" s="16" t="s">
        <v>31</v>
      </c>
      <c r="C3474" s="16" t="s">
        <v>6538</v>
      </c>
      <c r="D3474" s="16" t="s">
        <v>6583</v>
      </c>
      <c r="E3474" s="17" t="s">
        <v>241</v>
      </c>
      <c r="F3474" s="16" t="n">
        <v>31.06704029</v>
      </c>
      <c r="G3474" s="16" t="n">
        <v>46.25374053</v>
      </c>
      <c r="H3474" s="18" t="n">
        <v>20</v>
      </c>
      <c r="I3474" s="18" t="n">
        <v>120</v>
      </c>
      <c r="J3474" s="19" t="n">
        <v>3</v>
      </c>
      <c r="K3474" s="19"/>
      <c r="L3474" s="19"/>
      <c r="M3474" s="19"/>
      <c r="N3474" s="19"/>
      <c r="O3474" s="19"/>
      <c r="P3474" s="19"/>
      <c r="Q3474" s="19"/>
      <c r="R3474" s="19"/>
      <c r="S3474" s="19"/>
      <c r="T3474" s="19"/>
      <c r="U3474" s="19"/>
      <c r="V3474" s="19" t="n">
        <v>17</v>
      </c>
      <c r="W3474" s="19"/>
      <c r="X3474" s="19"/>
      <c r="Y3474" s="19"/>
      <c r="Z3474" s="19"/>
      <c r="AA3474" s="19"/>
      <c r="AB3474" s="19"/>
      <c r="AC3474" s="19" t="n">
        <v>13</v>
      </c>
      <c r="AD3474" s="19"/>
      <c r="AE3474" s="19"/>
      <c r="AF3474" s="19"/>
      <c r="AG3474" s="19"/>
      <c r="AH3474" s="19" t="n">
        <v>7</v>
      </c>
      <c r="AI3474" s="19"/>
      <c r="AJ3474" s="19"/>
      <c r="AK3474" s="19"/>
      <c r="AL3474" s="19" t="n">
        <v>3</v>
      </c>
      <c r="AM3474" s="19" t="n">
        <v>3</v>
      </c>
      <c r="AN3474" s="19" t="n">
        <v>14</v>
      </c>
      <c r="AO3474" s="19"/>
      <c r="AP3474" s="19"/>
      <c r="AQ3474" s="19"/>
      <c r="AR3474" s="19"/>
      <c r="AS3474" s="20" t="str">
        <f aca="false">HYPERLINK("http://www.openstreetmap.org/?mlat=31.067&amp;mlon=46.2537&amp;zoom=12#map=12/31.067/46.2537","Maplink1")</f>
        <v>Maplink1</v>
      </c>
      <c r="AT3474" s="20" t="str">
        <f aca="false">HYPERLINK("https://www.google.iq/maps/search/+31.067,46.2537/@31.067,46.2537,14z?hl=en","Maplink2")</f>
        <v>Maplink2</v>
      </c>
      <c r="AU3474" s="20" t="str">
        <f aca="false">HYPERLINK("http://www.bing.com/maps/?lvl=14&amp;sty=h&amp;cp=31.067~46.2537&amp;sp=point.31.067_46.2537","Maplink3")</f>
        <v>Maplink3</v>
      </c>
    </row>
    <row r="3475" customFormat="false" ht="15" hidden="false" customHeight="true" outlineLevel="0" collapsed="false">
      <c r="A3475" s="15" t="n">
        <v>24750</v>
      </c>
      <c r="B3475" s="16" t="s">
        <v>31</v>
      </c>
      <c r="C3475" s="16" t="s">
        <v>6538</v>
      </c>
      <c r="D3475" s="16" t="s">
        <v>6584</v>
      </c>
      <c r="E3475" s="17" t="s">
        <v>6585</v>
      </c>
      <c r="F3475" s="16" t="n">
        <v>31.03267065</v>
      </c>
      <c r="G3475" s="16" t="n">
        <v>46.24012904</v>
      </c>
      <c r="H3475" s="18" t="n">
        <v>5</v>
      </c>
      <c r="I3475" s="18" t="n">
        <v>30</v>
      </c>
      <c r="J3475" s="19"/>
      <c r="K3475" s="19" t="n">
        <v>2</v>
      </c>
      <c r="L3475" s="19"/>
      <c r="M3475" s="19"/>
      <c r="N3475" s="19"/>
      <c r="O3475" s="19"/>
      <c r="P3475" s="19"/>
      <c r="Q3475" s="19"/>
      <c r="R3475" s="19"/>
      <c r="S3475" s="19"/>
      <c r="T3475" s="19"/>
      <c r="U3475" s="19"/>
      <c r="V3475" s="19" t="n">
        <v>3</v>
      </c>
      <c r="W3475" s="19"/>
      <c r="X3475" s="19"/>
      <c r="Y3475" s="19"/>
      <c r="Z3475" s="19"/>
      <c r="AA3475" s="19"/>
      <c r="AB3475" s="19"/>
      <c r="AC3475" s="19" t="n">
        <v>3</v>
      </c>
      <c r="AD3475" s="19"/>
      <c r="AE3475" s="19"/>
      <c r="AF3475" s="19"/>
      <c r="AG3475" s="19"/>
      <c r="AH3475" s="19" t="n">
        <v>2</v>
      </c>
      <c r="AI3475" s="19"/>
      <c r="AJ3475" s="19"/>
      <c r="AK3475" s="19"/>
      <c r="AL3475" s="19"/>
      <c r="AM3475" s="19" t="n">
        <v>2</v>
      </c>
      <c r="AN3475" s="19"/>
      <c r="AO3475" s="19"/>
      <c r="AP3475" s="19" t="n">
        <v>3</v>
      </c>
      <c r="AQ3475" s="19"/>
      <c r="AR3475" s="19"/>
      <c r="AS3475" s="20" t="str">
        <f aca="false">HYPERLINK("http://www.openstreetmap.org/?mlat=31.0327&amp;mlon=46.2401&amp;zoom=12#map=12/31.0327/46.2401","Maplink1")</f>
        <v>Maplink1</v>
      </c>
      <c r="AT3475" s="20" t="str">
        <f aca="false">HYPERLINK("https://www.google.iq/maps/search/+31.0327,46.2401/@31.0327,46.2401,14z?hl=en","Maplink2")</f>
        <v>Maplink2</v>
      </c>
      <c r="AU3475" s="20" t="str">
        <f aca="false">HYPERLINK("http://www.bing.com/maps/?lvl=14&amp;sty=h&amp;cp=31.0327~46.2401&amp;sp=point.31.0327_46.2401","Maplink3")</f>
        <v>Maplink3</v>
      </c>
    </row>
    <row r="3476" customFormat="false" ht="15" hidden="false" customHeight="true" outlineLevel="0" collapsed="false">
      <c r="A3476" s="15" t="n">
        <v>10259</v>
      </c>
      <c r="B3476" s="16" t="s">
        <v>31</v>
      </c>
      <c r="C3476" s="16" t="s">
        <v>6538</v>
      </c>
      <c r="D3476" s="16" t="s">
        <v>6586</v>
      </c>
      <c r="E3476" s="17" t="s">
        <v>6587</v>
      </c>
      <c r="F3476" s="16" t="n">
        <v>31.04812749</v>
      </c>
      <c r="G3476" s="16" t="n">
        <v>46.277297</v>
      </c>
      <c r="H3476" s="18" t="n">
        <v>30</v>
      </c>
      <c r="I3476" s="18" t="n">
        <v>180</v>
      </c>
      <c r="J3476" s="19" t="n">
        <v>2</v>
      </c>
      <c r="K3476" s="19"/>
      <c r="L3476" s="19"/>
      <c r="M3476" s="19"/>
      <c r="N3476" s="19"/>
      <c r="O3476" s="19"/>
      <c r="P3476" s="19"/>
      <c r="Q3476" s="19"/>
      <c r="R3476" s="19" t="n">
        <v>1</v>
      </c>
      <c r="S3476" s="19"/>
      <c r="T3476" s="19"/>
      <c r="U3476" s="19"/>
      <c r="V3476" s="19" t="n">
        <v>18</v>
      </c>
      <c r="W3476" s="19"/>
      <c r="X3476" s="19" t="n">
        <v>9</v>
      </c>
      <c r="Y3476" s="19"/>
      <c r="Z3476" s="19"/>
      <c r="AA3476" s="19"/>
      <c r="AB3476" s="19"/>
      <c r="AC3476" s="19" t="n">
        <v>14</v>
      </c>
      <c r="AD3476" s="19"/>
      <c r="AE3476" s="19"/>
      <c r="AF3476" s="19"/>
      <c r="AG3476" s="19"/>
      <c r="AH3476" s="19" t="n">
        <v>16</v>
      </c>
      <c r="AI3476" s="19"/>
      <c r="AJ3476" s="19"/>
      <c r="AK3476" s="19"/>
      <c r="AL3476" s="19" t="n">
        <v>2</v>
      </c>
      <c r="AM3476" s="19"/>
      <c r="AN3476" s="19" t="n">
        <v>27</v>
      </c>
      <c r="AO3476" s="19" t="n">
        <v>1</v>
      </c>
      <c r="AP3476" s="19"/>
      <c r="AQ3476" s="19"/>
      <c r="AR3476" s="19"/>
      <c r="AS3476" s="20" t="str">
        <f aca="false">HYPERLINK("http://www.openstreetmap.org/?mlat=31.0481&amp;mlon=46.2773&amp;zoom=12#map=12/31.0481/46.2773","Maplink1")</f>
        <v>Maplink1</v>
      </c>
      <c r="AT3476" s="20" t="str">
        <f aca="false">HYPERLINK("https://www.google.iq/maps/search/+31.0481,46.2773/@31.0481,46.2773,14z?hl=en","Maplink2")</f>
        <v>Maplink2</v>
      </c>
      <c r="AU3476" s="20" t="str">
        <f aca="false">HYPERLINK("http://www.bing.com/maps/?lvl=14&amp;sty=h&amp;cp=31.0481~46.2773&amp;sp=point.31.0481_46.2773","Maplink3")</f>
        <v>Maplink3</v>
      </c>
    </row>
    <row r="3477" customFormat="false" ht="15" hidden="false" customHeight="true" outlineLevel="0" collapsed="false">
      <c r="A3477" s="15" t="n">
        <v>24742</v>
      </c>
      <c r="B3477" s="16" t="s">
        <v>31</v>
      </c>
      <c r="C3477" s="16" t="s">
        <v>6538</v>
      </c>
      <c r="D3477" s="16" t="s">
        <v>5517</v>
      </c>
      <c r="E3477" s="17" t="s">
        <v>4618</v>
      </c>
      <c r="F3477" s="16" t="n">
        <v>31.05270266</v>
      </c>
      <c r="G3477" s="16" t="n">
        <v>46.27598023</v>
      </c>
      <c r="H3477" s="18" t="n">
        <v>4</v>
      </c>
      <c r="I3477" s="18" t="n">
        <v>24</v>
      </c>
      <c r="J3477" s="19"/>
      <c r="K3477" s="19"/>
      <c r="L3477" s="19"/>
      <c r="M3477" s="19"/>
      <c r="N3477" s="19"/>
      <c r="O3477" s="19" t="n">
        <v>1</v>
      </c>
      <c r="P3477" s="19"/>
      <c r="Q3477" s="19"/>
      <c r="R3477" s="19" t="n">
        <v>3</v>
      </c>
      <c r="S3477" s="19"/>
      <c r="T3477" s="19"/>
      <c r="U3477" s="19"/>
      <c r="V3477" s="19"/>
      <c r="W3477" s="19"/>
      <c r="X3477" s="19"/>
      <c r="Y3477" s="19"/>
      <c r="Z3477" s="19"/>
      <c r="AA3477" s="19"/>
      <c r="AB3477" s="19"/>
      <c r="AC3477" s="19" t="n">
        <v>2</v>
      </c>
      <c r="AD3477" s="19"/>
      <c r="AE3477" s="19"/>
      <c r="AF3477" s="19"/>
      <c r="AG3477" s="19"/>
      <c r="AH3477" s="19" t="n">
        <v>2</v>
      </c>
      <c r="AI3477" s="19"/>
      <c r="AJ3477" s="19"/>
      <c r="AK3477" s="19"/>
      <c r="AL3477" s="19"/>
      <c r="AM3477" s="19"/>
      <c r="AN3477" s="19" t="n">
        <v>1</v>
      </c>
      <c r="AO3477" s="19" t="n">
        <v>3</v>
      </c>
      <c r="AP3477" s="19"/>
      <c r="AQ3477" s="19"/>
      <c r="AR3477" s="19"/>
      <c r="AS3477" s="20" t="str">
        <f aca="false">HYPERLINK("http://www.openstreetmap.org/?mlat=31.0527&amp;mlon=46.276&amp;zoom=12#map=12/31.0527/46.276","Maplink1")</f>
        <v>Maplink1</v>
      </c>
      <c r="AT3477" s="20" t="str">
        <f aca="false">HYPERLINK("https://www.google.iq/maps/search/+31.0527,46.276/@31.0527,46.276,14z?hl=en","Maplink2")</f>
        <v>Maplink2</v>
      </c>
      <c r="AU3477" s="20" t="str">
        <f aca="false">HYPERLINK("http://www.bing.com/maps/?lvl=14&amp;sty=h&amp;cp=31.0527~46.276&amp;sp=point.31.0527_46.276","Maplink3")</f>
        <v>Maplink3</v>
      </c>
    </row>
    <row r="3478" customFormat="false" ht="15" hidden="false" customHeight="true" outlineLevel="0" collapsed="false">
      <c r="A3478" s="15" t="n">
        <v>9561</v>
      </c>
      <c r="B3478" s="16" t="s">
        <v>31</v>
      </c>
      <c r="C3478" s="16" t="s">
        <v>6538</v>
      </c>
      <c r="D3478" s="16" t="s">
        <v>6588</v>
      </c>
      <c r="E3478" s="17" t="s">
        <v>6589</v>
      </c>
      <c r="F3478" s="16" t="n">
        <v>31.06693541</v>
      </c>
      <c r="G3478" s="16" t="n">
        <v>46.26278789</v>
      </c>
      <c r="H3478" s="18" t="n">
        <v>7</v>
      </c>
      <c r="I3478" s="18" t="n">
        <v>42</v>
      </c>
      <c r="J3478" s="19" t="n">
        <v>5</v>
      </c>
      <c r="K3478" s="19"/>
      <c r="L3478" s="19" t="n">
        <v>1</v>
      </c>
      <c r="M3478" s="19"/>
      <c r="N3478" s="19"/>
      <c r="O3478" s="19"/>
      <c r="P3478" s="19"/>
      <c r="Q3478" s="19"/>
      <c r="R3478" s="19" t="n">
        <v>1</v>
      </c>
      <c r="S3478" s="19"/>
      <c r="T3478" s="19"/>
      <c r="U3478" s="19"/>
      <c r="V3478" s="19"/>
      <c r="W3478" s="19"/>
      <c r="X3478" s="19"/>
      <c r="Y3478" s="19"/>
      <c r="Z3478" s="19"/>
      <c r="AA3478" s="19"/>
      <c r="AB3478" s="19"/>
      <c r="AC3478" s="19"/>
      <c r="AD3478" s="19"/>
      <c r="AE3478" s="19"/>
      <c r="AF3478" s="19"/>
      <c r="AG3478" s="19"/>
      <c r="AH3478" s="19" t="n">
        <v>7</v>
      </c>
      <c r="AI3478" s="19"/>
      <c r="AJ3478" s="19"/>
      <c r="AK3478" s="19"/>
      <c r="AL3478" s="19" t="n">
        <v>5</v>
      </c>
      <c r="AM3478" s="19" t="n">
        <v>2</v>
      </c>
      <c r="AN3478" s="19"/>
      <c r="AO3478" s="19"/>
      <c r="AP3478" s="19"/>
      <c r="AQ3478" s="19"/>
      <c r="AR3478" s="19"/>
      <c r="AS3478" s="20" t="str">
        <f aca="false">HYPERLINK("http://www.openstreetmap.org/?mlat=31.0669&amp;mlon=46.2628&amp;zoom=12#map=12/31.0669/46.2628","Maplink1")</f>
        <v>Maplink1</v>
      </c>
      <c r="AT3478" s="20" t="str">
        <f aca="false">HYPERLINK("https://www.google.iq/maps/search/+31.0669,46.2628/@31.0669,46.2628,14z?hl=en","Maplink2")</f>
        <v>Maplink2</v>
      </c>
      <c r="AU3478" s="20" t="str">
        <f aca="false">HYPERLINK("http://www.bing.com/maps/?lvl=14&amp;sty=h&amp;cp=31.0669~46.2628&amp;sp=point.31.0669_46.2628","Maplink3")</f>
        <v>Maplink3</v>
      </c>
    </row>
    <row r="3479" customFormat="false" ht="15" hidden="false" customHeight="true" outlineLevel="0" collapsed="false">
      <c r="A3479" s="15" t="n">
        <v>9427</v>
      </c>
      <c r="B3479" s="16" t="s">
        <v>31</v>
      </c>
      <c r="C3479" s="16" t="s">
        <v>6538</v>
      </c>
      <c r="D3479" s="16" t="s">
        <v>6590</v>
      </c>
      <c r="E3479" s="17" t="s">
        <v>6591</v>
      </c>
      <c r="F3479" s="16" t="n">
        <v>31.03874</v>
      </c>
      <c r="G3479" s="16" t="n">
        <v>46.221649</v>
      </c>
      <c r="H3479" s="18" t="n">
        <v>7</v>
      </c>
      <c r="I3479" s="18" t="n">
        <v>42</v>
      </c>
      <c r="J3479" s="19" t="n">
        <v>3</v>
      </c>
      <c r="K3479" s="19"/>
      <c r="L3479" s="19"/>
      <c r="M3479" s="19"/>
      <c r="N3479" s="19"/>
      <c r="O3479" s="19"/>
      <c r="P3479" s="19"/>
      <c r="Q3479" s="19"/>
      <c r="R3479" s="19"/>
      <c r="S3479" s="19"/>
      <c r="T3479" s="19"/>
      <c r="U3479" s="19"/>
      <c r="V3479" s="19" t="n">
        <v>4</v>
      </c>
      <c r="W3479" s="19"/>
      <c r="X3479" s="19"/>
      <c r="Y3479" s="19"/>
      <c r="Z3479" s="19"/>
      <c r="AA3479" s="19"/>
      <c r="AB3479" s="19"/>
      <c r="AC3479" s="19" t="n">
        <v>3</v>
      </c>
      <c r="AD3479" s="19"/>
      <c r="AE3479" s="19"/>
      <c r="AF3479" s="19"/>
      <c r="AG3479" s="19"/>
      <c r="AH3479" s="19" t="n">
        <v>4</v>
      </c>
      <c r="AI3479" s="19"/>
      <c r="AJ3479" s="19"/>
      <c r="AK3479" s="19"/>
      <c r="AL3479" s="19" t="n">
        <v>4</v>
      </c>
      <c r="AM3479" s="19"/>
      <c r="AN3479" s="19" t="n">
        <v>3</v>
      </c>
      <c r="AO3479" s="19"/>
      <c r="AP3479" s="19"/>
      <c r="AQ3479" s="19"/>
      <c r="AR3479" s="19"/>
      <c r="AS3479" s="20" t="str">
        <f aca="false">HYPERLINK("http://www.openstreetmap.org/?mlat=31.0387&amp;mlon=46.2216&amp;zoom=12#map=12/31.0387/46.2216","Maplink1")</f>
        <v>Maplink1</v>
      </c>
      <c r="AT3479" s="20" t="str">
        <f aca="false">HYPERLINK("https://www.google.iq/maps/search/+31.0387,46.2216/@31.0387,46.2216,14z?hl=en","Maplink2")</f>
        <v>Maplink2</v>
      </c>
      <c r="AU3479" s="20" t="str">
        <f aca="false">HYPERLINK("http://www.bing.com/maps/?lvl=14&amp;sty=h&amp;cp=31.0387~46.2216&amp;sp=point.31.0387_46.2216","Maplink3")</f>
        <v>Maplink3</v>
      </c>
    </row>
    <row r="3480" customFormat="false" ht="15" hidden="false" customHeight="true" outlineLevel="0" collapsed="false">
      <c r="A3480" s="15" t="n">
        <v>9398</v>
      </c>
      <c r="B3480" s="16" t="s">
        <v>31</v>
      </c>
      <c r="C3480" s="16" t="s">
        <v>6538</v>
      </c>
      <c r="D3480" s="16" t="s">
        <v>6592</v>
      </c>
      <c r="E3480" s="17" t="s">
        <v>85</v>
      </c>
      <c r="F3480" s="16" t="n">
        <v>31.06995813</v>
      </c>
      <c r="G3480" s="16" t="n">
        <v>46.27009005</v>
      </c>
      <c r="H3480" s="18" t="n">
        <v>27</v>
      </c>
      <c r="I3480" s="18" t="n">
        <v>162</v>
      </c>
      <c r="J3480" s="19" t="n">
        <v>5</v>
      </c>
      <c r="K3480" s="19"/>
      <c r="L3480" s="19"/>
      <c r="M3480" s="19"/>
      <c r="N3480" s="19"/>
      <c r="O3480" s="19"/>
      <c r="P3480" s="19"/>
      <c r="Q3480" s="19"/>
      <c r="R3480" s="19"/>
      <c r="S3480" s="19"/>
      <c r="T3480" s="19"/>
      <c r="U3480" s="19"/>
      <c r="V3480" s="19" t="n">
        <v>22</v>
      </c>
      <c r="W3480" s="19"/>
      <c r="X3480" s="19"/>
      <c r="Y3480" s="19"/>
      <c r="Z3480" s="19"/>
      <c r="AA3480" s="19"/>
      <c r="AB3480" s="19"/>
      <c r="AC3480" s="19" t="n">
        <v>13</v>
      </c>
      <c r="AD3480" s="19"/>
      <c r="AE3480" s="19"/>
      <c r="AF3480" s="19"/>
      <c r="AG3480" s="19"/>
      <c r="AH3480" s="19" t="n">
        <v>14</v>
      </c>
      <c r="AI3480" s="19"/>
      <c r="AJ3480" s="19"/>
      <c r="AK3480" s="19"/>
      <c r="AL3480" s="19" t="n">
        <v>1</v>
      </c>
      <c r="AM3480" s="19"/>
      <c r="AN3480" s="19" t="n">
        <v>26</v>
      </c>
      <c r="AO3480" s="19"/>
      <c r="AP3480" s="19"/>
      <c r="AQ3480" s="19"/>
      <c r="AR3480" s="19"/>
      <c r="AS3480" s="20" t="str">
        <f aca="false">HYPERLINK("http://www.openstreetmap.org/?mlat=31.07&amp;mlon=46.2701&amp;zoom=12#map=12/31.07/46.2701","Maplink1")</f>
        <v>Maplink1</v>
      </c>
      <c r="AT3480" s="20" t="str">
        <f aca="false">HYPERLINK("https://www.google.iq/maps/search/+31.07,46.2701/@31.07,46.2701,14z?hl=en","Maplink2")</f>
        <v>Maplink2</v>
      </c>
      <c r="AU3480" s="20" t="str">
        <f aca="false">HYPERLINK("http://www.bing.com/maps/?lvl=14&amp;sty=h&amp;cp=31.07~46.2701&amp;sp=point.31.07_46.2701","Maplink3")</f>
        <v>Maplink3</v>
      </c>
    </row>
    <row r="3481" customFormat="false" ht="15" hidden="false" customHeight="true" outlineLevel="0" collapsed="false">
      <c r="A3481" s="15" t="n">
        <v>23683</v>
      </c>
      <c r="B3481" s="16" t="s">
        <v>31</v>
      </c>
      <c r="C3481" s="16" t="s">
        <v>6538</v>
      </c>
      <c r="D3481" s="16" t="s">
        <v>6593</v>
      </c>
      <c r="E3481" s="17" t="s">
        <v>6594</v>
      </c>
      <c r="F3481" s="16" t="n">
        <v>31.03505571</v>
      </c>
      <c r="G3481" s="16" t="n">
        <v>46.25219395</v>
      </c>
      <c r="H3481" s="18" t="n">
        <v>13</v>
      </c>
      <c r="I3481" s="18" t="n">
        <v>78</v>
      </c>
      <c r="J3481" s="19" t="n">
        <v>5</v>
      </c>
      <c r="K3481" s="19"/>
      <c r="L3481" s="19"/>
      <c r="M3481" s="19"/>
      <c r="N3481" s="19"/>
      <c r="O3481" s="19"/>
      <c r="P3481" s="19"/>
      <c r="Q3481" s="19"/>
      <c r="R3481" s="19"/>
      <c r="S3481" s="19"/>
      <c r="T3481" s="19"/>
      <c r="U3481" s="19"/>
      <c r="V3481" s="19" t="n">
        <v>8</v>
      </c>
      <c r="W3481" s="19"/>
      <c r="X3481" s="19"/>
      <c r="Y3481" s="19"/>
      <c r="Z3481" s="19"/>
      <c r="AA3481" s="19"/>
      <c r="AB3481" s="19"/>
      <c r="AC3481" s="19" t="n">
        <v>4</v>
      </c>
      <c r="AD3481" s="19"/>
      <c r="AE3481" s="19"/>
      <c r="AF3481" s="19"/>
      <c r="AG3481" s="19"/>
      <c r="AH3481" s="19" t="n">
        <v>9</v>
      </c>
      <c r="AI3481" s="19"/>
      <c r="AJ3481" s="19"/>
      <c r="AK3481" s="19"/>
      <c r="AL3481" s="19" t="n">
        <v>3</v>
      </c>
      <c r="AM3481" s="19" t="n">
        <v>5</v>
      </c>
      <c r="AN3481" s="19"/>
      <c r="AO3481" s="19" t="n">
        <v>5</v>
      </c>
      <c r="AP3481" s="19"/>
      <c r="AQ3481" s="19"/>
      <c r="AR3481" s="19"/>
      <c r="AS3481" s="20" t="str">
        <f aca="false">HYPERLINK("http://www.openstreetmap.org/?mlat=31.0351&amp;mlon=46.2522&amp;zoom=12#map=12/31.0351/46.2522","Maplink1")</f>
        <v>Maplink1</v>
      </c>
      <c r="AT3481" s="20" t="str">
        <f aca="false">HYPERLINK("https://www.google.iq/maps/search/+31.0351,46.2522/@31.0351,46.2522,14z?hl=en","Maplink2")</f>
        <v>Maplink2</v>
      </c>
      <c r="AU3481" s="20" t="str">
        <f aca="false">HYPERLINK("http://www.bing.com/maps/?lvl=14&amp;sty=h&amp;cp=31.0351~46.2522&amp;sp=point.31.0351_46.2522","Maplink3")</f>
        <v>Maplink3</v>
      </c>
    </row>
    <row r="3482" customFormat="false" ht="15" hidden="false" customHeight="true" outlineLevel="0" collapsed="false">
      <c r="A3482" s="15" t="n">
        <v>25532</v>
      </c>
      <c r="B3482" s="16" t="s">
        <v>31</v>
      </c>
      <c r="C3482" s="16" t="s">
        <v>6538</v>
      </c>
      <c r="D3482" s="16" t="s">
        <v>6595</v>
      </c>
      <c r="E3482" s="17" t="s">
        <v>6596</v>
      </c>
      <c r="F3482" s="16" t="n">
        <v>31.05280414</v>
      </c>
      <c r="G3482" s="16" t="n">
        <v>46.26856004</v>
      </c>
      <c r="H3482" s="18" t="n">
        <v>13</v>
      </c>
      <c r="I3482" s="18" t="n">
        <v>78</v>
      </c>
      <c r="J3482" s="19"/>
      <c r="K3482" s="19"/>
      <c r="L3482" s="19"/>
      <c r="M3482" s="19"/>
      <c r="N3482" s="19"/>
      <c r="O3482" s="19"/>
      <c r="P3482" s="19"/>
      <c r="Q3482" s="19"/>
      <c r="R3482" s="19"/>
      <c r="S3482" s="19"/>
      <c r="T3482" s="19"/>
      <c r="U3482" s="19"/>
      <c r="V3482" s="19" t="n">
        <v>13</v>
      </c>
      <c r="W3482" s="19"/>
      <c r="X3482" s="19"/>
      <c r="Y3482" s="19"/>
      <c r="Z3482" s="19"/>
      <c r="AA3482" s="19"/>
      <c r="AB3482" s="19"/>
      <c r="AC3482" s="19"/>
      <c r="AD3482" s="19"/>
      <c r="AE3482" s="19"/>
      <c r="AF3482" s="19"/>
      <c r="AG3482" s="19"/>
      <c r="AH3482" s="19" t="n">
        <v>13</v>
      </c>
      <c r="AI3482" s="19"/>
      <c r="AJ3482" s="19"/>
      <c r="AK3482" s="19"/>
      <c r="AL3482" s="19" t="n">
        <v>10</v>
      </c>
      <c r="AM3482" s="19" t="n">
        <v>3</v>
      </c>
      <c r="AN3482" s="19"/>
      <c r="AO3482" s="19"/>
      <c r="AP3482" s="19"/>
      <c r="AQ3482" s="19"/>
      <c r="AR3482" s="19"/>
      <c r="AS3482" s="20" t="str">
        <f aca="false">HYPERLINK("http://www.openstreetmap.org/?mlat=31.0528&amp;mlon=46.2686&amp;zoom=12#map=12/31.0528/46.2686","Maplink1")</f>
        <v>Maplink1</v>
      </c>
      <c r="AT3482" s="20" t="str">
        <f aca="false">HYPERLINK("https://www.google.iq/maps/search/+31.0528,46.2686/@31.0528,46.2686,14z?hl=en","Maplink2")</f>
        <v>Maplink2</v>
      </c>
      <c r="AU3482" s="20" t="str">
        <f aca="false">HYPERLINK("http://www.bing.com/maps/?lvl=14&amp;sty=h&amp;cp=31.0528~46.2686&amp;sp=point.31.0528_46.2686","Maplink3")</f>
        <v>Maplink3</v>
      </c>
    </row>
    <row r="3483" customFormat="false" ht="15" hidden="false" customHeight="true" outlineLevel="0" collapsed="false">
      <c r="A3483" s="15" t="n">
        <v>25528</v>
      </c>
      <c r="B3483" s="16" t="s">
        <v>31</v>
      </c>
      <c r="C3483" s="16" t="s">
        <v>6538</v>
      </c>
      <c r="D3483" s="16" t="s">
        <v>6597</v>
      </c>
      <c r="E3483" s="17" t="s">
        <v>6598</v>
      </c>
      <c r="F3483" s="16" t="n">
        <v>31.05646077</v>
      </c>
      <c r="G3483" s="16" t="n">
        <v>46.25291179</v>
      </c>
      <c r="H3483" s="18" t="n">
        <v>8</v>
      </c>
      <c r="I3483" s="18" t="n">
        <v>48</v>
      </c>
      <c r="J3483" s="19" t="n">
        <v>4</v>
      </c>
      <c r="K3483" s="19"/>
      <c r="L3483" s="19"/>
      <c r="M3483" s="19"/>
      <c r="N3483" s="19"/>
      <c r="O3483" s="19"/>
      <c r="P3483" s="19"/>
      <c r="Q3483" s="19"/>
      <c r="R3483" s="19"/>
      <c r="S3483" s="19"/>
      <c r="T3483" s="19"/>
      <c r="U3483" s="19"/>
      <c r="V3483" s="19" t="n">
        <v>4</v>
      </c>
      <c r="W3483" s="19"/>
      <c r="X3483" s="19"/>
      <c r="Y3483" s="19"/>
      <c r="Z3483" s="19"/>
      <c r="AA3483" s="19"/>
      <c r="AB3483" s="19"/>
      <c r="AC3483" s="19" t="n">
        <v>4</v>
      </c>
      <c r="AD3483" s="19"/>
      <c r="AE3483" s="19"/>
      <c r="AF3483" s="19"/>
      <c r="AG3483" s="19"/>
      <c r="AH3483" s="19" t="n">
        <v>4</v>
      </c>
      <c r="AI3483" s="19"/>
      <c r="AJ3483" s="19"/>
      <c r="AK3483" s="19"/>
      <c r="AL3483" s="19" t="n">
        <v>1</v>
      </c>
      <c r="AM3483" s="19" t="n">
        <v>3</v>
      </c>
      <c r="AN3483" s="19" t="n">
        <v>3</v>
      </c>
      <c r="AO3483" s="19" t="n">
        <v>1</v>
      </c>
      <c r="AP3483" s="19"/>
      <c r="AQ3483" s="19"/>
      <c r="AR3483" s="19"/>
      <c r="AS3483" s="20" t="str">
        <f aca="false">HYPERLINK("http://www.openstreetmap.org/?mlat=31.0565&amp;mlon=46.2529&amp;zoom=12#map=12/31.0565/46.2529","Maplink1")</f>
        <v>Maplink1</v>
      </c>
      <c r="AT3483" s="20" t="str">
        <f aca="false">HYPERLINK("https://www.google.iq/maps/search/+31.0565,46.2529/@31.0565,46.2529,14z?hl=en","Maplink2")</f>
        <v>Maplink2</v>
      </c>
      <c r="AU3483" s="20" t="str">
        <f aca="false">HYPERLINK("http://www.bing.com/maps/?lvl=14&amp;sty=h&amp;cp=31.0565~46.2529&amp;sp=point.31.0565_46.2529","Maplink3")</f>
        <v>Maplink3</v>
      </c>
    </row>
    <row r="3484" customFormat="false" ht="15" hidden="false" customHeight="true" outlineLevel="0" collapsed="false">
      <c r="A3484" s="15" t="n">
        <v>25531</v>
      </c>
      <c r="B3484" s="16" t="s">
        <v>31</v>
      </c>
      <c r="C3484" s="16" t="s">
        <v>6538</v>
      </c>
      <c r="D3484" s="16" t="s">
        <v>6599</v>
      </c>
      <c r="E3484" s="17" t="s">
        <v>6600</v>
      </c>
      <c r="F3484" s="16" t="n">
        <v>31.04283326</v>
      </c>
      <c r="G3484" s="16" t="n">
        <v>46.23460335</v>
      </c>
      <c r="H3484" s="18" t="n">
        <v>2</v>
      </c>
      <c r="I3484" s="18" t="n">
        <v>12</v>
      </c>
      <c r="J3484" s="19"/>
      <c r="K3484" s="19"/>
      <c r="L3484" s="19"/>
      <c r="M3484" s="19"/>
      <c r="N3484" s="19"/>
      <c r="O3484" s="19"/>
      <c r="P3484" s="19"/>
      <c r="Q3484" s="19"/>
      <c r="R3484" s="19"/>
      <c r="S3484" s="19"/>
      <c r="T3484" s="19"/>
      <c r="U3484" s="19"/>
      <c r="V3484" s="19" t="n">
        <v>2</v>
      </c>
      <c r="W3484" s="19"/>
      <c r="X3484" s="19"/>
      <c r="Y3484" s="19"/>
      <c r="Z3484" s="19"/>
      <c r="AA3484" s="19"/>
      <c r="AB3484" s="19"/>
      <c r="AC3484" s="19"/>
      <c r="AD3484" s="19"/>
      <c r="AE3484" s="19"/>
      <c r="AF3484" s="19"/>
      <c r="AG3484" s="19"/>
      <c r="AH3484" s="19" t="n">
        <v>2</v>
      </c>
      <c r="AI3484" s="19"/>
      <c r="AJ3484" s="19"/>
      <c r="AK3484" s="19"/>
      <c r="AL3484" s="19"/>
      <c r="AM3484" s="19" t="n">
        <v>2</v>
      </c>
      <c r="AN3484" s="19"/>
      <c r="AO3484" s="19"/>
      <c r="AP3484" s="19"/>
      <c r="AQ3484" s="19"/>
      <c r="AR3484" s="19"/>
      <c r="AS3484" s="20" t="str">
        <f aca="false">HYPERLINK("http://www.openstreetmap.org/?mlat=31.0428&amp;mlon=46.2346&amp;zoom=12#map=12/31.0428/46.2346","Maplink1")</f>
        <v>Maplink1</v>
      </c>
      <c r="AT3484" s="20" t="str">
        <f aca="false">HYPERLINK("https://www.google.iq/maps/search/+31.0428,46.2346/@31.0428,46.2346,14z?hl=en","Maplink2")</f>
        <v>Maplink2</v>
      </c>
      <c r="AU3484" s="20" t="str">
        <f aca="false">HYPERLINK("http://www.bing.com/maps/?lvl=14&amp;sty=h&amp;cp=31.0428~46.2346&amp;sp=point.31.0428_46.2346","Maplink3")</f>
        <v>Maplink3</v>
      </c>
    </row>
    <row r="3485" customFormat="false" ht="15" hidden="false" customHeight="true" outlineLevel="0" collapsed="false">
      <c r="A3485" s="15" t="n">
        <v>25530</v>
      </c>
      <c r="B3485" s="16" t="s">
        <v>31</v>
      </c>
      <c r="C3485" s="16" t="s">
        <v>6538</v>
      </c>
      <c r="D3485" s="16" t="s">
        <v>6601</v>
      </c>
      <c r="E3485" s="17" t="s">
        <v>2537</v>
      </c>
      <c r="F3485" s="16" t="n">
        <v>31.07164338</v>
      </c>
      <c r="G3485" s="16" t="n">
        <v>46.26035717</v>
      </c>
      <c r="H3485" s="18" t="n">
        <v>4</v>
      </c>
      <c r="I3485" s="18" t="n">
        <v>24</v>
      </c>
      <c r="J3485" s="19" t="n">
        <v>3</v>
      </c>
      <c r="K3485" s="19"/>
      <c r="L3485" s="19"/>
      <c r="M3485" s="19"/>
      <c r="N3485" s="19"/>
      <c r="O3485" s="19"/>
      <c r="P3485" s="19"/>
      <c r="Q3485" s="19"/>
      <c r="R3485" s="19"/>
      <c r="S3485" s="19"/>
      <c r="T3485" s="19"/>
      <c r="U3485" s="19"/>
      <c r="V3485" s="19" t="n">
        <v>1</v>
      </c>
      <c r="W3485" s="19"/>
      <c r="X3485" s="19"/>
      <c r="Y3485" s="19"/>
      <c r="Z3485" s="19"/>
      <c r="AA3485" s="19"/>
      <c r="AB3485" s="19"/>
      <c r="AC3485" s="19" t="n">
        <v>3</v>
      </c>
      <c r="AD3485" s="19"/>
      <c r="AE3485" s="19"/>
      <c r="AF3485" s="19"/>
      <c r="AG3485" s="19"/>
      <c r="AH3485" s="19" t="n">
        <v>1</v>
      </c>
      <c r="AI3485" s="19"/>
      <c r="AJ3485" s="19"/>
      <c r="AK3485" s="19"/>
      <c r="AL3485" s="19"/>
      <c r="AM3485" s="19"/>
      <c r="AN3485" s="19"/>
      <c r="AO3485" s="19" t="n">
        <v>1</v>
      </c>
      <c r="AP3485" s="19" t="n">
        <v>3</v>
      </c>
      <c r="AQ3485" s="19"/>
      <c r="AR3485" s="19"/>
      <c r="AS3485" s="20" t="str">
        <f aca="false">HYPERLINK("http://www.openstreetmap.org/?mlat=31.0716&amp;mlon=46.2604&amp;zoom=12#map=12/31.0716/46.2604","Maplink1")</f>
        <v>Maplink1</v>
      </c>
      <c r="AT3485" s="20" t="str">
        <f aca="false">HYPERLINK("https://www.google.iq/maps/search/+31.0716,46.2604/@31.0716,46.2604,14z?hl=en","Maplink2")</f>
        <v>Maplink2</v>
      </c>
      <c r="AU3485" s="20" t="str">
        <f aca="false">HYPERLINK("http://www.bing.com/maps/?lvl=14&amp;sty=h&amp;cp=31.0716~46.2604&amp;sp=point.31.0716_46.2604","Maplink3")</f>
        <v>Maplink3</v>
      </c>
    </row>
    <row r="3486" customFormat="false" ht="15" hidden="false" customHeight="true" outlineLevel="0" collapsed="false">
      <c r="A3486" s="15" t="n">
        <v>25533</v>
      </c>
      <c r="B3486" s="16" t="s">
        <v>31</v>
      </c>
      <c r="C3486" s="16" t="s">
        <v>6538</v>
      </c>
      <c r="D3486" s="16" t="s">
        <v>6602</v>
      </c>
      <c r="E3486" s="17" t="s">
        <v>6603</v>
      </c>
      <c r="F3486" s="16" t="n">
        <v>31.07910385</v>
      </c>
      <c r="G3486" s="16" t="n">
        <v>46.23733749</v>
      </c>
      <c r="H3486" s="18" t="n">
        <v>17</v>
      </c>
      <c r="I3486" s="18" t="n">
        <v>102</v>
      </c>
      <c r="J3486" s="19" t="n">
        <v>7</v>
      </c>
      <c r="K3486" s="19"/>
      <c r="L3486" s="19"/>
      <c r="M3486" s="19"/>
      <c r="N3486" s="19"/>
      <c r="O3486" s="19"/>
      <c r="P3486" s="19"/>
      <c r="Q3486" s="19"/>
      <c r="R3486" s="19"/>
      <c r="S3486" s="19"/>
      <c r="T3486" s="19"/>
      <c r="U3486" s="19"/>
      <c r="V3486" s="19" t="n">
        <v>10</v>
      </c>
      <c r="W3486" s="19"/>
      <c r="X3486" s="19"/>
      <c r="Y3486" s="19"/>
      <c r="Z3486" s="19"/>
      <c r="AA3486" s="19"/>
      <c r="AB3486" s="19"/>
      <c r="AC3486" s="19" t="n">
        <v>4</v>
      </c>
      <c r="AD3486" s="19"/>
      <c r="AE3486" s="19"/>
      <c r="AF3486" s="19"/>
      <c r="AG3486" s="19"/>
      <c r="AH3486" s="19" t="n">
        <v>13</v>
      </c>
      <c r="AI3486" s="19"/>
      <c r="AJ3486" s="19"/>
      <c r="AK3486" s="19"/>
      <c r="AL3486" s="19"/>
      <c r="AM3486" s="19" t="n">
        <v>3</v>
      </c>
      <c r="AN3486" s="19" t="n">
        <v>5</v>
      </c>
      <c r="AO3486" s="19"/>
      <c r="AP3486" s="19" t="n">
        <v>9</v>
      </c>
      <c r="AQ3486" s="19"/>
      <c r="AR3486" s="19"/>
      <c r="AS3486" s="20" t="str">
        <f aca="false">HYPERLINK("http://www.openstreetmap.org/?mlat=31.0791&amp;mlon=46.2373&amp;zoom=12#map=12/31.0791/46.2373","Maplink1")</f>
        <v>Maplink1</v>
      </c>
      <c r="AT3486" s="20" t="str">
        <f aca="false">HYPERLINK("https://www.google.iq/maps/search/+31.0791,46.2373/@31.0791,46.2373,14z?hl=en","Maplink2")</f>
        <v>Maplink2</v>
      </c>
      <c r="AU3486" s="20" t="str">
        <f aca="false">HYPERLINK("http://www.bing.com/maps/?lvl=14&amp;sty=h&amp;cp=31.0791~46.2373&amp;sp=point.31.0791_46.2373","Maplink3")</f>
        <v>Maplink3</v>
      </c>
    </row>
    <row r="3487" customFormat="false" ht="15" hidden="false" customHeight="true" outlineLevel="0" collapsed="false">
      <c r="A3487" s="15" t="n">
        <v>10263</v>
      </c>
      <c r="B3487" s="16" t="s">
        <v>31</v>
      </c>
      <c r="C3487" s="16" t="s">
        <v>6538</v>
      </c>
      <c r="D3487" s="16" t="s">
        <v>6604</v>
      </c>
      <c r="E3487" s="17" t="s">
        <v>6605</v>
      </c>
      <c r="F3487" s="16" t="n">
        <v>31.0779751</v>
      </c>
      <c r="G3487" s="16" t="n">
        <v>46.24376863</v>
      </c>
      <c r="H3487" s="18" t="n">
        <v>47</v>
      </c>
      <c r="I3487" s="18" t="n">
        <v>282</v>
      </c>
      <c r="J3487" s="19" t="n">
        <v>10</v>
      </c>
      <c r="K3487" s="19"/>
      <c r="L3487" s="19"/>
      <c r="M3487" s="19"/>
      <c r="N3487" s="19"/>
      <c r="O3487" s="19"/>
      <c r="P3487" s="19"/>
      <c r="Q3487" s="19"/>
      <c r="R3487" s="19" t="n">
        <v>4</v>
      </c>
      <c r="S3487" s="19"/>
      <c r="T3487" s="19"/>
      <c r="U3487" s="19"/>
      <c r="V3487" s="19" t="n">
        <v>30</v>
      </c>
      <c r="W3487" s="19"/>
      <c r="X3487" s="19" t="n">
        <v>3</v>
      </c>
      <c r="Y3487" s="19"/>
      <c r="Z3487" s="19"/>
      <c r="AA3487" s="19"/>
      <c r="AB3487" s="19"/>
      <c r="AC3487" s="19" t="n">
        <v>22</v>
      </c>
      <c r="AD3487" s="19"/>
      <c r="AE3487" s="19"/>
      <c r="AF3487" s="19"/>
      <c r="AG3487" s="19" t="n">
        <v>1</v>
      </c>
      <c r="AH3487" s="19" t="n">
        <v>24</v>
      </c>
      <c r="AI3487" s="19"/>
      <c r="AJ3487" s="19"/>
      <c r="AK3487" s="19"/>
      <c r="AL3487" s="19"/>
      <c r="AM3487" s="19" t="n">
        <v>17</v>
      </c>
      <c r="AN3487" s="19"/>
      <c r="AO3487" s="19" t="n">
        <v>16</v>
      </c>
      <c r="AP3487" s="19" t="n">
        <v>11</v>
      </c>
      <c r="AQ3487" s="19"/>
      <c r="AR3487" s="19" t="n">
        <v>3</v>
      </c>
      <c r="AS3487" s="20" t="str">
        <f aca="false">HYPERLINK("http://www.openstreetmap.org/?mlat=31.078&amp;mlon=46.2438&amp;zoom=12#map=12/31.078/46.2438","Maplink1")</f>
        <v>Maplink1</v>
      </c>
      <c r="AT3487" s="20" t="str">
        <f aca="false">HYPERLINK("https://www.google.iq/maps/search/+31.078,46.2438/@31.078,46.2438,14z?hl=en","Maplink2")</f>
        <v>Maplink2</v>
      </c>
      <c r="AU3487" s="20" t="str">
        <f aca="false">HYPERLINK("http://www.bing.com/maps/?lvl=14&amp;sty=h&amp;cp=31.078~46.2438&amp;sp=point.31.078_46.2438","Maplink3")</f>
        <v>Maplink3</v>
      </c>
    </row>
    <row r="3488" customFormat="false" ht="15" hidden="false" customHeight="true" outlineLevel="0" collapsed="false">
      <c r="A3488" s="15" t="n">
        <v>24556</v>
      </c>
      <c r="B3488" s="16" t="s">
        <v>31</v>
      </c>
      <c r="C3488" s="16" t="s">
        <v>6538</v>
      </c>
      <c r="D3488" s="16" t="s">
        <v>6606</v>
      </c>
      <c r="E3488" s="17" t="s">
        <v>6607</v>
      </c>
      <c r="F3488" s="16" t="n">
        <v>31.00418157</v>
      </c>
      <c r="G3488" s="16" t="n">
        <v>46.25922533</v>
      </c>
      <c r="H3488" s="18" t="n">
        <v>6</v>
      </c>
      <c r="I3488" s="18" t="n">
        <v>36</v>
      </c>
      <c r="J3488" s="19"/>
      <c r="K3488" s="19"/>
      <c r="L3488" s="19"/>
      <c r="M3488" s="19"/>
      <c r="N3488" s="19"/>
      <c r="O3488" s="19"/>
      <c r="P3488" s="19"/>
      <c r="Q3488" s="19"/>
      <c r="R3488" s="19"/>
      <c r="S3488" s="19"/>
      <c r="T3488" s="19"/>
      <c r="U3488" s="19"/>
      <c r="V3488" s="19" t="n">
        <v>6</v>
      </c>
      <c r="W3488" s="19"/>
      <c r="X3488" s="19"/>
      <c r="Y3488" s="19"/>
      <c r="Z3488" s="19"/>
      <c r="AA3488" s="19"/>
      <c r="AB3488" s="19"/>
      <c r="AC3488" s="19" t="n">
        <v>6</v>
      </c>
      <c r="AD3488" s="19"/>
      <c r="AE3488" s="19"/>
      <c r="AF3488" s="19"/>
      <c r="AG3488" s="19"/>
      <c r="AH3488" s="19"/>
      <c r="AI3488" s="19"/>
      <c r="AJ3488" s="19"/>
      <c r="AK3488" s="19"/>
      <c r="AL3488" s="19"/>
      <c r="AM3488" s="19"/>
      <c r="AN3488" s="19" t="n">
        <v>6</v>
      </c>
      <c r="AO3488" s="19"/>
      <c r="AP3488" s="19"/>
      <c r="AQ3488" s="19"/>
      <c r="AR3488" s="19"/>
      <c r="AS3488" s="20" t="str">
        <f aca="false">HYPERLINK("http://www.openstreetmap.org/?mlat=31.0042&amp;mlon=46.2592&amp;zoom=12#map=12/31.0042/46.2592","Maplink1")</f>
        <v>Maplink1</v>
      </c>
      <c r="AT3488" s="20" t="str">
        <f aca="false">HYPERLINK("https://www.google.iq/maps/search/+31.0042,46.2592/@31.0042,46.2592,14z?hl=en","Maplink2")</f>
        <v>Maplink2</v>
      </c>
      <c r="AU3488" s="20" t="str">
        <f aca="false">HYPERLINK("http://www.bing.com/maps/?lvl=14&amp;sty=h&amp;cp=31.0042~46.2592&amp;sp=point.31.0042_46.2592","Maplink3")</f>
        <v>Maplink3</v>
      </c>
    </row>
    <row r="3489" customFormat="false" ht="15" hidden="false" customHeight="true" outlineLevel="0" collapsed="false">
      <c r="A3489" s="15" t="n">
        <v>25527</v>
      </c>
      <c r="B3489" s="16" t="s">
        <v>31</v>
      </c>
      <c r="C3489" s="16" t="s">
        <v>6538</v>
      </c>
      <c r="D3489" s="16" t="s">
        <v>6608</v>
      </c>
      <c r="E3489" s="17" t="s">
        <v>6609</v>
      </c>
      <c r="F3489" s="16" t="n">
        <v>31.05329911</v>
      </c>
      <c r="G3489" s="16" t="n">
        <v>46.26173206</v>
      </c>
      <c r="H3489" s="18" t="n">
        <v>7</v>
      </c>
      <c r="I3489" s="18" t="n">
        <v>42</v>
      </c>
      <c r="J3489" s="19"/>
      <c r="K3489" s="19"/>
      <c r="L3489" s="19"/>
      <c r="M3489" s="19"/>
      <c r="N3489" s="19"/>
      <c r="O3489" s="19"/>
      <c r="P3489" s="19"/>
      <c r="Q3489" s="19"/>
      <c r="R3489" s="19"/>
      <c r="S3489" s="19"/>
      <c r="T3489" s="19"/>
      <c r="U3489" s="19"/>
      <c r="V3489" s="19" t="n">
        <v>7</v>
      </c>
      <c r="W3489" s="19"/>
      <c r="X3489" s="19"/>
      <c r="Y3489" s="19"/>
      <c r="Z3489" s="19"/>
      <c r="AA3489" s="19"/>
      <c r="AB3489" s="19"/>
      <c r="AC3489" s="19" t="n">
        <v>5</v>
      </c>
      <c r="AD3489" s="19"/>
      <c r="AE3489" s="19"/>
      <c r="AF3489" s="19"/>
      <c r="AG3489" s="19"/>
      <c r="AH3489" s="19" t="n">
        <v>2</v>
      </c>
      <c r="AI3489" s="19"/>
      <c r="AJ3489" s="19"/>
      <c r="AK3489" s="19"/>
      <c r="AL3489" s="19"/>
      <c r="AM3489" s="19"/>
      <c r="AN3489" s="19" t="n">
        <v>7</v>
      </c>
      <c r="AO3489" s="19"/>
      <c r="AP3489" s="19"/>
      <c r="AQ3489" s="19"/>
      <c r="AR3489" s="19"/>
      <c r="AS3489" s="20" t="str">
        <f aca="false">HYPERLINK("http://www.openstreetmap.org/?mlat=31.0533&amp;mlon=46.2617&amp;zoom=12#map=12/31.0533/46.2617","Maplink1")</f>
        <v>Maplink1</v>
      </c>
      <c r="AT3489" s="20" t="str">
        <f aca="false">HYPERLINK("https://www.google.iq/maps/search/+31.0533,46.2617/@31.0533,46.2617,14z?hl=en","Maplink2")</f>
        <v>Maplink2</v>
      </c>
      <c r="AU3489" s="20" t="str">
        <f aca="false">HYPERLINK("http://www.bing.com/maps/?lvl=14&amp;sty=h&amp;cp=31.0533~46.2617&amp;sp=point.31.0533_46.2617","Maplink3")</f>
        <v>Maplink3</v>
      </c>
    </row>
    <row r="3490" customFormat="false" ht="15" hidden="false" customHeight="true" outlineLevel="0" collapsed="false">
      <c r="A3490" s="15" t="n">
        <v>22344</v>
      </c>
      <c r="B3490" s="16" t="s">
        <v>31</v>
      </c>
      <c r="C3490" s="16" t="s">
        <v>6538</v>
      </c>
      <c r="D3490" s="16" t="s">
        <v>6610</v>
      </c>
      <c r="E3490" s="17" t="s">
        <v>6611</v>
      </c>
      <c r="F3490" s="16" t="n">
        <v>31.0517854</v>
      </c>
      <c r="G3490" s="16" t="n">
        <v>46.25740364</v>
      </c>
      <c r="H3490" s="18" t="n">
        <v>13</v>
      </c>
      <c r="I3490" s="18" t="n">
        <v>78</v>
      </c>
      <c r="J3490" s="19"/>
      <c r="K3490" s="19"/>
      <c r="L3490" s="19"/>
      <c r="M3490" s="19"/>
      <c r="N3490" s="19"/>
      <c r="O3490" s="19"/>
      <c r="P3490" s="19"/>
      <c r="Q3490" s="19"/>
      <c r="R3490" s="19"/>
      <c r="S3490" s="19"/>
      <c r="T3490" s="19"/>
      <c r="U3490" s="19"/>
      <c r="V3490" s="19" t="n">
        <v>13</v>
      </c>
      <c r="W3490" s="19"/>
      <c r="X3490" s="19"/>
      <c r="Y3490" s="19"/>
      <c r="Z3490" s="19"/>
      <c r="AA3490" s="19"/>
      <c r="AB3490" s="19"/>
      <c r="AC3490" s="19" t="n">
        <v>5</v>
      </c>
      <c r="AD3490" s="19"/>
      <c r="AE3490" s="19"/>
      <c r="AF3490" s="19"/>
      <c r="AG3490" s="19"/>
      <c r="AH3490" s="19" t="n">
        <v>8</v>
      </c>
      <c r="AI3490" s="19"/>
      <c r="AJ3490" s="19"/>
      <c r="AK3490" s="19"/>
      <c r="AL3490" s="19" t="n">
        <v>3</v>
      </c>
      <c r="AM3490" s="19"/>
      <c r="AN3490" s="19" t="n">
        <v>10</v>
      </c>
      <c r="AO3490" s="19"/>
      <c r="AP3490" s="19"/>
      <c r="AQ3490" s="19"/>
      <c r="AR3490" s="19"/>
      <c r="AS3490" s="20" t="str">
        <f aca="false">HYPERLINK("http://www.openstreetmap.org/?mlat=31.0518&amp;mlon=46.2574&amp;zoom=12#map=12/31.0518/46.2574","Maplink1")</f>
        <v>Maplink1</v>
      </c>
      <c r="AT3490" s="20" t="str">
        <f aca="false">HYPERLINK("https://www.google.iq/maps/search/+31.0518,46.2574/@31.0518,46.2574,14z?hl=en","Maplink2")</f>
        <v>Maplink2</v>
      </c>
      <c r="AU3490" s="20" t="str">
        <f aca="false">HYPERLINK("http://www.bing.com/maps/?lvl=14&amp;sty=h&amp;cp=31.0518~46.2574&amp;sp=point.31.0518_46.2574","Maplink3")</f>
        <v>Maplink3</v>
      </c>
    </row>
    <row r="3491" customFormat="false" ht="15" hidden="false" customHeight="true" outlineLevel="0" collapsed="false">
      <c r="A3491" s="15" t="n">
        <v>10269</v>
      </c>
      <c r="B3491" s="16" t="s">
        <v>31</v>
      </c>
      <c r="C3491" s="16" t="s">
        <v>6538</v>
      </c>
      <c r="D3491" s="16" t="s">
        <v>6612</v>
      </c>
      <c r="E3491" s="17" t="s">
        <v>6613</v>
      </c>
      <c r="F3491" s="16" t="n">
        <v>31.0410848</v>
      </c>
      <c r="G3491" s="16" t="n">
        <v>46.30635544</v>
      </c>
      <c r="H3491" s="18" t="n">
        <v>20</v>
      </c>
      <c r="I3491" s="18" t="n">
        <v>120</v>
      </c>
      <c r="J3491" s="19"/>
      <c r="K3491" s="19"/>
      <c r="L3491" s="19"/>
      <c r="M3491" s="19"/>
      <c r="N3491" s="19"/>
      <c r="O3491" s="19"/>
      <c r="P3491" s="19"/>
      <c r="Q3491" s="19"/>
      <c r="R3491" s="19"/>
      <c r="S3491" s="19"/>
      <c r="T3491" s="19"/>
      <c r="U3491" s="19"/>
      <c r="V3491" s="19" t="n">
        <v>20</v>
      </c>
      <c r="W3491" s="19"/>
      <c r="X3491" s="19"/>
      <c r="Y3491" s="19"/>
      <c r="Z3491" s="19"/>
      <c r="AA3491" s="19"/>
      <c r="AB3491" s="19"/>
      <c r="AC3491" s="19" t="n">
        <v>17</v>
      </c>
      <c r="AD3491" s="19"/>
      <c r="AE3491" s="19"/>
      <c r="AF3491" s="19" t="n">
        <v>1</v>
      </c>
      <c r="AG3491" s="19" t="n">
        <v>1</v>
      </c>
      <c r="AH3491" s="19" t="n">
        <v>1</v>
      </c>
      <c r="AI3491" s="19"/>
      <c r="AJ3491" s="19"/>
      <c r="AK3491" s="19"/>
      <c r="AL3491" s="19" t="n">
        <v>1</v>
      </c>
      <c r="AM3491" s="19" t="n">
        <v>5</v>
      </c>
      <c r="AN3491" s="19" t="n">
        <v>13</v>
      </c>
      <c r="AO3491" s="19"/>
      <c r="AP3491" s="19" t="n">
        <v>1</v>
      </c>
      <c r="AQ3491" s="19"/>
      <c r="AR3491" s="19"/>
      <c r="AS3491" s="20" t="str">
        <f aca="false">HYPERLINK("http://www.openstreetmap.org/?mlat=31.0411&amp;mlon=46.3064&amp;zoom=12#map=12/31.0411/46.3064","Maplink1")</f>
        <v>Maplink1</v>
      </c>
      <c r="AT3491" s="20" t="str">
        <f aca="false">HYPERLINK("https://www.google.iq/maps/search/+31.0411,46.3064/@31.0411,46.3064,14z?hl=en","Maplink2")</f>
        <v>Maplink2</v>
      </c>
      <c r="AU3491" s="20" t="str">
        <f aca="false">HYPERLINK("http://www.bing.com/maps/?lvl=14&amp;sty=h&amp;cp=31.0411~46.3064&amp;sp=point.31.0411_46.3064","Maplink3")</f>
        <v>Maplink3</v>
      </c>
    </row>
    <row r="3492" customFormat="false" ht="15" hidden="false" customHeight="true" outlineLevel="0" collapsed="false">
      <c r="A3492" s="15" t="n">
        <v>10295</v>
      </c>
      <c r="B3492" s="16" t="s">
        <v>31</v>
      </c>
      <c r="C3492" s="16" t="s">
        <v>6538</v>
      </c>
      <c r="D3492" s="16" t="s">
        <v>6614</v>
      </c>
      <c r="E3492" s="17" t="s">
        <v>6615</v>
      </c>
      <c r="F3492" s="16" t="n">
        <v>31.13161123</v>
      </c>
      <c r="G3492" s="16" t="n">
        <v>46.43791459</v>
      </c>
      <c r="H3492" s="18" t="n">
        <v>15</v>
      </c>
      <c r="I3492" s="18" t="n">
        <v>90</v>
      </c>
      <c r="J3492" s="19" t="n">
        <v>1</v>
      </c>
      <c r="K3492" s="19"/>
      <c r="L3492" s="19"/>
      <c r="M3492" s="19"/>
      <c r="N3492" s="19"/>
      <c r="O3492" s="19"/>
      <c r="P3492" s="19"/>
      <c r="Q3492" s="19"/>
      <c r="R3492" s="19"/>
      <c r="S3492" s="19"/>
      <c r="T3492" s="19"/>
      <c r="U3492" s="19"/>
      <c r="V3492" s="19" t="n">
        <v>14</v>
      </c>
      <c r="W3492" s="19"/>
      <c r="X3492" s="19"/>
      <c r="Y3492" s="19"/>
      <c r="Z3492" s="19"/>
      <c r="AA3492" s="19"/>
      <c r="AB3492" s="19"/>
      <c r="AC3492" s="19" t="n">
        <v>10</v>
      </c>
      <c r="AD3492" s="19"/>
      <c r="AE3492" s="19"/>
      <c r="AF3492" s="19"/>
      <c r="AG3492" s="19"/>
      <c r="AH3492" s="19" t="n">
        <v>5</v>
      </c>
      <c r="AI3492" s="19"/>
      <c r="AJ3492" s="19"/>
      <c r="AK3492" s="19"/>
      <c r="AL3492" s="19"/>
      <c r="AM3492" s="19"/>
      <c r="AN3492" s="19" t="n">
        <v>14</v>
      </c>
      <c r="AO3492" s="19"/>
      <c r="AP3492" s="19" t="n">
        <v>1</v>
      </c>
      <c r="AQ3492" s="19"/>
      <c r="AR3492" s="19"/>
      <c r="AS3492" s="20" t="str">
        <f aca="false">HYPERLINK("http://www.openstreetmap.org/?mlat=31.1316&amp;mlon=46.4379&amp;zoom=12#map=12/31.1316/46.4379","Maplink1")</f>
        <v>Maplink1</v>
      </c>
      <c r="AT3492" s="20" t="str">
        <f aca="false">HYPERLINK("https://www.google.iq/maps/search/+31.1316,46.4379/@31.1316,46.4379,14z?hl=en","Maplink2")</f>
        <v>Maplink2</v>
      </c>
      <c r="AU3492" s="20" t="str">
        <f aca="false">HYPERLINK("http://www.bing.com/maps/?lvl=14&amp;sty=h&amp;cp=31.1316~46.4379&amp;sp=point.31.1316_46.4379","Maplink3")</f>
        <v>Maplink3</v>
      </c>
    </row>
    <row r="3493" customFormat="false" ht="15" hidden="false" customHeight="true" outlineLevel="0" collapsed="false">
      <c r="A3493" s="15" t="n">
        <v>24820</v>
      </c>
      <c r="B3493" s="16" t="s">
        <v>31</v>
      </c>
      <c r="C3493" s="16" t="s">
        <v>6538</v>
      </c>
      <c r="D3493" s="16" t="s">
        <v>6616</v>
      </c>
      <c r="E3493" s="17" t="s">
        <v>6617</v>
      </c>
      <c r="F3493" s="16" t="n">
        <v>31.13185974</v>
      </c>
      <c r="G3493" s="16" t="n">
        <v>46.43695516</v>
      </c>
      <c r="H3493" s="18" t="n">
        <v>5</v>
      </c>
      <c r="I3493" s="18" t="n">
        <v>30</v>
      </c>
      <c r="J3493" s="19" t="n">
        <v>5</v>
      </c>
      <c r="K3493" s="19"/>
      <c r="L3493" s="19"/>
      <c r="M3493" s="19"/>
      <c r="N3493" s="19"/>
      <c r="O3493" s="19"/>
      <c r="P3493" s="19"/>
      <c r="Q3493" s="19"/>
      <c r="R3493" s="19"/>
      <c r="S3493" s="19"/>
      <c r="T3493" s="19"/>
      <c r="U3493" s="19"/>
      <c r="V3493" s="19"/>
      <c r="W3493" s="19"/>
      <c r="X3493" s="19"/>
      <c r="Y3493" s="19"/>
      <c r="Z3493" s="19"/>
      <c r="AA3493" s="19"/>
      <c r="AB3493" s="19"/>
      <c r="AC3493" s="19"/>
      <c r="AD3493" s="19"/>
      <c r="AE3493" s="19"/>
      <c r="AF3493" s="19"/>
      <c r="AG3493" s="19"/>
      <c r="AH3493" s="19" t="n">
        <v>5</v>
      </c>
      <c r="AI3493" s="19"/>
      <c r="AJ3493" s="19"/>
      <c r="AK3493" s="19"/>
      <c r="AL3493" s="19"/>
      <c r="AM3493" s="19"/>
      <c r="AN3493" s="19"/>
      <c r="AO3493" s="19" t="n">
        <v>5</v>
      </c>
      <c r="AP3493" s="19"/>
      <c r="AQ3493" s="19"/>
      <c r="AR3493" s="19"/>
      <c r="AS3493" s="20" t="str">
        <f aca="false">HYPERLINK("http://www.openstreetmap.org/?mlat=31.1319&amp;mlon=46.437&amp;zoom=12#map=12/31.1319/46.437","Maplink1")</f>
        <v>Maplink1</v>
      </c>
      <c r="AT3493" s="20" t="str">
        <f aca="false">HYPERLINK("https://www.google.iq/maps/search/+31.1319,46.437/@31.1319,46.437,14z?hl=en","Maplink2")</f>
        <v>Maplink2</v>
      </c>
      <c r="AU3493" s="20" t="str">
        <f aca="false">HYPERLINK("http://www.bing.com/maps/?lvl=14&amp;sty=h&amp;cp=31.1319~46.437&amp;sp=point.31.1319_46.437","Maplink3")</f>
        <v>Maplink3</v>
      </c>
    </row>
    <row r="3494" customFormat="false" ht="15" hidden="false" customHeight="true" outlineLevel="0" collapsed="false">
      <c r="A3494" s="15" t="n">
        <v>24821</v>
      </c>
      <c r="B3494" s="16" t="s">
        <v>31</v>
      </c>
      <c r="C3494" s="16" t="s">
        <v>6538</v>
      </c>
      <c r="D3494" s="16" t="s">
        <v>6618</v>
      </c>
      <c r="E3494" s="17" t="s">
        <v>6619</v>
      </c>
      <c r="F3494" s="16" t="n">
        <v>31.13226381</v>
      </c>
      <c r="G3494" s="16" t="n">
        <v>46.4332646</v>
      </c>
      <c r="H3494" s="18" t="n">
        <v>2</v>
      </c>
      <c r="I3494" s="18" t="n">
        <v>12</v>
      </c>
      <c r="J3494" s="19"/>
      <c r="K3494" s="19"/>
      <c r="L3494" s="19"/>
      <c r="M3494" s="19"/>
      <c r="N3494" s="19"/>
      <c r="O3494" s="19"/>
      <c r="P3494" s="19"/>
      <c r="Q3494" s="19"/>
      <c r="R3494" s="19"/>
      <c r="S3494" s="19"/>
      <c r="T3494" s="19"/>
      <c r="U3494" s="19"/>
      <c r="V3494" s="19"/>
      <c r="W3494" s="19"/>
      <c r="X3494" s="19" t="n">
        <v>2</v>
      </c>
      <c r="Y3494" s="19"/>
      <c r="Z3494" s="19"/>
      <c r="AA3494" s="19"/>
      <c r="AB3494" s="19"/>
      <c r="AC3494" s="19" t="n">
        <v>2</v>
      </c>
      <c r="AD3494" s="19"/>
      <c r="AE3494" s="19"/>
      <c r="AF3494" s="19"/>
      <c r="AG3494" s="19"/>
      <c r="AH3494" s="19"/>
      <c r="AI3494" s="19"/>
      <c r="AJ3494" s="19"/>
      <c r="AK3494" s="19"/>
      <c r="AL3494" s="19"/>
      <c r="AM3494" s="19"/>
      <c r="AN3494" s="19"/>
      <c r="AO3494" s="19" t="n">
        <v>2</v>
      </c>
      <c r="AP3494" s="19"/>
      <c r="AQ3494" s="19"/>
      <c r="AR3494" s="19"/>
      <c r="AS3494" s="20" t="str">
        <f aca="false">HYPERLINK("http://www.openstreetmap.org/?mlat=31.1323&amp;mlon=46.4333&amp;zoom=12#map=12/31.1323/46.4333","Maplink1")</f>
        <v>Maplink1</v>
      </c>
      <c r="AT3494" s="20" t="str">
        <f aca="false">HYPERLINK("https://www.google.iq/maps/search/+31.1323,46.4333/@31.1323,46.4333,14z?hl=en","Maplink2")</f>
        <v>Maplink2</v>
      </c>
      <c r="AU3494" s="20" t="str">
        <f aca="false">HYPERLINK("http://www.bing.com/maps/?lvl=14&amp;sty=h&amp;cp=31.1323~46.4333&amp;sp=point.31.1323_46.4333","Maplink3")</f>
        <v>Maplink3</v>
      </c>
    </row>
    <row r="3495" customFormat="false" ht="15" hidden="false" customHeight="true" outlineLevel="0" collapsed="false">
      <c r="A3495" s="15" t="n">
        <v>25760</v>
      </c>
      <c r="B3495" s="16" t="s">
        <v>31</v>
      </c>
      <c r="C3495" s="16" t="s">
        <v>6538</v>
      </c>
      <c r="D3495" s="16" t="s">
        <v>6620</v>
      </c>
      <c r="E3495" s="17" t="s">
        <v>6621</v>
      </c>
      <c r="F3495" s="16" t="n">
        <v>30.97739833</v>
      </c>
      <c r="G3495" s="16" t="n">
        <v>46.3135274</v>
      </c>
      <c r="H3495" s="18" t="n">
        <v>6</v>
      </c>
      <c r="I3495" s="18" t="n">
        <v>36</v>
      </c>
      <c r="J3495" s="19"/>
      <c r="K3495" s="19"/>
      <c r="L3495" s="19"/>
      <c r="M3495" s="19"/>
      <c r="N3495" s="19"/>
      <c r="O3495" s="19"/>
      <c r="P3495" s="19"/>
      <c r="Q3495" s="19"/>
      <c r="R3495" s="19"/>
      <c r="S3495" s="19"/>
      <c r="T3495" s="19"/>
      <c r="U3495" s="19"/>
      <c r="V3495" s="19" t="n">
        <v>6</v>
      </c>
      <c r="W3495" s="19"/>
      <c r="X3495" s="19"/>
      <c r="Y3495" s="19"/>
      <c r="Z3495" s="19"/>
      <c r="AA3495" s="19"/>
      <c r="AB3495" s="19"/>
      <c r="AC3495" s="19"/>
      <c r="AD3495" s="19"/>
      <c r="AE3495" s="19"/>
      <c r="AF3495" s="19"/>
      <c r="AG3495" s="19"/>
      <c r="AH3495" s="19" t="n">
        <v>6</v>
      </c>
      <c r="AI3495" s="19"/>
      <c r="AJ3495" s="19"/>
      <c r="AK3495" s="19"/>
      <c r="AL3495" s="19"/>
      <c r="AM3495" s="19" t="n">
        <v>6</v>
      </c>
      <c r="AN3495" s="19"/>
      <c r="AO3495" s="19"/>
      <c r="AP3495" s="19"/>
      <c r="AQ3495" s="19"/>
      <c r="AR3495" s="19"/>
      <c r="AS3495" s="20" t="str">
        <f aca="false">HYPERLINK("http://www.openstreetmap.org/?mlat=30.9774&amp;mlon=46.3135&amp;zoom=12#map=12/30.9774/46.3135","Maplink1")</f>
        <v>Maplink1</v>
      </c>
      <c r="AT3495" s="20" t="str">
        <f aca="false">HYPERLINK("https://www.google.iq/maps/search/+30.9774,46.3135/@30.9774,46.3135,14z?hl=en","Maplink2")</f>
        <v>Maplink2</v>
      </c>
      <c r="AU3495" s="20" t="str">
        <f aca="false">HYPERLINK("http://www.bing.com/maps/?lvl=14&amp;sty=h&amp;cp=30.9774~46.3135&amp;sp=point.30.9774_46.3135","Maplink3")</f>
        <v>Maplink3</v>
      </c>
    </row>
    <row r="3496" customFormat="false" ht="15" hidden="false" customHeight="true" outlineLevel="0" collapsed="false">
      <c r="A3496" s="15" t="n">
        <v>23685</v>
      </c>
      <c r="B3496" s="16" t="s">
        <v>31</v>
      </c>
      <c r="C3496" s="16" t="s">
        <v>6538</v>
      </c>
      <c r="D3496" s="16" t="s">
        <v>6622</v>
      </c>
      <c r="E3496" s="17" t="s">
        <v>6623</v>
      </c>
      <c r="F3496" s="16" t="n">
        <v>31.0913033</v>
      </c>
      <c r="G3496" s="16" t="n">
        <v>46.2396938</v>
      </c>
      <c r="H3496" s="18" t="n">
        <v>9</v>
      </c>
      <c r="I3496" s="18" t="n">
        <v>54</v>
      </c>
      <c r="J3496" s="19" t="n">
        <v>5</v>
      </c>
      <c r="K3496" s="19"/>
      <c r="L3496" s="19"/>
      <c r="M3496" s="19"/>
      <c r="N3496" s="19"/>
      <c r="O3496" s="19"/>
      <c r="P3496" s="19"/>
      <c r="Q3496" s="19"/>
      <c r="R3496" s="19" t="n">
        <v>4</v>
      </c>
      <c r="S3496" s="19"/>
      <c r="T3496" s="19"/>
      <c r="U3496" s="19"/>
      <c r="V3496" s="19"/>
      <c r="W3496" s="19"/>
      <c r="X3496" s="19"/>
      <c r="Y3496" s="19"/>
      <c r="Z3496" s="19"/>
      <c r="AA3496" s="19"/>
      <c r="AB3496" s="19"/>
      <c r="AC3496" s="19" t="n">
        <v>1</v>
      </c>
      <c r="AD3496" s="19"/>
      <c r="AE3496" s="19"/>
      <c r="AF3496" s="19"/>
      <c r="AG3496" s="19"/>
      <c r="AH3496" s="19" t="n">
        <v>8</v>
      </c>
      <c r="AI3496" s="19"/>
      <c r="AJ3496" s="19"/>
      <c r="AK3496" s="19"/>
      <c r="AL3496" s="19"/>
      <c r="AM3496" s="19"/>
      <c r="AN3496" s="19"/>
      <c r="AO3496" s="19" t="n">
        <v>9</v>
      </c>
      <c r="AP3496" s="19"/>
      <c r="AQ3496" s="19"/>
      <c r="AR3496" s="19"/>
      <c r="AS3496" s="20" t="str">
        <f aca="false">HYPERLINK("http://www.openstreetmap.org/?mlat=31.0913&amp;mlon=46.2397&amp;zoom=12#map=12/31.0913/46.2397","Maplink1")</f>
        <v>Maplink1</v>
      </c>
      <c r="AT3496" s="20" t="str">
        <f aca="false">HYPERLINK("https://www.google.iq/maps/search/+31.0913,46.2397/@31.0913,46.2397,14z?hl=en","Maplink2")</f>
        <v>Maplink2</v>
      </c>
      <c r="AU3496" s="20" t="str">
        <f aca="false">HYPERLINK("http://www.bing.com/maps/?lvl=14&amp;sty=h&amp;cp=31.0913~46.2397&amp;sp=point.31.0913_46.2397","Maplink3")</f>
        <v>Maplink3</v>
      </c>
    </row>
    <row r="3497" customFormat="false" ht="15" hidden="false" customHeight="true" outlineLevel="0" collapsed="false">
      <c r="A3497" s="15" t="n">
        <v>9113</v>
      </c>
      <c r="B3497" s="16" t="s">
        <v>31</v>
      </c>
      <c r="C3497" s="16" t="s">
        <v>6538</v>
      </c>
      <c r="D3497" s="16" t="s">
        <v>6624</v>
      </c>
      <c r="E3497" s="17" t="s">
        <v>6625</v>
      </c>
      <c r="F3497" s="16" t="n">
        <v>31.05814706</v>
      </c>
      <c r="G3497" s="16" t="n">
        <v>46.24333018</v>
      </c>
      <c r="H3497" s="18" t="n">
        <v>64</v>
      </c>
      <c r="I3497" s="18" t="n">
        <v>384</v>
      </c>
      <c r="J3497" s="19" t="n">
        <v>7</v>
      </c>
      <c r="K3497" s="19" t="n">
        <v>6</v>
      </c>
      <c r="L3497" s="19"/>
      <c r="M3497" s="19"/>
      <c r="N3497" s="19"/>
      <c r="O3497" s="19"/>
      <c r="P3497" s="19"/>
      <c r="Q3497" s="19"/>
      <c r="R3497" s="19" t="n">
        <v>3</v>
      </c>
      <c r="S3497" s="19"/>
      <c r="T3497" s="19"/>
      <c r="U3497" s="19"/>
      <c r="V3497" s="19" t="n">
        <v>48</v>
      </c>
      <c r="W3497" s="19"/>
      <c r="X3497" s="19"/>
      <c r="Y3497" s="19"/>
      <c r="Z3497" s="19"/>
      <c r="AA3497" s="19"/>
      <c r="AB3497" s="19"/>
      <c r="AC3497" s="19" t="n">
        <v>31</v>
      </c>
      <c r="AD3497" s="19"/>
      <c r="AE3497" s="19"/>
      <c r="AF3497" s="19" t="n">
        <v>9</v>
      </c>
      <c r="AG3497" s="19" t="n">
        <v>2</v>
      </c>
      <c r="AH3497" s="19" t="n">
        <v>22</v>
      </c>
      <c r="AI3497" s="19"/>
      <c r="AJ3497" s="19"/>
      <c r="AK3497" s="19"/>
      <c r="AL3497" s="19" t="n">
        <v>2</v>
      </c>
      <c r="AM3497" s="19"/>
      <c r="AN3497" s="19" t="n">
        <v>47</v>
      </c>
      <c r="AO3497" s="19" t="n">
        <v>11</v>
      </c>
      <c r="AP3497" s="19"/>
      <c r="AQ3497" s="19"/>
      <c r="AR3497" s="19" t="n">
        <v>4</v>
      </c>
      <c r="AS3497" s="20" t="str">
        <f aca="false">HYPERLINK("http://www.openstreetmap.org/?mlat=31.0581&amp;mlon=46.2433&amp;zoom=12#map=12/31.0581/46.2433","Maplink1")</f>
        <v>Maplink1</v>
      </c>
      <c r="AT3497" s="20" t="str">
        <f aca="false">HYPERLINK("https://www.google.iq/maps/search/+31.0581,46.2433/@31.0581,46.2433,14z?hl=en","Maplink2")</f>
        <v>Maplink2</v>
      </c>
      <c r="AU3497" s="20" t="str">
        <f aca="false">HYPERLINK("http://www.bing.com/maps/?lvl=14&amp;sty=h&amp;cp=31.0581~46.2433&amp;sp=point.31.0581_46.2433","Maplink3")</f>
        <v>Maplink3</v>
      </c>
    </row>
    <row r="3498" customFormat="false" ht="15" hidden="false" customHeight="true" outlineLevel="0" collapsed="false">
      <c r="A3498" s="15" t="n">
        <v>9206</v>
      </c>
      <c r="B3498" s="16" t="s">
        <v>31</v>
      </c>
      <c r="C3498" s="16" t="s">
        <v>6626</v>
      </c>
      <c r="D3498" s="16" t="s">
        <v>6627</v>
      </c>
      <c r="E3498" s="17" t="s">
        <v>6628</v>
      </c>
      <c r="F3498" s="16" t="n">
        <v>30.89985053</v>
      </c>
      <c r="G3498" s="16" t="n">
        <v>46.46172747</v>
      </c>
      <c r="H3498" s="18" t="n">
        <v>10</v>
      </c>
      <c r="I3498" s="18" t="n">
        <v>60</v>
      </c>
      <c r="J3498" s="19" t="n">
        <v>3</v>
      </c>
      <c r="K3498" s="19"/>
      <c r="L3498" s="19"/>
      <c r="M3498" s="19"/>
      <c r="N3498" s="19"/>
      <c r="O3498" s="19"/>
      <c r="P3498" s="19"/>
      <c r="Q3498" s="19"/>
      <c r="R3498" s="19" t="n">
        <v>2</v>
      </c>
      <c r="S3498" s="19"/>
      <c r="T3498" s="19"/>
      <c r="U3498" s="19"/>
      <c r="V3498" s="19" t="n">
        <v>5</v>
      </c>
      <c r="W3498" s="19"/>
      <c r="X3498" s="19"/>
      <c r="Y3498" s="19"/>
      <c r="Z3498" s="19"/>
      <c r="AA3498" s="19"/>
      <c r="AB3498" s="19"/>
      <c r="AC3498" s="19" t="n">
        <v>6</v>
      </c>
      <c r="AD3498" s="19"/>
      <c r="AE3498" s="19"/>
      <c r="AF3498" s="19"/>
      <c r="AG3498" s="19"/>
      <c r="AH3498" s="19" t="n">
        <v>4</v>
      </c>
      <c r="AI3498" s="19"/>
      <c r="AJ3498" s="19"/>
      <c r="AK3498" s="19"/>
      <c r="AL3498" s="19"/>
      <c r="AM3498" s="19"/>
      <c r="AN3498" s="19" t="n">
        <v>1</v>
      </c>
      <c r="AO3498" s="19" t="n">
        <v>6</v>
      </c>
      <c r="AP3498" s="19" t="n">
        <v>3</v>
      </c>
      <c r="AQ3498" s="19"/>
      <c r="AR3498" s="19"/>
      <c r="AS3498" s="20" t="str">
        <f aca="false">HYPERLINK("http://www.openstreetmap.org/?mlat=30.8999&amp;mlon=46.4617&amp;zoom=12#map=12/30.8999/46.4617","Maplink1")</f>
        <v>Maplink1</v>
      </c>
      <c r="AT3498" s="20" t="str">
        <f aca="false">HYPERLINK("https://www.google.iq/maps/search/+30.8999,46.4617/@30.8999,46.4617,14z?hl=en","Maplink2")</f>
        <v>Maplink2</v>
      </c>
      <c r="AU3498" s="20" t="str">
        <f aca="false">HYPERLINK("http://www.bing.com/maps/?lvl=14&amp;sty=h&amp;cp=30.8999~46.4617&amp;sp=point.30.8999_46.4617","Maplink3")</f>
        <v>Maplink3</v>
      </c>
    </row>
    <row r="3499" customFormat="false" ht="15" hidden="false" customHeight="true" outlineLevel="0" collapsed="false">
      <c r="A3499" s="15" t="n">
        <v>24721</v>
      </c>
      <c r="B3499" s="16" t="s">
        <v>31</v>
      </c>
      <c r="C3499" s="16" t="s">
        <v>6626</v>
      </c>
      <c r="D3499" s="16" t="s">
        <v>6629</v>
      </c>
      <c r="E3499" s="17" t="s">
        <v>6630</v>
      </c>
      <c r="F3499" s="16" t="n">
        <v>30.95782313</v>
      </c>
      <c r="G3499" s="16" t="n">
        <v>46.35732936</v>
      </c>
      <c r="H3499" s="18" t="n">
        <v>33</v>
      </c>
      <c r="I3499" s="18" t="n">
        <v>198</v>
      </c>
      <c r="J3499" s="19"/>
      <c r="K3499" s="19"/>
      <c r="L3499" s="19"/>
      <c r="M3499" s="19"/>
      <c r="N3499" s="19"/>
      <c r="O3499" s="19"/>
      <c r="P3499" s="19"/>
      <c r="Q3499" s="19"/>
      <c r="R3499" s="19" t="n">
        <v>10</v>
      </c>
      <c r="S3499" s="19"/>
      <c r="T3499" s="19"/>
      <c r="U3499" s="19"/>
      <c r="V3499" s="19" t="n">
        <v>23</v>
      </c>
      <c r="W3499" s="19"/>
      <c r="X3499" s="19"/>
      <c r="Y3499" s="19"/>
      <c r="Z3499" s="19"/>
      <c r="AA3499" s="19"/>
      <c r="AB3499" s="19"/>
      <c r="AC3499" s="19" t="n">
        <v>12</v>
      </c>
      <c r="AD3499" s="19"/>
      <c r="AE3499" s="19"/>
      <c r="AF3499" s="19"/>
      <c r="AG3499" s="19"/>
      <c r="AH3499" s="19" t="n">
        <v>21</v>
      </c>
      <c r="AI3499" s="19"/>
      <c r="AJ3499" s="19"/>
      <c r="AK3499" s="19"/>
      <c r="AL3499" s="19"/>
      <c r="AM3499" s="19" t="n">
        <v>22</v>
      </c>
      <c r="AN3499" s="19"/>
      <c r="AO3499" s="19" t="n">
        <v>8</v>
      </c>
      <c r="AP3499" s="19"/>
      <c r="AQ3499" s="19"/>
      <c r="AR3499" s="19" t="n">
        <v>3</v>
      </c>
      <c r="AS3499" s="20" t="str">
        <f aca="false">HYPERLINK("http://www.openstreetmap.org/?mlat=30.9578&amp;mlon=46.3573&amp;zoom=12#map=12/30.9578/46.3573","Maplink1")</f>
        <v>Maplink1</v>
      </c>
      <c r="AT3499" s="20" t="str">
        <f aca="false">HYPERLINK("https://www.google.iq/maps/search/+30.9578,46.3573/@30.9578,46.3573,14z?hl=en","Maplink2")</f>
        <v>Maplink2</v>
      </c>
      <c r="AU3499" s="20" t="str">
        <f aca="false">HYPERLINK("http://www.bing.com/maps/?lvl=14&amp;sty=h&amp;cp=30.9578~46.3573&amp;sp=point.30.9578_46.3573","Maplink3")</f>
        <v>Maplink3</v>
      </c>
    </row>
    <row r="3500" customFormat="false" ht="15" hidden="false" customHeight="true" outlineLevel="0" collapsed="false">
      <c r="A3500" s="15" t="n">
        <v>25436</v>
      </c>
      <c r="B3500" s="16" t="s">
        <v>31</v>
      </c>
      <c r="C3500" s="16" t="s">
        <v>6626</v>
      </c>
      <c r="D3500" s="16" t="s">
        <v>6631</v>
      </c>
      <c r="E3500" s="17" t="s">
        <v>6632</v>
      </c>
      <c r="F3500" s="16" t="n">
        <v>30.90084711</v>
      </c>
      <c r="G3500" s="16" t="n">
        <v>46.44937711</v>
      </c>
      <c r="H3500" s="18" t="n">
        <v>17</v>
      </c>
      <c r="I3500" s="18" t="n">
        <v>102</v>
      </c>
      <c r="J3500" s="19"/>
      <c r="K3500" s="19"/>
      <c r="L3500" s="19"/>
      <c r="M3500" s="19"/>
      <c r="N3500" s="19"/>
      <c r="O3500" s="19"/>
      <c r="P3500" s="19"/>
      <c r="Q3500" s="19"/>
      <c r="R3500" s="19" t="n">
        <v>5</v>
      </c>
      <c r="S3500" s="19"/>
      <c r="T3500" s="19"/>
      <c r="U3500" s="19"/>
      <c r="V3500" s="19" t="n">
        <v>8</v>
      </c>
      <c r="W3500" s="19"/>
      <c r="X3500" s="19" t="n">
        <v>4</v>
      </c>
      <c r="Y3500" s="19"/>
      <c r="Z3500" s="19"/>
      <c r="AA3500" s="19"/>
      <c r="AB3500" s="19"/>
      <c r="AC3500" s="19" t="n">
        <v>3</v>
      </c>
      <c r="AD3500" s="19"/>
      <c r="AE3500" s="19"/>
      <c r="AF3500" s="19"/>
      <c r="AG3500" s="19"/>
      <c r="AH3500" s="19" t="n">
        <v>14</v>
      </c>
      <c r="AI3500" s="19"/>
      <c r="AJ3500" s="19"/>
      <c r="AK3500" s="19"/>
      <c r="AL3500" s="19"/>
      <c r="AM3500" s="19" t="n">
        <v>5</v>
      </c>
      <c r="AN3500" s="19" t="n">
        <v>4</v>
      </c>
      <c r="AO3500" s="19" t="n">
        <v>8</v>
      </c>
      <c r="AP3500" s="19"/>
      <c r="AQ3500" s="19"/>
      <c r="AR3500" s="19"/>
      <c r="AS3500" s="20" t="str">
        <f aca="false">HYPERLINK("http://www.openstreetmap.org/?mlat=30.9008&amp;mlon=46.4494&amp;zoom=12#map=12/30.9008/46.4494","Maplink1")</f>
        <v>Maplink1</v>
      </c>
      <c r="AT3500" s="20" t="str">
        <f aca="false">HYPERLINK("https://www.google.iq/maps/search/+30.9008,46.4494/@30.9008,46.4494,14z?hl=en","Maplink2")</f>
        <v>Maplink2</v>
      </c>
      <c r="AU3500" s="20" t="str">
        <f aca="false">HYPERLINK("http://www.bing.com/maps/?lvl=14&amp;sty=h&amp;cp=30.9008~46.4494&amp;sp=point.30.9008_46.4494","Maplink3")</f>
        <v>Maplink3</v>
      </c>
    </row>
    <row r="3501" customFormat="false" ht="15" hidden="false" customHeight="false" outlineLevel="0" collapsed="false">
      <c r="A3501" s="15" t="n">
        <v>25437</v>
      </c>
      <c r="B3501" s="16" t="s">
        <v>31</v>
      </c>
      <c r="C3501" s="16" t="s">
        <v>6626</v>
      </c>
      <c r="D3501" s="16" t="s">
        <v>6561</v>
      </c>
      <c r="E3501" s="17" t="s">
        <v>6633</v>
      </c>
      <c r="F3501" s="16" t="n">
        <v>30.89178472</v>
      </c>
      <c r="G3501" s="16" t="n">
        <v>46.46101105</v>
      </c>
      <c r="H3501" s="18" t="n">
        <v>5</v>
      </c>
      <c r="I3501" s="18" t="n">
        <v>30</v>
      </c>
      <c r="J3501" s="19" t="n">
        <v>2</v>
      </c>
      <c r="K3501" s="19"/>
      <c r="L3501" s="19"/>
      <c r="M3501" s="19"/>
      <c r="N3501" s="19"/>
      <c r="O3501" s="19"/>
      <c r="P3501" s="19"/>
      <c r="Q3501" s="19"/>
      <c r="R3501" s="19" t="n">
        <v>3</v>
      </c>
      <c r="S3501" s="19"/>
      <c r="T3501" s="19"/>
      <c r="U3501" s="19"/>
      <c r="V3501" s="19"/>
      <c r="W3501" s="19"/>
      <c r="X3501" s="19"/>
      <c r="Y3501" s="19"/>
      <c r="Z3501" s="19"/>
      <c r="AA3501" s="19"/>
      <c r="AB3501" s="19"/>
      <c r="AC3501" s="19" t="n">
        <v>2</v>
      </c>
      <c r="AD3501" s="19"/>
      <c r="AE3501" s="19"/>
      <c r="AF3501" s="19"/>
      <c r="AG3501" s="19"/>
      <c r="AH3501" s="19" t="n">
        <v>3</v>
      </c>
      <c r="AI3501" s="19"/>
      <c r="AJ3501" s="19"/>
      <c r="AK3501" s="19"/>
      <c r="AL3501" s="19"/>
      <c r="AM3501" s="19"/>
      <c r="AN3501" s="19" t="n">
        <v>4</v>
      </c>
      <c r="AO3501" s="19"/>
      <c r="AP3501" s="19"/>
      <c r="AQ3501" s="19"/>
      <c r="AR3501" s="19" t="n">
        <v>1</v>
      </c>
      <c r="AS3501" s="20" t="str">
        <f aca="false">HYPERLINK("http://www.openstreetmap.org/?mlat=30.8918&amp;mlon=46.461&amp;zoom=12#map=12/30.8918/46.461","Maplink1")</f>
        <v>Maplink1</v>
      </c>
      <c r="AT3501" s="20" t="str">
        <f aca="false">HYPERLINK("https://www.google.iq/maps/search/+30.8918,46.461/@30.8918,46.461,14z?hl=en","Maplink2")</f>
        <v>Maplink2</v>
      </c>
      <c r="AU3501" s="20" t="str">
        <f aca="false">HYPERLINK("http://www.bing.com/maps/?lvl=14&amp;sty=h&amp;cp=30.8918~46.461&amp;sp=point.30.8918_46.461","Maplink3")</f>
        <v>Maplink3</v>
      </c>
    </row>
    <row r="3502" customFormat="false" ht="15" hidden="false" customHeight="false" outlineLevel="0" collapsed="false">
      <c r="A3502" s="15" t="n">
        <v>9262</v>
      </c>
      <c r="B3502" s="16" t="s">
        <v>31</v>
      </c>
      <c r="C3502" s="16" t="s">
        <v>6626</v>
      </c>
      <c r="D3502" s="16" t="s">
        <v>6634</v>
      </c>
      <c r="E3502" s="17" t="s">
        <v>6635</v>
      </c>
      <c r="F3502" s="16" t="n">
        <v>30.90826083</v>
      </c>
      <c r="G3502" s="16" t="n">
        <v>46.47683105</v>
      </c>
      <c r="H3502" s="18" t="n">
        <v>18</v>
      </c>
      <c r="I3502" s="18" t="n">
        <v>108</v>
      </c>
      <c r="J3502" s="19"/>
      <c r="K3502" s="19" t="n">
        <v>1</v>
      </c>
      <c r="L3502" s="19"/>
      <c r="M3502" s="19"/>
      <c r="N3502" s="19"/>
      <c r="O3502" s="19"/>
      <c r="P3502" s="19"/>
      <c r="Q3502" s="19"/>
      <c r="R3502" s="19"/>
      <c r="S3502" s="19"/>
      <c r="T3502" s="19"/>
      <c r="U3502" s="19"/>
      <c r="V3502" s="19" t="n">
        <v>17</v>
      </c>
      <c r="W3502" s="19"/>
      <c r="X3502" s="19"/>
      <c r="Y3502" s="19"/>
      <c r="Z3502" s="19"/>
      <c r="AA3502" s="19"/>
      <c r="AB3502" s="19"/>
      <c r="AC3502" s="19" t="n">
        <v>3</v>
      </c>
      <c r="AD3502" s="19"/>
      <c r="AE3502" s="19"/>
      <c r="AF3502" s="19"/>
      <c r="AG3502" s="19"/>
      <c r="AH3502" s="19" t="n">
        <v>15</v>
      </c>
      <c r="AI3502" s="19"/>
      <c r="AJ3502" s="19"/>
      <c r="AK3502" s="19"/>
      <c r="AL3502" s="19" t="n">
        <v>3</v>
      </c>
      <c r="AM3502" s="19" t="n">
        <v>15</v>
      </c>
      <c r="AN3502" s="19"/>
      <c r="AO3502" s="19"/>
      <c r="AP3502" s="19"/>
      <c r="AQ3502" s="19"/>
      <c r="AR3502" s="19"/>
      <c r="AS3502" s="20" t="str">
        <f aca="false">HYPERLINK("http://www.openstreetmap.org/?mlat=30.9083&amp;mlon=46.4768&amp;zoom=12#map=12/30.9083/46.4768","Maplink1")</f>
        <v>Maplink1</v>
      </c>
      <c r="AT3502" s="20" t="str">
        <f aca="false">HYPERLINK("https://www.google.iq/maps/search/+30.9083,46.4768/@30.9083,46.4768,14z?hl=en","Maplink2")</f>
        <v>Maplink2</v>
      </c>
      <c r="AU3502" s="20" t="str">
        <f aca="false">HYPERLINK("http://www.bing.com/maps/?lvl=14&amp;sty=h&amp;cp=30.9083~46.4768&amp;sp=point.30.9083_46.4768","Maplink3")</f>
        <v>Maplink3</v>
      </c>
    </row>
    <row r="3503" customFormat="false" ht="15" hidden="false" customHeight="false" outlineLevel="0" collapsed="false">
      <c r="A3503" s="15" t="n">
        <v>9328</v>
      </c>
      <c r="B3503" s="16" t="s">
        <v>31</v>
      </c>
      <c r="C3503" s="16" t="s">
        <v>6626</v>
      </c>
      <c r="D3503" s="16" t="s">
        <v>6636</v>
      </c>
      <c r="E3503" s="17" t="s">
        <v>79</v>
      </c>
      <c r="F3503" s="16" t="n">
        <v>30.88306443</v>
      </c>
      <c r="G3503" s="16" t="n">
        <v>46.46173169</v>
      </c>
      <c r="H3503" s="18" t="n">
        <v>15</v>
      </c>
      <c r="I3503" s="18" t="n">
        <v>90</v>
      </c>
      <c r="J3503" s="19"/>
      <c r="K3503" s="19"/>
      <c r="L3503" s="19"/>
      <c r="M3503" s="19"/>
      <c r="N3503" s="19"/>
      <c r="O3503" s="19"/>
      <c r="P3503" s="19"/>
      <c r="Q3503" s="19"/>
      <c r="R3503" s="19"/>
      <c r="S3503" s="19"/>
      <c r="T3503" s="19"/>
      <c r="U3503" s="19"/>
      <c r="V3503" s="19" t="n">
        <v>15</v>
      </c>
      <c r="W3503" s="19"/>
      <c r="X3503" s="19"/>
      <c r="Y3503" s="19"/>
      <c r="Z3503" s="19"/>
      <c r="AA3503" s="19"/>
      <c r="AB3503" s="19"/>
      <c r="AC3503" s="19" t="n">
        <v>5</v>
      </c>
      <c r="AD3503" s="19"/>
      <c r="AE3503" s="19"/>
      <c r="AF3503" s="19"/>
      <c r="AG3503" s="19"/>
      <c r="AH3503" s="19" t="n">
        <v>10</v>
      </c>
      <c r="AI3503" s="19"/>
      <c r="AJ3503" s="19"/>
      <c r="AK3503" s="19"/>
      <c r="AL3503" s="19"/>
      <c r="AM3503" s="19" t="n">
        <v>10</v>
      </c>
      <c r="AN3503" s="19"/>
      <c r="AO3503" s="19"/>
      <c r="AP3503" s="19"/>
      <c r="AQ3503" s="19"/>
      <c r="AR3503" s="19" t="n">
        <v>5</v>
      </c>
      <c r="AS3503" s="20" t="str">
        <f aca="false">HYPERLINK("http://www.openstreetmap.org/?mlat=30.8831&amp;mlon=46.4617&amp;zoom=12#map=12/30.8831/46.4617","Maplink1")</f>
        <v>Maplink1</v>
      </c>
      <c r="AT3503" s="20" t="str">
        <f aca="false">HYPERLINK("https://www.google.iq/maps/search/+30.8831,46.4617/@30.8831,46.4617,14z?hl=en","Maplink2")</f>
        <v>Maplink2</v>
      </c>
      <c r="AU3503" s="20" t="str">
        <f aca="false">HYPERLINK("http://www.bing.com/maps/?lvl=14&amp;sty=h&amp;cp=30.8831~46.4617&amp;sp=point.30.8831_46.4617","Maplink3")</f>
        <v>Maplink3</v>
      </c>
    </row>
    <row r="3504" customFormat="false" ht="15" hidden="false" customHeight="false" outlineLevel="0" collapsed="false">
      <c r="A3504" s="15" t="n">
        <v>9332</v>
      </c>
      <c r="B3504" s="16" t="s">
        <v>31</v>
      </c>
      <c r="C3504" s="16" t="s">
        <v>6626</v>
      </c>
      <c r="D3504" s="16" t="s">
        <v>349</v>
      </c>
      <c r="E3504" s="17" t="s">
        <v>85</v>
      </c>
      <c r="F3504" s="16" t="n">
        <v>30.87688689</v>
      </c>
      <c r="G3504" s="16" t="n">
        <v>46.46561548</v>
      </c>
      <c r="H3504" s="18" t="n">
        <v>25</v>
      </c>
      <c r="I3504" s="18" t="n">
        <v>150</v>
      </c>
      <c r="J3504" s="19" t="n">
        <v>3</v>
      </c>
      <c r="K3504" s="19" t="n">
        <v>1</v>
      </c>
      <c r="L3504" s="19"/>
      <c r="M3504" s="19"/>
      <c r="N3504" s="19"/>
      <c r="O3504" s="19" t="n">
        <v>9</v>
      </c>
      <c r="P3504" s="19"/>
      <c r="Q3504" s="19"/>
      <c r="R3504" s="19"/>
      <c r="S3504" s="19"/>
      <c r="T3504" s="19"/>
      <c r="U3504" s="19"/>
      <c r="V3504" s="19" t="n">
        <v>12</v>
      </c>
      <c r="W3504" s="19"/>
      <c r="X3504" s="19"/>
      <c r="Y3504" s="19"/>
      <c r="Z3504" s="19"/>
      <c r="AA3504" s="19"/>
      <c r="AB3504" s="19"/>
      <c r="AC3504" s="19" t="n">
        <v>9</v>
      </c>
      <c r="AD3504" s="19"/>
      <c r="AE3504" s="19"/>
      <c r="AF3504" s="19"/>
      <c r="AG3504" s="19"/>
      <c r="AH3504" s="19" t="n">
        <v>16</v>
      </c>
      <c r="AI3504" s="19"/>
      <c r="AJ3504" s="19"/>
      <c r="AK3504" s="19"/>
      <c r="AL3504" s="19"/>
      <c r="AM3504" s="19" t="n">
        <v>4</v>
      </c>
      <c r="AN3504" s="19" t="n">
        <v>5</v>
      </c>
      <c r="AO3504" s="19" t="n">
        <v>8</v>
      </c>
      <c r="AP3504" s="19" t="n">
        <v>8</v>
      </c>
      <c r="AQ3504" s="19"/>
      <c r="AR3504" s="19"/>
      <c r="AS3504" s="20" t="str">
        <f aca="false">HYPERLINK("http://www.openstreetmap.org/?mlat=30.8769&amp;mlon=46.4656&amp;zoom=12#map=12/30.8769/46.4656","Maplink1")</f>
        <v>Maplink1</v>
      </c>
      <c r="AT3504" s="20" t="str">
        <f aca="false">HYPERLINK("https://www.google.iq/maps/search/+30.8769,46.4656/@30.8769,46.4656,14z?hl=en","Maplink2")</f>
        <v>Maplink2</v>
      </c>
      <c r="AU3504" s="20" t="str">
        <f aca="false">HYPERLINK("http://www.bing.com/maps/?lvl=14&amp;sty=h&amp;cp=30.8769~46.4656&amp;sp=point.30.8769_46.4656","Maplink3")</f>
        <v>Maplink3</v>
      </c>
    </row>
    <row r="3505" customFormat="false" ht="15" hidden="false" customHeight="false" outlineLevel="0" collapsed="false">
      <c r="A3505" s="15" t="n">
        <v>24783</v>
      </c>
      <c r="B3505" s="16" t="s">
        <v>31</v>
      </c>
      <c r="C3505" s="16" t="s">
        <v>6626</v>
      </c>
      <c r="D3505" s="16" t="s">
        <v>6637</v>
      </c>
      <c r="E3505" s="17" t="s">
        <v>6638</v>
      </c>
      <c r="F3505" s="16" t="n">
        <v>30.88214544</v>
      </c>
      <c r="G3505" s="16" t="n">
        <v>46.46957772</v>
      </c>
      <c r="H3505" s="18" t="n">
        <v>5</v>
      </c>
      <c r="I3505" s="18" t="n">
        <v>30</v>
      </c>
      <c r="J3505" s="19"/>
      <c r="K3505" s="19"/>
      <c r="L3505" s="19"/>
      <c r="M3505" s="19"/>
      <c r="N3505" s="19"/>
      <c r="O3505" s="19"/>
      <c r="P3505" s="19"/>
      <c r="Q3505" s="19"/>
      <c r="R3505" s="19"/>
      <c r="S3505" s="19"/>
      <c r="T3505" s="19"/>
      <c r="U3505" s="19"/>
      <c r="V3505" s="19"/>
      <c r="W3505" s="19"/>
      <c r="X3505" s="19" t="n">
        <v>5</v>
      </c>
      <c r="Y3505" s="19"/>
      <c r="Z3505" s="19"/>
      <c r="AA3505" s="19"/>
      <c r="AB3505" s="19"/>
      <c r="AC3505" s="19"/>
      <c r="AD3505" s="19"/>
      <c r="AE3505" s="19"/>
      <c r="AF3505" s="19"/>
      <c r="AG3505" s="19"/>
      <c r="AH3505" s="19" t="n">
        <v>5</v>
      </c>
      <c r="AI3505" s="19"/>
      <c r="AJ3505" s="19"/>
      <c r="AK3505" s="19"/>
      <c r="AL3505" s="19"/>
      <c r="AM3505" s="19" t="n">
        <v>5</v>
      </c>
      <c r="AN3505" s="19"/>
      <c r="AO3505" s="19"/>
      <c r="AP3505" s="19"/>
      <c r="AQ3505" s="19"/>
      <c r="AR3505" s="19"/>
      <c r="AS3505" s="20" t="str">
        <f aca="false">HYPERLINK("http://www.openstreetmap.org/?mlat=30.8821&amp;mlon=46.4696&amp;zoom=12#map=12/30.8821/46.4696","Maplink1")</f>
        <v>Maplink1</v>
      </c>
      <c r="AT3505" s="20" t="str">
        <f aca="false">HYPERLINK("https://www.google.iq/maps/search/+30.8821,46.4696/@30.8821,46.4696,14z?hl=en","Maplink2")</f>
        <v>Maplink2</v>
      </c>
      <c r="AU3505" s="20" t="str">
        <f aca="false">HYPERLINK("http://www.bing.com/maps/?lvl=14&amp;sty=h&amp;cp=30.8821~46.4696&amp;sp=point.30.8821_46.4696","Maplink3")</f>
        <v>Maplink3</v>
      </c>
    </row>
    <row r="3506" customFormat="false" ht="15" hidden="false" customHeight="false" outlineLevel="0" collapsed="false">
      <c r="A3506" s="15" t="n">
        <v>24493</v>
      </c>
      <c r="B3506" s="16" t="s">
        <v>31</v>
      </c>
      <c r="C3506" s="16" t="s">
        <v>6626</v>
      </c>
      <c r="D3506" s="16" t="s">
        <v>6639</v>
      </c>
      <c r="E3506" s="17" t="s">
        <v>6640</v>
      </c>
      <c r="F3506" s="16" t="n">
        <v>30.90360397</v>
      </c>
      <c r="G3506" s="16" t="n">
        <v>46.45001683</v>
      </c>
      <c r="H3506" s="18" t="n">
        <v>8</v>
      </c>
      <c r="I3506" s="18" t="n">
        <v>48</v>
      </c>
      <c r="J3506" s="19" t="n">
        <v>8</v>
      </c>
      <c r="K3506" s="19"/>
      <c r="L3506" s="19"/>
      <c r="M3506" s="19"/>
      <c r="N3506" s="19"/>
      <c r="O3506" s="19"/>
      <c r="P3506" s="19"/>
      <c r="Q3506" s="19"/>
      <c r="R3506" s="19"/>
      <c r="S3506" s="19"/>
      <c r="T3506" s="19"/>
      <c r="U3506" s="19"/>
      <c r="V3506" s="19"/>
      <c r="W3506" s="19"/>
      <c r="X3506" s="19"/>
      <c r="Y3506" s="19"/>
      <c r="Z3506" s="19"/>
      <c r="AA3506" s="19"/>
      <c r="AB3506" s="19"/>
      <c r="AC3506" s="19"/>
      <c r="AD3506" s="19"/>
      <c r="AE3506" s="19"/>
      <c r="AF3506" s="19"/>
      <c r="AG3506" s="19"/>
      <c r="AH3506" s="19" t="n">
        <v>8</v>
      </c>
      <c r="AI3506" s="19"/>
      <c r="AJ3506" s="19"/>
      <c r="AK3506" s="19"/>
      <c r="AL3506" s="19"/>
      <c r="AM3506" s="19" t="n">
        <v>8</v>
      </c>
      <c r="AN3506" s="19"/>
      <c r="AO3506" s="19"/>
      <c r="AP3506" s="19"/>
      <c r="AQ3506" s="19"/>
      <c r="AR3506" s="19"/>
      <c r="AS3506" s="20" t="str">
        <f aca="false">HYPERLINK("http://www.openstreetmap.org/?mlat=30.9036&amp;mlon=46.45&amp;zoom=12#map=12/30.9036/46.45","Maplink1")</f>
        <v>Maplink1</v>
      </c>
      <c r="AT3506" s="20" t="str">
        <f aca="false">HYPERLINK("https://www.google.iq/maps/search/+30.9036,46.45/@30.9036,46.45,14z?hl=en","Maplink2")</f>
        <v>Maplink2</v>
      </c>
      <c r="AU3506" s="20" t="str">
        <f aca="false">HYPERLINK("http://www.bing.com/maps/?lvl=14&amp;sty=h&amp;cp=30.9036~46.45&amp;sp=point.30.9036_46.45","Maplink3")</f>
        <v>Maplink3</v>
      </c>
    </row>
    <row r="3507" customFormat="false" ht="15" hidden="false" customHeight="false" outlineLevel="0" collapsed="false">
      <c r="A3507" s="15" t="n">
        <v>9261</v>
      </c>
      <c r="B3507" s="16" t="s">
        <v>31</v>
      </c>
      <c r="C3507" s="16" t="s">
        <v>6626</v>
      </c>
      <c r="D3507" s="16" t="s">
        <v>6641</v>
      </c>
      <c r="E3507" s="17" t="s">
        <v>674</v>
      </c>
      <c r="F3507" s="16" t="n">
        <v>30.90526589</v>
      </c>
      <c r="G3507" s="16" t="n">
        <v>46.45481046</v>
      </c>
      <c r="H3507" s="18" t="n">
        <v>8</v>
      </c>
      <c r="I3507" s="18" t="n">
        <v>48</v>
      </c>
      <c r="J3507" s="19"/>
      <c r="K3507" s="19"/>
      <c r="L3507" s="19" t="n">
        <v>4</v>
      </c>
      <c r="M3507" s="19"/>
      <c r="N3507" s="19"/>
      <c r="O3507" s="19"/>
      <c r="P3507" s="19"/>
      <c r="Q3507" s="19"/>
      <c r="R3507" s="19"/>
      <c r="S3507" s="19"/>
      <c r="T3507" s="19"/>
      <c r="U3507" s="19"/>
      <c r="V3507" s="19" t="n">
        <v>4</v>
      </c>
      <c r="W3507" s="19"/>
      <c r="X3507" s="19"/>
      <c r="Y3507" s="19"/>
      <c r="Z3507" s="19"/>
      <c r="AA3507" s="19"/>
      <c r="AB3507" s="19"/>
      <c r="AC3507" s="19"/>
      <c r="AD3507" s="19"/>
      <c r="AE3507" s="19"/>
      <c r="AF3507" s="19"/>
      <c r="AG3507" s="19"/>
      <c r="AH3507" s="19" t="n">
        <v>8</v>
      </c>
      <c r="AI3507" s="19"/>
      <c r="AJ3507" s="19"/>
      <c r="AK3507" s="19"/>
      <c r="AL3507" s="19" t="n">
        <v>5</v>
      </c>
      <c r="AM3507" s="19"/>
      <c r="AN3507" s="19" t="n">
        <v>3</v>
      </c>
      <c r="AO3507" s="19"/>
      <c r="AP3507" s="19"/>
      <c r="AQ3507" s="19"/>
      <c r="AR3507" s="19"/>
      <c r="AS3507" s="20" t="str">
        <f aca="false">HYPERLINK("http://www.openstreetmap.org/?mlat=30.9053&amp;mlon=46.4548&amp;zoom=12#map=12/30.9053/46.4548","Maplink1")</f>
        <v>Maplink1</v>
      </c>
      <c r="AT3507" s="20" t="str">
        <f aca="false">HYPERLINK("https://www.google.iq/maps/search/+30.9053,46.4548/@30.9053,46.4548,14z?hl=en","Maplink2")</f>
        <v>Maplink2</v>
      </c>
      <c r="AU3507" s="20" t="str">
        <f aca="false">HYPERLINK("http://www.bing.com/maps/?lvl=14&amp;sty=h&amp;cp=30.9053~46.4548&amp;sp=point.30.9053_46.4548","Maplink3")</f>
        <v>Maplink3</v>
      </c>
    </row>
    <row r="3508" customFormat="false" ht="15" hidden="false" customHeight="false" outlineLevel="0" collapsed="false">
      <c r="A3508" s="15" t="n">
        <v>9258</v>
      </c>
      <c r="B3508" s="16" t="s">
        <v>31</v>
      </c>
      <c r="C3508" s="16" t="s">
        <v>6626</v>
      </c>
      <c r="D3508" s="16" t="s">
        <v>6642</v>
      </c>
      <c r="E3508" s="17" t="s">
        <v>2027</v>
      </c>
      <c r="F3508" s="16" t="n">
        <v>30.89684329</v>
      </c>
      <c r="G3508" s="16" t="n">
        <v>46.46543897</v>
      </c>
      <c r="H3508" s="18" t="n">
        <v>19</v>
      </c>
      <c r="I3508" s="18" t="n">
        <v>114</v>
      </c>
      <c r="J3508" s="19"/>
      <c r="K3508" s="19"/>
      <c r="L3508" s="19"/>
      <c r="M3508" s="19"/>
      <c r="N3508" s="19"/>
      <c r="O3508" s="19"/>
      <c r="P3508" s="19"/>
      <c r="Q3508" s="19"/>
      <c r="R3508" s="19" t="n">
        <v>6</v>
      </c>
      <c r="S3508" s="19"/>
      <c r="T3508" s="19"/>
      <c r="U3508" s="19"/>
      <c r="V3508" s="19" t="n">
        <v>10</v>
      </c>
      <c r="W3508" s="19"/>
      <c r="X3508" s="19" t="n">
        <v>3</v>
      </c>
      <c r="Y3508" s="19"/>
      <c r="Z3508" s="19"/>
      <c r="AA3508" s="19"/>
      <c r="AB3508" s="19"/>
      <c r="AC3508" s="19" t="n">
        <v>11</v>
      </c>
      <c r="AD3508" s="19"/>
      <c r="AE3508" s="19"/>
      <c r="AF3508" s="19"/>
      <c r="AG3508" s="19"/>
      <c r="AH3508" s="19" t="n">
        <v>8</v>
      </c>
      <c r="AI3508" s="19"/>
      <c r="AJ3508" s="19"/>
      <c r="AK3508" s="19"/>
      <c r="AL3508" s="19"/>
      <c r="AM3508" s="19"/>
      <c r="AN3508" s="19" t="n">
        <v>19</v>
      </c>
      <c r="AO3508" s="19"/>
      <c r="AP3508" s="19"/>
      <c r="AQ3508" s="19"/>
      <c r="AR3508" s="19"/>
      <c r="AS3508" s="20" t="str">
        <f aca="false">HYPERLINK("http://www.openstreetmap.org/?mlat=30.8968&amp;mlon=46.4654&amp;zoom=12#map=12/30.8968/46.4654","Maplink1")</f>
        <v>Maplink1</v>
      </c>
      <c r="AT3508" s="20" t="str">
        <f aca="false">HYPERLINK("https://www.google.iq/maps/search/+30.8968,46.4654/@30.8968,46.4654,14z?hl=en","Maplink2")</f>
        <v>Maplink2</v>
      </c>
      <c r="AU3508" s="20" t="str">
        <f aca="false">HYPERLINK("http://www.bing.com/maps/?lvl=14&amp;sty=h&amp;cp=30.8968~46.4654&amp;sp=point.30.8968_46.4654","Maplink3")</f>
        <v>Maplink3</v>
      </c>
    </row>
    <row r="3509" customFormat="false" ht="15" hidden="false" customHeight="false" outlineLevel="0" collapsed="false">
      <c r="A3509" s="15" t="n">
        <v>8878</v>
      </c>
      <c r="B3509" s="16" t="s">
        <v>31</v>
      </c>
      <c r="C3509" s="16" t="s">
        <v>6626</v>
      </c>
      <c r="D3509" s="16" t="s">
        <v>6643</v>
      </c>
      <c r="E3509" s="17" t="s">
        <v>6644</v>
      </c>
      <c r="F3509" s="16" t="n">
        <v>30.87995288</v>
      </c>
      <c r="G3509" s="16" t="n">
        <v>46.57065551</v>
      </c>
      <c r="H3509" s="18" t="n">
        <v>45</v>
      </c>
      <c r="I3509" s="18" t="n">
        <v>270</v>
      </c>
      <c r="J3509" s="19"/>
      <c r="K3509" s="19" t="n">
        <v>4</v>
      </c>
      <c r="L3509" s="19" t="n">
        <v>1</v>
      </c>
      <c r="M3509" s="19"/>
      <c r="N3509" s="19"/>
      <c r="O3509" s="19" t="n">
        <v>1</v>
      </c>
      <c r="P3509" s="19"/>
      <c r="Q3509" s="19"/>
      <c r="R3509" s="19" t="n">
        <v>9</v>
      </c>
      <c r="S3509" s="19"/>
      <c r="T3509" s="19"/>
      <c r="U3509" s="19"/>
      <c r="V3509" s="19" t="n">
        <v>30</v>
      </c>
      <c r="W3509" s="19"/>
      <c r="X3509" s="19"/>
      <c r="Y3509" s="19"/>
      <c r="Z3509" s="19"/>
      <c r="AA3509" s="19"/>
      <c r="AB3509" s="19"/>
      <c r="AC3509" s="19" t="n">
        <v>20</v>
      </c>
      <c r="AD3509" s="19"/>
      <c r="AE3509" s="19"/>
      <c r="AF3509" s="19"/>
      <c r="AG3509" s="19"/>
      <c r="AH3509" s="19" t="n">
        <v>16</v>
      </c>
      <c r="AI3509" s="19" t="n">
        <v>9</v>
      </c>
      <c r="AJ3509" s="19"/>
      <c r="AK3509" s="19"/>
      <c r="AL3509" s="19" t="n">
        <v>3</v>
      </c>
      <c r="AM3509" s="19" t="n">
        <v>8</v>
      </c>
      <c r="AN3509" s="19" t="n">
        <v>20</v>
      </c>
      <c r="AO3509" s="19" t="n">
        <v>14</v>
      </c>
      <c r="AP3509" s="19"/>
      <c r="AQ3509" s="19"/>
      <c r="AR3509" s="19"/>
      <c r="AS3509" s="20" t="str">
        <f aca="false">HYPERLINK("http://www.openstreetmap.org/?mlat=30.88&amp;mlon=46.5707&amp;zoom=12#map=12/30.88/46.5707","Maplink1")</f>
        <v>Maplink1</v>
      </c>
      <c r="AT3509" s="20" t="str">
        <f aca="false">HYPERLINK("https://www.google.iq/maps/search/+30.88,46.5707/@30.88,46.5707,14z?hl=en","Maplink2")</f>
        <v>Maplink2</v>
      </c>
      <c r="AU3509" s="20" t="str">
        <f aca="false">HYPERLINK("http://www.bing.com/maps/?lvl=14&amp;sty=h&amp;cp=30.88~46.5707&amp;sp=point.30.88_46.5707","Maplink3")</f>
        <v>Maplink3</v>
      </c>
    </row>
    <row r="3510" customFormat="false" ht="15" hidden="false" customHeight="false" outlineLevel="0" collapsed="false">
      <c r="A3510" s="15" t="n">
        <v>24850</v>
      </c>
      <c r="B3510" s="16" t="s">
        <v>32</v>
      </c>
      <c r="C3510" s="16" t="s">
        <v>6645</v>
      </c>
      <c r="D3510" s="16" t="s">
        <v>6646</v>
      </c>
      <c r="E3510" s="17" t="s">
        <v>6647</v>
      </c>
      <c r="F3510" s="16" t="n">
        <v>32.98535623</v>
      </c>
      <c r="G3510" s="16" t="n">
        <v>44.84934995</v>
      </c>
      <c r="H3510" s="18" t="n">
        <v>4</v>
      </c>
      <c r="I3510" s="18" t="n">
        <v>24</v>
      </c>
      <c r="J3510" s="19" t="n">
        <v>3</v>
      </c>
      <c r="K3510" s="19"/>
      <c r="L3510" s="19" t="n">
        <v>1</v>
      </c>
      <c r="M3510" s="19"/>
      <c r="N3510" s="19"/>
      <c r="O3510" s="19"/>
      <c r="P3510" s="19"/>
      <c r="Q3510" s="19"/>
      <c r="R3510" s="19"/>
      <c r="S3510" s="19"/>
      <c r="T3510" s="19"/>
      <c r="U3510" s="19"/>
      <c r="V3510" s="19"/>
      <c r="W3510" s="19"/>
      <c r="X3510" s="19"/>
      <c r="Y3510" s="19"/>
      <c r="Z3510" s="19"/>
      <c r="AA3510" s="19"/>
      <c r="AB3510" s="19"/>
      <c r="AC3510" s="19" t="n">
        <v>1</v>
      </c>
      <c r="AD3510" s="19"/>
      <c r="AE3510" s="19"/>
      <c r="AF3510" s="19"/>
      <c r="AG3510" s="19"/>
      <c r="AH3510" s="19" t="n">
        <v>3</v>
      </c>
      <c r="AI3510" s="19"/>
      <c r="AJ3510" s="19"/>
      <c r="AK3510" s="19"/>
      <c r="AL3510" s="19"/>
      <c r="AM3510" s="19"/>
      <c r="AN3510" s="19" t="n">
        <v>1</v>
      </c>
      <c r="AO3510" s="19"/>
      <c r="AP3510" s="19" t="n">
        <v>3</v>
      </c>
      <c r="AQ3510" s="19"/>
      <c r="AR3510" s="19"/>
      <c r="AS3510" s="20" t="str">
        <f aca="false">HYPERLINK("http://www.openstreetmap.org/?mlat=32.9854&amp;mlon=44.8493&amp;zoom=12#map=12/32.9854/44.8493","Maplink1")</f>
        <v>Maplink1</v>
      </c>
      <c r="AT3510" s="20" t="str">
        <f aca="false">HYPERLINK("https://www.google.iq/maps/search/+32.9854,44.8493/@32.9854,44.8493,14z?hl=en","Maplink2")</f>
        <v>Maplink2</v>
      </c>
      <c r="AU3510" s="20" t="str">
        <f aca="false">HYPERLINK("http://www.bing.com/maps/?lvl=14&amp;sty=h&amp;cp=32.9854~44.8493&amp;sp=point.32.9854_44.8493","Maplink3")</f>
        <v>Maplink3</v>
      </c>
    </row>
    <row r="3511" customFormat="false" ht="15" hidden="false" customHeight="false" outlineLevel="0" collapsed="false">
      <c r="A3511" s="15" t="n">
        <v>22690</v>
      </c>
      <c r="B3511" s="16" t="s">
        <v>32</v>
      </c>
      <c r="C3511" s="16" t="s">
        <v>6645</v>
      </c>
      <c r="D3511" s="16" t="s">
        <v>6648</v>
      </c>
      <c r="E3511" s="17" t="s">
        <v>2000</v>
      </c>
      <c r="F3511" s="16" t="n">
        <v>32.93040576</v>
      </c>
      <c r="G3511" s="16" t="n">
        <v>44.97012633</v>
      </c>
      <c r="H3511" s="18" t="n">
        <v>14</v>
      </c>
      <c r="I3511" s="18" t="n">
        <v>84</v>
      </c>
      <c r="J3511" s="19" t="n">
        <v>1</v>
      </c>
      <c r="K3511" s="19"/>
      <c r="L3511" s="19"/>
      <c r="M3511" s="19"/>
      <c r="N3511" s="19"/>
      <c r="O3511" s="19"/>
      <c r="P3511" s="19"/>
      <c r="Q3511" s="19"/>
      <c r="R3511" s="19"/>
      <c r="S3511" s="19"/>
      <c r="T3511" s="19"/>
      <c r="U3511" s="19"/>
      <c r="V3511" s="19" t="n">
        <v>13</v>
      </c>
      <c r="W3511" s="19"/>
      <c r="X3511" s="19"/>
      <c r="Y3511" s="19"/>
      <c r="Z3511" s="19"/>
      <c r="AA3511" s="19"/>
      <c r="AB3511" s="19"/>
      <c r="AC3511" s="19"/>
      <c r="AD3511" s="19"/>
      <c r="AE3511" s="19"/>
      <c r="AF3511" s="19"/>
      <c r="AG3511" s="19"/>
      <c r="AH3511" s="19" t="n">
        <v>14</v>
      </c>
      <c r="AI3511" s="19"/>
      <c r="AJ3511" s="19"/>
      <c r="AK3511" s="19"/>
      <c r="AL3511" s="19"/>
      <c r="AM3511" s="19" t="n">
        <v>13</v>
      </c>
      <c r="AN3511" s="19"/>
      <c r="AO3511" s="19"/>
      <c r="AP3511" s="19" t="n">
        <v>1</v>
      </c>
      <c r="AQ3511" s="19"/>
      <c r="AR3511" s="19"/>
      <c r="AS3511" s="20" t="str">
        <f aca="false">HYPERLINK("http://www.openstreetmap.org/?mlat=32.9304&amp;mlon=44.9701&amp;zoom=12#map=12/32.9304/44.9701","Maplink1")</f>
        <v>Maplink1</v>
      </c>
      <c r="AT3511" s="20" t="str">
        <f aca="false">HYPERLINK("https://www.google.iq/maps/search/+32.9304,44.9701/@32.9304,44.9701,14z?hl=en","Maplink2")</f>
        <v>Maplink2</v>
      </c>
      <c r="AU3511" s="20" t="str">
        <f aca="false">HYPERLINK("http://www.bing.com/maps/?lvl=14&amp;sty=h&amp;cp=32.9304~44.9701&amp;sp=point.32.9304_44.9701","Maplink3")</f>
        <v>Maplink3</v>
      </c>
    </row>
    <row r="3512" customFormat="false" ht="15" hidden="false" customHeight="false" outlineLevel="0" collapsed="false">
      <c r="A3512" s="15" t="n">
        <v>24844</v>
      </c>
      <c r="B3512" s="16" t="s">
        <v>32</v>
      </c>
      <c r="C3512" s="16" t="s">
        <v>6645</v>
      </c>
      <c r="D3512" s="16" t="s">
        <v>6649</v>
      </c>
      <c r="E3512" s="17" t="s">
        <v>6650</v>
      </c>
      <c r="F3512" s="16" t="n">
        <v>32.91741701</v>
      </c>
      <c r="G3512" s="16" t="n">
        <v>45.03226568</v>
      </c>
      <c r="H3512" s="18" t="n">
        <v>23</v>
      </c>
      <c r="I3512" s="18" t="n">
        <v>138</v>
      </c>
      <c r="J3512" s="19"/>
      <c r="K3512" s="19"/>
      <c r="L3512" s="19"/>
      <c r="M3512" s="19"/>
      <c r="N3512" s="19"/>
      <c r="O3512" s="19"/>
      <c r="P3512" s="19"/>
      <c r="Q3512" s="19"/>
      <c r="R3512" s="19"/>
      <c r="S3512" s="19"/>
      <c r="T3512" s="19"/>
      <c r="U3512" s="19"/>
      <c r="V3512" s="19" t="n">
        <v>20</v>
      </c>
      <c r="W3512" s="19"/>
      <c r="X3512" s="19" t="n">
        <v>3</v>
      </c>
      <c r="Y3512" s="19"/>
      <c r="Z3512" s="19"/>
      <c r="AA3512" s="19"/>
      <c r="AB3512" s="19"/>
      <c r="AC3512" s="19"/>
      <c r="AD3512" s="19"/>
      <c r="AE3512" s="19"/>
      <c r="AF3512" s="19"/>
      <c r="AG3512" s="19"/>
      <c r="AH3512" s="19" t="n">
        <v>23</v>
      </c>
      <c r="AI3512" s="19"/>
      <c r="AJ3512" s="19"/>
      <c r="AK3512" s="19"/>
      <c r="AL3512" s="19"/>
      <c r="AM3512" s="19" t="n">
        <v>23</v>
      </c>
      <c r="AN3512" s="19"/>
      <c r="AO3512" s="19"/>
      <c r="AP3512" s="19"/>
      <c r="AQ3512" s="19"/>
      <c r="AR3512" s="19"/>
      <c r="AS3512" s="20" t="str">
        <f aca="false">HYPERLINK("http://www.openstreetmap.org/?mlat=32.9174&amp;mlon=45.0323&amp;zoom=12#map=12/32.9174/45.0323","Maplink1")</f>
        <v>Maplink1</v>
      </c>
      <c r="AT3512" s="20" t="str">
        <f aca="false">HYPERLINK("https://www.google.iq/maps/search/+32.9174,45.0323/@32.9174,45.0323,14z?hl=en","Maplink2")</f>
        <v>Maplink2</v>
      </c>
      <c r="AU3512" s="20" t="str">
        <f aca="false">HYPERLINK("http://www.bing.com/maps/?lvl=14&amp;sty=h&amp;cp=32.9174~45.0323&amp;sp=point.32.9174_45.0323","Maplink3")</f>
        <v>Maplink3</v>
      </c>
    </row>
    <row r="3513" customFormat="false" ht="15" hidden="false" customHeight="false" outlineLevel="0" collapsed="false">
      <c r="A3513" s="15" t="n">
        <v>22361</v>
      </c>
      <c r="B3513" s="16" t="s">
        <v>32</v>
      </c>
      <c r="C3513" s="16" t="s">
        <v>6645</v>
      </c>
      <c r="D3513" s="16" t="s">
        <v>6651</v>
      </c>
      <c r="E3513" s="17" t="s">
        <v>6652</v>
      </c>
      <c r="F3513" s="16" t="n">
        <v>32.91075523</v>
      </c>
      <c r="G3513" s="16" t="n">
        <v>45.04740566</v>
      </c>
      <c r="H3513" s="18" t="n">
        <v>8</v>
      </c>
      <c r="I3513" s="18" t="n">
        <v>48</v>
      </c>
      <c r="J3513" s="19"/>
      <c r="K3513" s="19"/>
      <c r="L3513" s="19"/>
      <c r="M3513" s="19"/>
      <c r="N3513" s="19"/>
      <c r="O3513" s="19"/>
      <c r="P3513" s="19"/>
      <c r="Q3513" s="19"/>
      <c r="R3513" s="19"/>
      <c r="S3513" s="19"/>
      <c r="T3513" s="19"/>
      <c r="U3513" s="19"/>
      <c r="V3513" s="19" t="n">
        <v>8</v>
      </c>
      <c r="W3513" s="19"/>
      <c r="X3513" s="19"/>
      <c r="Y3513" s="19"/>
      <c r="Z3513" s="19"/>
      <c r="AA3513" s="19"/>
      <c r="AB3513" s="19"/>
      <c r="AC3513" s="19" t="n">
        <v>2</v>
      </c>
      <c r="AD3513" s="19"/>
      <c r="AE3513" s="19"/>
      <c r="AF3513" s="19"/>
      <c r="AG3513" s="19"/>
      <c r="AH3513" s="19" t="n">
        <v>6</v>
      </c>
      <c r="AI3513" s="19"/>
      <c r="AJ3513" s="19"/>
      <c r="AK3513" s="19"/>
      <c r="AL3513" s="19"/>
      <c r="AM3513" s="19" t="n">
        <v>8</v>
      </c>
      <c r="AN3513" s="19"/>
      <c r="AO3513" s="19"/>
      <c r="AP3513" s="19"/>
      <c r="AQ3513" s="19"/>
      <c r="AR3513" s="19"/>
      <c r="AS3513" s="20" t="str">
        <f aca="false">HYPERLINK("http://www.openstreetmap.org/?mlat=32.9108&amp;mlon=45.0474&amp;zoom=12#map=12/32.9108/45.0474","Maplink1")</f>
        <v>Maplink1</v>
      </c>
      <c r="AT3513" s="20" t="str">
        <f aca="false">HYPERLINK("https://www.google.iq/maps/search/+32.9108,45.0474/@32.9108,45.0474,14z?hl=en","Maplink2")</f>
        <v>Maplink2</v>
      </c>
      <c r="AU3513" s="20" t="str">
        <f aca="false">HYPERLINK("http://www.bing.com/maps/?lvl=14&amp;sty=h&amp;cp=32.9108~45.0474&amp;sp=point.32.9108_45.0474","Maplink3")</f>
        <v>Maplink3</v>
      </c>
    </row>
    <row r="3514" customFormat="false" ht="15" hidden="false" customHeight="false" outlineLevel="0" collapsed="false">
      <c r="A3514" s="15" t="n">
        <v>24858</v>
      </c>
      <c r="B3514" s="16" t="s">
        <v>32</v>
      </c>
      <c r="C3514" s="16" t="s">
        <v>6645</v>
      </c>
      <c r="D3514" s="16" t="s">
        <v>6653</v>
      </c>
      <c r="E3514" s="17" t="s">
        <v>6654</v>
      </c>
      <c r="F3514" s="16" t="n">
        <v>32.9142897</v>
      </c>
      <c r="G3514" s="16" t="n">
        <v>45.0539139</v>
      </c>
      <c r="H3514" s="18" t="n">
        <v>19</v>
      </c>
      <c r="I3514" s="18" t="n">
        <v>114</v>
      </c>
      <c r="J3514" s="19"/>
      <c r="K3514" s="19"/>
      <c r="L3514" s="19"/>
      <c r="M3514" s="19"/>
      <c r="N3514" s="19"/>
      <c r="O3514" s="19"/>
      <c r="P3514" s="19"/>
      <c r="Q3514" s="19"/>
      <c r="R3514" s="19"/>
      <c r="S3514" s="19"/>
      <c r="T3514" s="19"/>
      <c r="U3514" s="19"/>
      <c r="V3514" s="19" t="n">
        <v>19</v>
      </c>
      <c r="W3514" s="19"/>
      <c r="X3514" s="19"/>
      <c r="Y3514" s="19"/>
      <c r="Z3514" s="19"/>
      <c r="AA3514" s="19"/>
      <c r="AB3514" s="19"/>
      <c r="AC3514" s="19" t="n">
        <v>19</v>
      </c>
      <c r="AD3514" s="19"/>
      <c r="AE3514" s="19"/>
      <c r="AF3514" s="19"/>
      <c r="AG3514" s="19"/>
      <c r="AH3514" s="19"/>
      <c r="AI3514" s="19"/>
      <c r="AJ3514" s="19"/>
      <c r="AK3514" s="19"/>
      <c r="AL3514" s="19"/>
      <c r="AM3514" s="19" t="n">
        <v>19</v>
      </c>
      <c r="AN3514" s="19"/>
      <c r="AO3514" s="19"/>
      <c r="AP3514" s="19"/>
      <c r="AQ3514" s="19"/>
      <c r="AR3514" s="19"/>
      <c r="AS3514" s="20" t="str">
        <f aca="false">HYPERLINK("http://www.openstreetmap.org/?mlat=32.9143&amp;mlon=45.0539&amp;zoom=12#map=12/32.9143/45.0539","Maplink1")</f>
        <v>Maplink1</v>
      </c>
      <c r="AT3514" s="20" t="str">
        <f aca="false">HYPERLINK("https://www.google.iq/maps/search/+32.9143,45.0539/@32.9143,45.0539,14z?hl=en","Maplink2")</f>
        <v>Maplink2</v>
      </c>
      <c r="AU3514" s="20" t="str">
        <f aca="false">HYPERLINK("http://www.bing.com/maps/?lvl=14&amp;sty=h&amp;cp=32.9143~45.0539&amp;sp=point.32.9143_45.0539","Maplink3")</f>
        <v>Maplink3</v>
      </c>
    </row>
    <row r="3515" customFormat="false" ht="15" hidden="false" customHeight="false" outlineLevel="0" collapsed="false">
      <c r="A3515" s="15" t="n">
        <v>19363</v>
      </c>
      <c r="B3515" s="16" t="s">
        <v>32</v>
      </c>
      <c r="C3515" s="16" t="s">
        <v>6645</v>
      </c>
      <c r="D3515" s="16" t="s">
        <v>6655</v>
      </c>
      <c r="E3515" s="17" t="s">
        <v>6656</v>
      </c>
      <c r="F3515" s="16" t="n">
        <v>32.88968866</v>
      </c>
      <c r="G3515" s="16" t="n">
        <v>45.08582714</v>
      </c>
      <c r="H3515" s="18" t="n">
        <v>8</v>
      </c>
      <c r="I3515" s="18" t="n">
        <v>48</v>
      </c>
      <c r="J3515" s="19"/>
      <c r="K3515" s="19"/>
      <c r="L3515" s="19"/>
      <c r="M3515" s="19"/>
      <c r="N3515" s="19"/>
      <c r="O3515" s="19"/>
      <c r="P3515" s="19"/>
      <c r="Q3515" s="19"/>
      <c r="R3515" s="19"/>
      <c r="S3515" s="19"/>
      <c r="T3515" s="19"/>
      <c r="U3515" s="19"/>
      <c r="V3515" s="19" t="n">
        <v>8</v>
      </c>
      <c r="W3515" s="19"/>
      <c r="X3515" s="19"/>
      <c r="Y3515" s="19"/>
      <c r="Z3515" s="19"/>
      <c r="AA3515" s="19"/>
      <c r="AB3515" s="19"/>
      <c r="AC3515" s="19" t="n">
        <v>2</v>
      </c>
      <c r="AD3515" s="19"/>
      <c r="AE3515" s="19"/>
      <c r="AF3515" s="19"/>
      <c r="AG3515" s="19"/>
      <c r="AH3515" s="19" t="n">
        <v>6</v>
      </c>
      <c r="AI3515" s="19"/>
      <c r="AJ3515" s="19"/>
      <c r="AK3515" s="19"/>
      <c r="AL3515" s="19"/>
      <c r="AM3515" s="19" t="n">
        <v>5</v>
      </c>
      <c r="AN3515" s="19" t="n">
        <v>3</v>
      </c>
      <c r="AO3515" s="19"/>
      <c r="AP3515" s="19"/>
      <c r="AQ3515" s="19"/>
      <c r="AR3515" s="19"/>
      <c r="AS3515" s="20" t="str">
        <f aca="false">HYPERLINK("http://www.openstreetmap.org/?mlat=32.8897&amp;mlon=45.0858&amp;zoom=12#map=12/32.8897/45.0858","Maplink1")</f>
        <v>Maplink1</v>
      </c>
      <c r="AT3515" s="20" t="str">
        <f aca="false">HYPERLINK("https://www.google.iq/maps/search/+32.8897,45.0858/@32.8897,45.0858,14z?hl=en","Maplink2")</f>
        <v>Maplink2</v>
      </c>
      <c r="AU3515" s="20" t="str">
        <f aca="false">HYPERLINK("http://www.bing.com/maps/?lvl=14&amp;sty=h&amp;cp=32.8897~45.0858&amp;sp=point.32.8897_45.0858","Maplink3")</f>
        <v>Maplink3</v>
      </c>
    </row>
    <row r="3516" customFormat="false" ht="15" hidden="false" customHeight="false" outlineLevel="0" collapsed="false">
      <c r="A3516" s="15" t="n">
        <v>21043</v>
      </c>
      <c r="B3516" s="16" t="s">
        <v>32</v>
      </c>
      <c r="C3516" s="16" t="s">
        <v>6645</v>
      </c>
      <c r="D3516" s="16" t="s">
        <v>6657</v>
      </c>
      <c r="E3516" s="17" t="s">
        <v>6658</v>
      </c>
      <c r="F3516" s="16" t="n">
        <v>32.74514233</v>
      </c>
      <c r="G3516" s="16" t="n">
        <v>45.30165433</v>
      </c>
      <c r="H3516" s="18" t="n">
        <v>35</v>
      </c>
      <c r="I3516" s="18" t="n">
        <v>210</v>
      </c>
      <c r="J3516" s="19"/>
      <c r="K3516" s="19"/>
      <c r="L3516" s="19"/>
      <c r="M3516" s="19"/>
      <c r="N3516" s="19"/>
      <c r="O3516" s="19"/>
      <c r="P3516" s="19"/>
      <c r="Q3516" s="19"/>
      <c r="R3516" s="19"/>
      <c r="S3516" s="19"/>
      <c r="T3516" s="19"/>
      <c r="U3516" s="19"/>
      <c r="V3516" s="19" t="n">
        <v>35</v>
      </c>
      <c r="W3516" s="19"/>
      <c r="X3516" s="19"/>
      <c r="Y3516" s="19"/>
      <c r="Z3516" s="19"/>
      <c r="AA3516" s="19"/>
      <c r="AB3516" s="19"/>
      <c r="AC3516" s="19"/>
      <c r="AD3516" s="19"/>
      <c r="AE3516" s="19"/>
      <c r="AF3516" s="19"/>
      <c r="AG3516" s="19" t="n">
        <v>7</v>
      </c>
      <c r="AH3516" s="19" t="n">
        <v>25</v>
      </c>
      <c r="AI3516" s="19"/>
      <c r="AJ3516" s="19" t="n">
        <v>3</v>
      </c>
      <c r="AK3516" s="19"/>
      <c r="AL3516" s="19"/>
      <c r="AM3516" s="19"/>
      <c r="AN3516" s="19" t="n">
        <v>35</v>
      </c>
      <c r="AO3516" s="19"/>
      <c r="AP3516" s="19"/>
      <c r="AQ3516" s="19"/>
      <c r="AR3516" s="19"/>
      <c r="AS3516" s="20" t="str">
        <f aca="false">HYPERLINK("http://www.openstreetmap.org/?mlat=32.7451&amp;mlon=45.3017&amp;zoom=12#map=12/32.7451/45.3017","Maplink1")</f>
        <v>Maplink1</v>
      </c>
      <c r="AT3516" s="20" t="str">
        <f aca="false">HYPERLINK("https://www.google.iq/maps/search/+32.7451,45.3017/@32.7451,45.3017,14z?hl=en","Maplink2")</f>
        <v>Maplink2</v>
      </c>
      <c r="AU3516" s="20" t="str">
        <f aca="false">HYPERLINK("http://www.bing.com/maps/?lvl=14&amp;sty=h&amp;cp=32.7451~45.3017&amp;sp=point.32.7451_45.3017","Maplink3")</f>
        <v>Maplink3</v>
      </c>
    </row>
    <row r="3517" customFormat="false" ht="15" hidden="false" customHeight="false" outlineLevel="0" collapsed="false">
      <c r="A3517" s="15" t="n">
        <v>25094</v>
      </c>
      <c r="B3517" s="16" t="s">
        <v>32</v>
      </c>
      <c r="C3517" s="16" t="s">
        <v>6645</v>
      </c>
      <c r="D3517" s="16" t="s">
        <v>6659</v>
      </c>
      <c r="E3517" s="17" t="s">
        <v>6660</v>
      </c>
      <c r="F3517" s="16" t="n">
        <v>32.89533307</v>
      </c>
      <c r="G3517" s="16" t="n">
        <v>45.08338437</v>
      </c>
      <c r="H3517" s="18" t="n">
        <v>30</v>
      </c>
      <c r="I3517" s="18" t="n">
        <v>180</v>
      </c>
      <c r="J3517" s="19"/>
      <c r="K3517" s="19"/>
      <c r="L3517" s="19"/>
      <c r="M3517" s="19"/>
      <c r="N3517" s="19"/>
      <c r="O3517" s="19" t="n">
        <v>12</v>
      </c>
      <c r="P3517" s="19"/>
      <c r="Q3517" s="19"/>
      <c r="R3517" s="19"/>
      <c r="S3517" s="19"/>
      <c r="T3517" s="19"/>
      <c r="U3517" s="19"/>
      <c r="V3517" s="19" t="n">
        <v>10</v>
      </c>
      <c r="W3517" s="19"/>
      <c r="X3517" s="19" t="n">
        <v>8</v>
      </c>
      <c r="Y3517" s="19"/>
      <c r="Z3517" s="19"/>
      <c r="AA3517" s="19"/>
      <c r="AB3517" s="19"/>
      <c r="AC3517" s="19"/>
      <c r="AD3517" s="19"/>
      <c r="AE3517" s="19"/>
      <c r="AF3517" s="19"/>
      <c r="AG3517" s="19"/>
      <c r="AH3517" s="19" t="n">
        <v>30</v>
      </c>
      <c r="AI3517" s="19"/>
      <c r="AJ3517" s="19"/>
      <c r="AK3517" s="19"/>
      <c r="AL3517" s="19" t="n">
        <v>12</v>
      </c>
      <c r="AM3517" s="19" t="n">
        <v>18</v>
      </c>
      <c r="AN3517" s="19"/>
      <c r="AO3517" s="19"/>
      <c r="AP3517" s="19"/>
      <c r="AQ3517" s="19"/>
      <c r="AR3517" s="19"/>
      <c r="AS3517" s="20" t="str">
        <f aca="false">HYPERLINK("http://www.openstreetmap.org/?mlat=32.8953&amp;mlon=45.0834&amp;zoom=12#map=12/32.8953/45.0834","Maplink1")</f>
        <v>Maplink1</v>
      </c>
      <c r="AT3517" s="20" t="str">
        <f aca="false">HYPERLINK("https://www.google.iq/maps/search/+32.8953,45.0834/@32.8953,45.0834,14z?hl=en","Maplink2")</f>
        <v>Maplink2</v>
      </c>
      <c r="AU3517" s="20" t="str">
        <f aca="false">HYPERLINK("http://www.bing.com/maps/?lvl=14&amp;sty=h&amp;cp=32.8953~45.0834&amp;sp=point.32.8953_45.0834","Maplink3")</f>
        <v>Maplink3</v>
      </c>
    </row>
    <row r="3518" customFormat="false" ht="15" hidden="false" customHeight="false" outlineLevel="0" collapsed="false">
      <c r="A3518" s="15" t="n">
        <v>24852</v>
      </c>
      <c r="B3518" s="16" t="s">
        <v>32</v>
      </c>
      <c r="C3518" s="16" t="s">
        <v>6645</v>
      </c>
      <c r="D3518" s="16" t="s">
        <v>6661</v>
      </c>
      <c r="E3518" s="17" t="s">
        <v>6662</v>
      </c>
      <c r="F3518" s="16" t="n">
        <v>32.93406496</v>
      </c>
      <c r="G3518" s="16" t="n">
        <v>44.97175338</v>
      </c>
      <c r="H3518" s="18" t="n">
        <v>24</v>
      </c>
      <c r="I3518" s="18" t="n">
        <v>144</v>
      </c>
      <c r="J3518" s="19" t="n">
        <v>2</v>
      </c>
      <c r="K3518" s="19"/>
      <c r="L3518" s="19"/>
      <c r="M3518" s="19"/>
      <c r="N3518" s="19"/>
      <c r="O3518" s="19"/>
      <c r="P3518" s="19"/>
      <c r="Q3518" s="19"/>
      <c r="R3518" s="19" t="n">
        <v>3</v>
      </c>
      <c r="S3518" s="19"/>
      <c r="T3518" s="19"/>
      <c r="U3518" s="19"/>
      <c r="V3518" s="19" t="n">
        <v>19</v>
      </c>
      <c r="W3518" s="19"/>
      <c r="X3518" s="19"/>
      <c r="Y3518" s="19"/>
      <c r="Z3518" s="19"/>
      <c r="AA3518" s="19"/>
      <c r="AB3518" s="19"/>
      <c r="AC3518" s="19" t="n">
        <v>24</v>
      </c>
      <c r="AD3518" s="19"/>
      <c r="AE3518" s="19"/>
      <c r="AF3518" s="19"/>
      <c r="AG3518" s="19"/>
      <c r="AH3518" s="19"/>
      <c r="AI3518" s="19"/>
      <c r="AJ3518" s="19"/>
      <c r="AK3518" s="19"/>
      <c r="AL3518" s="19" t="n">
        <v>9</v>
      </c>
      <c r="AM3518" s="19" t="n">
        <v>15</v>
      </c>
      <c r="AN3518" s="19"/>
      <c r="AO3518" s="19"/>
      <c r="AP3518" s="19"/>
      <c r="AQ3518" s="19"/>
      <c r="AR3518" s="19"/>
      <c r="AS3518" s="20" t="str">
        <f aca="false">HYPERLINK("http://www.openstreetmap.org/?mlat=32.9341&amp;mlon=44.9718&amp;zoom=12#map=12/32.9341/44.9718","Maplink1")</f>
        <v>Maplink1</v>
      </c>
      <c r="AT3518" s="20" t="str">
        <f aca="false">HYPERLINK("https://www.google.iq/maps/search/+32.9341,44.9718/@32.9341,44.9718,14z?hl=en","Maplink2")</f>
        <v>Maplink2</v>
      </c>
      <c r="AU3518" s="20" t="str">
        <f aca="false">HYPERLINK("http://www.bing.com/maps/?lvl=14&amp;sty=h&amp;cp=32.9341~44.9718&amp;sp=point.32.9341_44.9718","Maplink3")</f>
        <v>Maplink3</v>
      </c>
    </row>
    <row r="3519" customFormat="false" ht="15" hidden="false" customHeight="false" outlineLevel="0" collapsed="false">
      <c r="A3519" s="15" t="n">
        <v>24860</v>
      </c>
      <c r="B3519" s="16" t="s">
        <v>32</v>
      </c>
      <c r="C3519" s="16" t="s">
        <v>6645</v>
      </c>
      <c r="D3519" s="16" t="s">
        <v>6663</v>
      </c>
      <c r="E3519" s="17" t="s">
        <v>723</v>
      </c>
      <c r="F3519" s="16" t="n">
        <v>32.92719435</v>
      </c>
      <c r="G3519" s="16" t="n">
        <v>44.98700385</v>
      </c>
      <c r="H3519" s="18" t="n">
        <v>7</v>
      </c>
      <c r="I3519" s="18" t="n">
        <v>42</v>
      </c>
      <c r="J3519" s="19"/>
      <c r="K3519" s="19"/>
      <c r="L3519" s="19"/>
      <c r="M3519" s="19"/>
      <c r="N3519" s="19"/>
      <c r="O3519" s="19"/>
      <c r="P3519" s="19"/>
      <c r="Q3519" s="19"/>
      <c r="R3519" s="19"/>
      <c r="S3519" s="19"/>
      <c r="T3519" s="19"/>
      <c r="U3519" s="19"/>
      <c r="V3519" s="19" t="n">
        <v>7</v>
      </c>
      <c r="W3519" s="19"/>
      <c r="X3519" s="19"/>
      <c r="Y3519" s="19"/>
      <c r="Z3519" s="19"/>
      <c r="AA3519" s="19"/>
      <c r="AB3519" s="19"/>
      <c r="AC3519" s="19"/>
      <c r="AD3519" s="19"/>
      <c r="AE3519" s="19" t="n">
        <v>7</v>
      </c>
      <c r="AF3519" s="19"/>
      <c r="AG3519" s="19"/>
      <c r="AH3519" s="19"/>
      <c r="AI3519" s="19"/>
      <c r="AJ3519" s="19"/>
      <c r="AK3519" s="19"/>
      <c r="AL3519" s="19"/>
      <c r="AM3519" s="19" t="n">
        <v>7</v>
      </c>
      <c r="AN3519" s="19"/>
      <c r="AO3519" s="19"/>
      <c r="AP3519" s="19"/>
      <c r="AQ3519" s="19"/>
      <c r="AR3519" s="19"/>
      <c r="AS3519" s="20" t="str">
        <f aca="false">HYPERLINK("http://www.openstreetmap.org/?mlat=32.9272&amp;mlon=44.987&amp;zoom=12#map=12/32.9272/44.987","Maplink1")</f>
        <v>Maplink1</v>
      </c>
      <c r="AT3519" s="20" t="str">
        <f aca="false">HYPERLINK("https://www.google.iq/maps/search/+32.9272,44.987/@32.9272,44.987,14z?hl=en","Maplink2")</f>
        <v>Maplink2</v>
      </c>
      <c r="AU3519" s="20" t="str">
        <f aca="false">HYPERLINK("http://www.bing.com/maps/?lvl=14&amp;sty=h&amp;cp=32.9272~44.987&amp;sp=point.32.9272_44.987","Maplink3")</f>
        <v>Maplink3</v>
      </c>
    </row>
    <row r="3520" customFormat="false" ht="15" hidden="false" customHeight="false" outlineLevel="0" collapsed="false">
      <c r="A3520" s="15" t="n">
        <v>25090</v>
      </c>
      <c r="B3520" s="16" t="s">
        <v>32</v>
      </c>
      <c r="C3520" s="16" t="s">
        <v>6645</v>
      </c>
      <c r="D3520" s="16" t="s">
        <v>6664</v>
      </c>
      <c r="E3520" s="17" t="s">
        <v>5914</v>
      </c>
      <c r="F3520" s="16" t="n">
        <v>32.92394717</v>
      </c>
      <c r="G3520" s="16" t="n">
        <v>44.95761077</v>
      </c>
      <c r="H3520" s="18" t="n">
        <v>11</v>
      </c>
      <c r="I3520" s="18" t="n">
        <v>66</v>
      </c>
      <c r="J3520" s="19"/>
      <c r="K3520" s="19"/>
      <c r="L3520" s="19"/>
      <c r="M3520" s="19"/>
      <c r="N3520" s="19"/>
      <c r="O3520" s="19"/>
      <c r="P3520" s="19"/>
      <c r="Q3520" s="19"/>
      <c r="R3520" s="19"/>
      <c r="S3520" s="19"/>
      <c r="T3520" s="19"/>
      <c r="U3520" s="19"/>
      <c r="V3520" s="19" t="n">
        <v>11</v>
      </c>
      <c r="W3520" s="19"/>
      <c r="X3520" s="19"/>
      <c r="Y3520" s="19"/>
      <c r="Z3520" s="19"/>
      <c r="AA3520" s="19"/>
      <c r="AB3520" s="19"/>
      <c r="AC3520" s="19" t="n">
        <v>11</v>
      </c>
      <c r="AD3520" s="19"/>
      <c r="AE3520" s="19"/>
      <c r="AF3520" s="19"/>
      <c r="AG3520" s="19"/>
      <c r="AH3520" s="19"/>
      <c r="AI3520" s="19"/>
      <c r="AJ3520" s="19"/>
      <c r="AK3520" s="19"/>
      <c r="AL3520" s="19"/>
      <c r="AM3520" s="19" t="n">
        <v>11</v>
      </c>
      <c r="AN3520" s="19"/>
      <c r="AO3520" s="19"/>
      <c r="AP3520" s="19"/>
      <c r="AQ3520" s="19"/>
      <c r="AR3520" s="19"/>
      <c r="AS3520" s="20" t="str">
        <f aca="false">HYPERLINK("http://www.openstreetmap.org/?mlat=32.9239&amp;mlon=44.9576&amp;zoom=12#map=12/32.9239/44.9576","Maplink1")</f>
        <v>Maplink1</v>
      </c>
      <c r="AT3520" s="20" t="str">
        <f aca="false">HYPERLINK("https://www.google.iq/maps/search/+32.9239,44.9576/@32.9239,44.9576,14z?hl=en","Maplink2")</f>
        <v>Maplink2</v>
      </c>
      <c r="AU3520" s="20" t="str">
        <f aca="false">HYPERLINK("http://www.bing.com/maps/?lvl=14&amp;sty=h&amp;cp=32.9239~44.9576&amp;sp=point.32.9239_44.9576","Maplink3")</f>
        <v>Maplink3</v>
      </c>
    </row>
    <row r="3521" customFormat="false" ht="15" hidden="false" customHeight="false" outlineLevel="0" collapsed="false">
      <c r="A3521" s="15" t="n">
        <v>24856</v>
      </c>
      <c r="B3521" s="16" t="s">
        <v>32</v>
      </c>
      <c r="C3521" s="16" t="s">
        <v>6645</v>
      </c>
      <c r="D3521" s="16" t="s">
        <v>6665</v>
      </c>
      <c r="E3521" s="17" t="s">
        <v>6666</v>
      </c>
      <c r="F3521" s="16" t="n">
        <v>32.92011138</v>
      </c>
      <c r="G3521" s="16" t="n">
        <v>45.07391106</v>
      </c>
      <c r="H3521" s="18" t="n">
        <v>67</v>
      </c>
      <c r="I3521" s="18" t="n">
        <v>402</v>
      </c>
      <c r="J3521" s="19"/>
      <c r="K3521" s="19"/>
      <c r="L3521" s="19"/>
      <c r="M3521" s="19"/>
      <c r="N3521" s="19"/>
      <c r="O3521" s="19"/>
      <c r="P3521" s="19"/>
      <c r="Q3521" s="19"/>
      <c r="R3521" s="19"/>
      <c r="S3521" s="19"/>
      <c r="T3521" s="19"/>
      <c r="U3521" s="19"/>
      <c r="V3521" s="19" t="n">
        <v>34</v>
      </c>
      <c r="W3521" s="19"/>
      <c r="X3521" s="19" t="n">
        <v>33</v>
      </c>
      <c r="Y3521" s="19"/>
      <c r="Z3521" s="19"/>
      <c r="AA3521" s="19"/>
      <c r="AB3521" s="19"/>
      <c r="AC3521" s="19" t="n">
        <v>22</v>
      </c>
      <c r="AD3521" s="19"/>
      <c r="AE3521" s="19" t="n">
        <v>40</v>
      </c>
      <c r="AF3521" s="19"/>
      <c r="AG3521" s="19"/>
      <c r="AH3521" s="19" t="n">
        <v>5</v>
      </c>
      <c r="AI3521" s="19"/>
      <c r="AJ3521" s="19"/>
      <c r="AK3521" s="19"/>
      <c r="AL3521" s="19"/>
      <c r="AM3521" s="19" t="n">
        <v>67</v>
      </c>
      <c r="AN3521" s="19"/>
      <c r="AO3521" s="19"/>
      <c r="AP3521" s="19"/>
      <c r="AQ3521" s="19"/>
      <c r="AR3521" s="19"/>
      <c r="AS3521" s="20" t="str">
        <f aca="false">HYPERLINK("http://www.openstreetmap.org/?mlat=32.9201&amp;mlon=45.0739&amp;zoom=12#map=12/32.9201/45.0739","Maplink1")</f>
        <v>Maplink1</v>
      </c>
      <c r="AT3521" s="20" t="str">
        <f aca="false">HYPERLINK("https://www.google.iq/maps/search/+32.9201,45.0739/@32.9201,45.0739,14z?hl=en","Maplink2")</f>
        <v>Maplink2</v>
      </c>
      <c r="AU3521" s="20" t="str">
        <f aca="false">HYPERLINK("http://www.bing.com/maps/?lvl=14&amp;sty=h&amp;cp=32.9201~45.0739&amp;sp=point.32.9201_45.0739","Maplink3")</f>
        <v>Maplink3</v>
      </c>
    </row>
    <row r="3522" customFormat="false" ht="15" hidden="false" customHeight="false" outlineLevel="0" collapsed="false">
      <c r="A3522" s="15" t="n">
        <v>24857</v>
      </c>
      <c r="B3522" s="16" t="s">
        <v>32</v>
      </c>
      <c r="C3522" s="16" t="s">
        <v>6645</v>
      </c>
      <c r="D3522" s="16" t="s">
        <v>6667</v>
      </c>
      <c r="E3522" s="17" t="s">
        <v>6668</v>
      </c>
      <c r="F3522" s="16" t="n">
        <v>32.9242505772</v>
      </c>
      <c r="G3522" s="16" t="n">
        <v>45.0727600535</v>
      </c>
      <c r="H3522" s="18" t="n">
        <v>8</v>
      </c>
      <c r="I3522" s="18" t="n">
        <v>48</v>
      </c>
      <c r="J3522" s="19"/>
      <c r="K3522" s="19"/>
      <c r="L3522" s="19"/>
      <c r="M3522" s="19"/>
      <c r="N3522" s="19"/>
      <c r="O3522" s="19"/>
      <c r="P3522" s="19"/>
      <c r="Q3522" s="19"/>
      <c r="R3522" s="19"/>
      <c r="S3522" s="19"/>
      <c r="T3522" s="19"/>
      <c r="U3522" s="19"/>
      <c r="V3522" s="19" t="n">
        <v>8</v>
      </c>
      <c r="W3522" s="19"/>
      <c r="X3522" s="19"/>
      <c r="Y3522" s="19"/>
      <c r="Z3522" s="19"/>
      <c r="AA3522" s="19"/>
      <c r="AB3522" s="19"/>
      <c r="AC3522" s="19"/>
      <c r="AD3522" s="19"/>
      <c r="AE3522" s="19"/>
      <c r="AF3522" s="19"/>
      <c r="AG3522" s="19"/>
      <c r="AH3522" s="19" t="n">
        <v>8</v>
      </c>
      <c r="AI3522" s="19"/>
      <c r="AJ3522" s="19"/>
      <c r="AK3522" s="19"/>
      <c r="AL3522" s="19"/>
      <c r="AM3522" s="19" t="n">
        <v>8</v>
      </c>
      <c r="AN3522" s="19"/>
      <c r="AO3522" s="19"/>
      <c r="AP3522" s="19"/>
      <c r="AQ3522" s="19"/>
      <c r="AR3522" s="19"/>
      <c r="AS3522" s="20" t="str">
        <f aca="false">HYPERLINK("http://www.openstreetmap.org/?mlat=32.9243&amp;mlon=45.0728&amp;zoom=12#map=12/32.9243/45.0728","Maplink1")</f>
        <v>Maplink1</v>
      </c>
      <c r="AT3522" s="20" t="str">
        <f aca="false">HYPERLINK("https://www.google.iq/maps/search/+32.9243,45.0728/@32.9243,45.0728,14z?hl=en","Maplink2")</f>
        <v>Maplink2</v>
      </c>
      <c r="AU3522" s="20" t="str">
        <f aca="false">HYPERLINK("http://www.bing.com/maps/?lvl=14&amp;sty=h&amp;cp=32.9243~45.0728&amp;sp=point.32.9243_45.0728","Maplink3")</f>
        <v>Maplink3</v>
      </c>
    </row>
    <row r="3523" customFormat="false" ht="15" hidden="false" customHeight="false" outlineLevel="0" collapsed="false">
      <c r="A3523" s="15" t="n">
        <v>24855</v>
      </c>
      <c r="B3523" s="16" t="s">
        <v>32</v>
      </c>
      <c r="C3523" s="16" t="s">
        <v>6645</v>
      </c>
      <c r="D3523" s="16" t="s">
        <v>6669</v>
      </c>
      <c r="E3523" s="17" t="s">
        <v>6670</v>
      </c>
      <c r="F3523" s="16" t="n">
        <v>32.91642654</v>
      </c>
      <c r="G3523" s="16" t="n">
        <v>45.07174872</v>
      </c>
      <c r="H3523" s="18" t="n">
        <v>8</v>
      </c>
      <c r="I3523" s="18" t="n">
        <v>48</v>
      </c>
      <c r="J3523" s="19"/>
      <c r="K3523" s="19"/>
      <c r="L3523" s="19"/>
      <c r="M3523" s="19"/>
      <c r="N3523" s="19"/>
      <c r="O3523" s="19"/>
      <c r="P3523" s="19"/>
      <c r="Q3523" s="19"/>
      <c r="R3523" s="19"/>
      <c r="S3523" s="19"/>
      <c r="T3523" s="19"/>
      <c r="U3523" s="19"/>
      <c r="V3523" s="19" t="n">
        <v>8</v>
      </c>
      <c r="W3523" s="19"/>
      <c r="X3523" s="19"/>
      <c r="Y3523" s="19"/>
      <c r="Z3523" s="19"/>
      <c r="AA3523" s="19"/>
      <c r="AB3523" s="19"/>
      <c r="AC3523" s="19" t="n">
        <v>8</v>
      </c>
      <c r="AD3523" s="19"/>
      <c r="AE3523" s="19"/>
      <c r="AF3523" s="19"/>
      <c r="AG3523" s="19"/>
      <c r="AH3523" s="19"/>
      <c r="AI3523" s="19"/>
      <c r="AJ3523" s="19"/>
      <c r="AK3523" s="19"/>
      <c r="AL3523" s="19"/>
      <c r="AM3523" s="19" t="n">
        <v>8</v>
      </c>
      <c r="AN3523" s="19"/>
      <c r="AO3523" s="19"/>
      <c r="AP3523" s="19"/>
      <c r="AQ3523" s="19"/>
      <c r="AR3523" s="19"/>
      <c r="AS3523" s="20" t="str">
        <f aca="false">HYPERLINK("http://www.openstreetmap.org/?mlat=32.9164&amp;mlon=45.0717&amp;zoom=12#map=12/32.9164/45.0717","Maplink1")</f>
        <v>Maplink1</v>
      </c>
      <c r="AT3523" s="20" t="str">
        <f aca="false">HYPERLINK("https://www.google.iq/maps/search/+32.9164,45.0717/@32.9164,45.0717,14z?hl=en","Maplink2")</f>
        <v>Maplink2</v>
      </c>
      <c r="AU3523" s="20" t="str">
        <f aca="false">HYPERLINK("http://www.bing.com/maps/?lvl=14&amp;sty=h&amp;cp=32.9164~45.0717&amp;sp=point.32.9164_45.0717","Maplink3")</f>
        <v>Maplink3</v>
      </c>
    </row>
    <row r="3524" customFormat="false" ht="15" hidden="false" customHeight="false" outlineLevel="0" collapsed="false">
      <c r="A3524" s="15" t="n">
        <v>25089</v>
      </c>
      <c r="B3524" s="16" t="s">
        <v>32</v>
      </c>
      <c r="C3524" s="16" t="s">
        <v>6645</v>
      </c>
      <c r="D3524" s="16" t="s">
        <v>6671</v>
      </c>
      <c r="E3524" s="17" t="s">
        <v>6672</v>
      </c>
      <c r="F3524" s="16" t="n">
        <v>32.76521083</v>
      </c>
      <c r="G3524" s="16" t="n">
        <v>45.27227623</v>
      </c>
      <c r="H3524" s="18" t="n">
        <v>5</v>
      </c>
      <c r="I3524" s="18" t="n">
        <v>30</v>
      </c>
      <c r="J3524" s="19"/>
      <c r="K3524" s="19"/>
      <c r="L3524" s="19"/>
      <c r="M3524" s="19"/>
      <c r="N3524" s="19"/>
      <c r="O3524" s="19"/>
      <c r="P3524" s="19"/>
      <c r="Q3524" s="19"/>
      <c r="R3524" s="19"/>
      <c r="S3524" s="19"/>
      <c r="T3524" s="19"/>
      <c r="U3524" s="19"/>
      <c r="V3524" s="19" t="n">
        <v>5</v>
      </c>
      <c r="W3524" s="19"/>
      <c r="X3524" s="19"/>
      <c r="Y3524" s="19"/>
      <c r="Z3524" s="19"/>
      <c r="AA3524" s="19"/>
      <c r="AB3524" s="19"/>
      <c r="AC3524" s="19" t="n">
        <v>5</v>
      </c>
      <c r="AD3524" s="19"/>
      <c r="AE3524" s="19"/>
      <c r="AF3524" s="19"/>
      <c r="AG3524" s="19"/>
      <c r="AH3524" s="19"/>
      <c r="AI3524" s="19"/>
      <c r="AJ3524" s="19"/>
      <c r="AK3524" s="19"/>
      <c r="AL3524" s="19" t="n">
        <v>5</v>
      </c>
      <c r="AM3524" s="19"/>
      <c r="AN3524" s="19"/>
      <c r="AO3524" s="19"/>
      <c r="AP3524" s="19"/>
      <c r="AQ3524" s="19"/>
      <c r="AR3524" s="19"/>
      <c r="AS3524" s="20" t="str">
        <f aca="false">HYPERLINK("http://www.openstreetmap.org/?mlat=32.7652&amp;mlon=45.2723&amp;zoom=12#map=12/32.7652/45.2723","Maplink1")</f>
        <v>Maplink1</v>
      </c>
      <c r="AT3524" s="20" t="str">
        <f aca="false">HYPERLINK("https://www.google.iq/maps/search/+32.7652,45.2723/@32.7652,45.2723,14z?hl=en","Maplink2")</f>
        <v>Maplink2</v>
      </c>
      <c r="AU3524" s="20" t="str">
        <f aca="false">HYPERLINK("http://www.bing.com/maps/?lvl=14&amp;sty=h&amp;cp=32.7652~45.2723&amp;sp=point.32.7652_45.2723","Maplink3")</f>
        <v>Maplink3</v>
      </c>
    </row>
    <row r="3525" customFormat="false" ht="15" hidden="false" customHeight="false" outlineLevel="0" collapsed="false">
      <c r="A3525" s="15" t="n">
        <v>24853</v>
      </c>
      <c r="B3525" s="16" t="s">
        <v>32</v>
      </c>
      <c r="C3525" s="16" t="s">
        <v>6645</v>
      </c>
      <c r="D3525" s="16" t="s">
        <v>6673</v>
      </c>
      <c r="E3525" s="17" t="s">
        <v>6674</v>
      </c>
      <c r="F3525" s="16" t="n">
        <v>33.02092037</v>
      </c>
      <c r="G3525" s="16" t="n">
        <v>44.80902961</v>
      </c>
      <c r="H3525" s="18" t="n">
        <v>12</v>
      </c>
      <c r="I3525" s="18" t="n">
        <v>72</v>
      </c>
      <c r="J3525" s="19" t="n">
        <v>10</v>
      </c>
      <c r="K3525" s="19"/>
      <c r="L3525" s="19"/>
      <c r="M3525" s="19"/>
      <c r="N3525" s="19"/>
      <c r="O3525" s="19"/>
      <c r="P3525" s="19"/>
      <c r="Q3525" s="19"/>
      <c r="R3525" s="19"/>
      <c r="S3525" s="19"/>
      <c r="T3525" s="19"/>
      <c r="U3525" s="19"/>
      <c r="V3525" s="19" t="n">
        <v>2</v>
      </c>
      <c r="W3525" s="19"/>
      <c r="X3525" s="19"/>
      <c r="Y3525" s="19"/>
      <c r="Z3525" s="19"/>
      <c r="AA3525" s="19"/>
      <c r="AB3525" s="19"/>
      <c r="AC3525" s="19" t="n">
        <v>1</v>
      </c>
      <c r="AD3525" s="19"/>
      <c r="AE3525" s="19"/>
      <c r="AF3525" s="19"/>
      <c r="AG3525" s="19"/>
      <c r="AH3525" s="19" t="n">
        <v>11</v>
      </c>
      <c r="AI3525" s="19"/>
      <c r="AJ3525" s="19"/>
      <c r="AK3525" s="19"/>
      <c r="AL3525" s="19" t="n">
        <v>2</v>
      </c>
      <c r="AM3525" s="19" t="n">
        <v>2</v>
      </c>
      <c r="AN3525" s="19"/>
      <c r="AO3525" s="19"/>
      <c r="AP3525" s="19" t="n">
        <v>8</v>
      </c>
      <c r="AQ3525" s="19"/>
      <c r="AR3525" s="19"/>
      <c r="AS3525" s="20" t="str">
        <f aca="false">HYPERLINK("http://www.openstreetmap.org/?mlat=33.0209&amp;mlon=44.809&amp;zoom=12#map=12/33.0209/44.809","Maplink1")</f>
        <v>Maplink1</v>
      </c>
      <c r="AT3525" s="20" t="str">
        <f aca="false">HYPERLINK("https://www.google.iq/maps/search/+33.0209,44.809/@33.0209,44.809,14z?hl=en","Maplink2")</f>
        <v>Maplink2</v>
      </c>
      <c r="AU3525" s="20" t="str">
        <f aca="false">HYPERLINK("http://www.bing.com/maps/?lvl=14&amp;sty=h&amp;cp=33.0209~44.809&amp;sp=point.33.0209_44.809","Maplink3")</f>
        <v>Maplink3</v>
      </c>
    </row>
    <row r="3526" customFormat="false" ht="15" hidden="false" customHeight="false" outlineLevel="0" collapsed="false">
      <c r="A3526" s="15" t="n">
        <v>24854</v>
      </c>
      <c r="B3526" s="16" t="s">
        <v>32</v>
      </c>
      <c r="C3526" s="16" t="s">
        <v>6645</v>
      </c>
      <c r="D3526" s="16" t="s">
        <v>6675</v>
      </c>
      <c r="E3526" s="17" t="s">
        <v>6676</v>
      </c>
      <c r="F3526" s="16" t="n">
        <v>32.93087493</v>
      </c>
      <c r="G3526" s="16" t="n">
        <v>44.98175667</v>
      </c>
      <c r="H3526" s="18" t="n">
        <v>41</v>
      </c>
      <c r="I3526" s="18" t="n">
        <v>246</v>
      </c>
      <c r="J3526" s="19" t="n">
        <v>3</v>
      </c>
      <c r="K3526" s="19"/>
      <c r="L3526" s="19"/>
      <c r="M3526" s="19"/>
      <c r="N3526" s="19"/>
      <c r="O3526" s="19"/>
      <c r="P3526" s="19"/>
      <c r="Q3526" s="19"/>
      <c r="R3526" s="19"/>
      <c r="S3526" s="19"/>
      <c r="T3526" s="19"/>
      <c r="U3526" s="19"/>
      <c r="V3526" s="19" t="n">
        <v>38</v>
      </c>
      <c r="W3526" s="19"/>
      <c r="X3526" s="19"/>
      <c r="Y3526" s="19"/>
      <c r="Z3526" s="19"/>
      <c r="AA3526" s="19"/>
      <c r="AB3526" s="19"/>
      <c r="AC3526" s="19" t="n">
        <v>41</v>
      </c>
      <c r="AD3526" s="19"/>
      <c r="AE3526" s="19"/>
      <c r="AF3526" s="19"/>
      <c r="AG3526" s="19"/>
      <c r="AH3526" s="19"/>
      <c r="AI3526" s="19"/>
      <c r="AJ3526" s="19"/>
      <c r="AK3526" s="19"/>
      <c r="AL3526" s="19" t="n">
        <v>3</v>
      </c>
      <c r="AM3526" s="19" t="n">
        <v>38</v>
      </c>
      <c r="AN3526" s="19"/>
      <c r="AO3526" s="19"/>
      <c r="AP3526" s="19"/>
      <c r="AQ3526" s="19"/>
      <c r="AR3526" s="19"/>
      <c r="AS3526" s="20" t="str">
        <f aca="false">HYPERLINK("http://www.openstreetmap.org/?mlat=32.9309&amp;mlon=44.9818&amp;zoom=12#map=12/32.9309/44.9818","Maplink1")</f>
        <v>Maplink1</v>
      </c>
      <c r="AT3526" s="20" t="str">
        <f aca="false">HYPERLINK("https://www.google.iq/maps/search/+32.9309,44.9818/@32.9309,44.9818,14z?hl=en","Maplink2")</f>
        <v>Maplink2</v>
      </c>
      <c r="AU3526" s="20" t="str">
        <f aca="false">HYPERLINK("http://www.bing.com/maps/?lvl=14&amp;sty=h&amp;cp=32.9309~44.9818&amp;sp=point.32.9309_44.9818","Maplink3")</f>
        <v>Maplink3</v>
      </c>
    </row>
    <row r="3527" customFormat="false" ht="15" hidden="false" customHeight="false" outlineLevel="0" collapsed="false">
      <c r="A3527" s="15" t="n">
        <v>21340</v>
      </c>
      <c r="B3527" s="16" t="s">
        <v>32</v>
      </c>
      <c r="C3527" s="16" t="s">
        <v>6645</v>
      </c>
      <c r="D3527" s="16" t="s">
        <v>6677</v>
      </c>
      <c r="E3527" s="17" t="s">
        <v>6678</v>
      </c>
      <c r="F3527" s="16" t="n">
        <v>32.93833385</v>
      </c>
      <c r="G3527" s="16" t="n">
        <v>44.95007348</v>
      </c>
      <c r="H3527" s="18" t="n">
        <v>17</v>
      </c>
      <c r="I3527" s="18" t="n">
        <v>102</v>
      </c>
      <c r="J3527" s="19"/>
      <c r="K3527" s="19"/>
      <c r="L3527" s="19"/>
      <c r="M3527" s="19"/>
      <c r="N3527" s="19"/>
      <c r="O3527" s="19"/>
      <c r="P3527" s="19"/>
      <c r="Q3527" s="19"/>
      <c r="R3527" s="19"/>
      <c r="S3527" s="19"/>
      <c r="T3527" s="19"/>
      <c r="U3527" s="19"/>
      <c r="V3527" s="19" t="n">
        <v>17</v>
      </c>
      <c r="W3527" s="19"/>
      <c r="X3527" s="19"/>
      <c r="Y3527" s="19"/>
      <c r="Z3527" s="19"/>
      <c r="AA3527" s="19"/>
      <c r="AB3527" s="19"/>
      <c r="AC3527" s="19" t="n">
        <v>17</v>
      </c>
      <c r="AD3527" s="19"/>
      <c r="AE3527" s="19"/>
      <c r="AF3527" s="19"/>
      <c r="AG3527" s="19"/>
      <c r="AH3527" s="19"/>
      <c r="AI3527" s="19"/>
      <c r="AJ3527" s="19"/>
      <c r="AK3527" s="19"/>
      <c r="AL3527" s="19"/>
      <c r="AM3527" s="19" t="n">
        <v>17</v>
      </c>
      <c r="AN3527" s="19"/>
      <c r="AO3527" s="19"/>
      <c r="AP3527" s="19"/>
      <c r="AQ3527" s="19"/>
      <c r="AR3527" s="19"/>
      <c r="AS3527" s="20" t="str">
        <f aca="false">HYPERLINK("http://www.openstreetmap.org/?mlat=32.9383&amp;mlon=44.9501&amp;zoom=12#map=12/32.9383/44.9501","Maplink1")</f>
        <v>Maplink1</v>
      </c>
      <c r="AT3527" s="20" t="str">
        <f aca="false">HYPERLINK("https://www.google.iq/maps/search/+32.9383,44.9501/@32.9383,44.9501,14z?hl=en","Maplink2")</f>
        <v>Maplink2</v>
      </c>
      <c r="AU3527" s="20" t="str">
        <f aca="false">HYPERLINK("http://www.bing.com/maps/?lvl=14&amp;sty=h&amp;cp=32.9383~44.9501&amp;sp=point.32.9383_44.9501","Maplink3")</f>
        <v>Maplink3</v>
      </c>
    </row>
    <row r="3528" customFormat="false" ht="15" hidden="false" customHeight="false" outlineLevel="0" collapsed="false">
      <c r="A3528" s="15" t="n">
        <v>24841</v>
      </c>
      <c r="B3528" s="16" t="s">
        <v>32</v>
      </c>
      <c r="C3528" s="16" t="s">
        <v>6645</v>
      </c>
      <c r="D3528" s="16" t="s">
        <v>6679</v>
      </c>
      <c r="E3528" s="17" t="s">
        <v>3997</v>
      </c>
      <c r="F3528" s="16" t="n">
        <v>32.92163287</v>
      </c>
      <c r="G3528" s="16" t="n">
        <v>45.00577929</v>
      </c>
      <c r="H3528" s="18" t="n">
        <v>7</v>
      </c>
      <c r="I3528" s="18" t="n">
        <v>42</v>
      </c>
      <c r="J3528" s="19"/>
      <c r="K3528" s="19"/>
      <c r="L3528" s="19"/>
      <c r="M3528" s="19"/>
      <c r="N3528" s="19"/>
      <c r="O3528" s="19"/>
      <c r="P3528" s="19"/>
      <c r="Q3528" s="19"/>
      <c r="R3528" s="19"/>
      <c r="S3528" s="19"/>
      <c r="T3528" s="19"/>
      <c r="U3528" s="19"/>
      <c r="V3528" s="19" t="n">
        <v>7</v>
      </c>
      <c r="W3528" s="19"/>
      <c r="X3528" s="19"/>
      <c r="Y3528" s="19"/>
      <c r="Z3528" s="19"/>
      <c r="AA3528" s="19"/>
      <c r="AB3528" s="19"/>
      <c r="AC3528" s="19" t="n">
        <v>7</v>
      </c>
      <c r="AD3528" s="19"/>
      <c r="AE3528" s="19"/>
      <c r="AF3528" s="19"/>
      <c r="AG3528" s="19"/>
      <c r="AH3528" s="19"/>
      <c r="AI3528" s="19"/>
      <c r="AJ3528" s="19"/>
      <c r="AK3528" s="19"/>
      <c r="AL3528" s="19"/>
      <c r="AM3528" s="19" t="n">
        <v>7</v>
      </c>
      <c r="AN3528" s="19"/>
      <c r="AO3528" s="19"/>
      <c r="AP3528" s="19"/>
      <c r="AQ3528" s="19"/>
      <c r="AR3528" s="19"/>
      <c r="AS3528" s="20" t="str">
        <f aca="false">HYPERLINK("http://www.openstreetmap.org/?mlat=32.9216&amp;mlon=45.0058&amp;zoom=12#map=12/32.9216/45.0058","Maplink1")</f>
        <v>Maplink1</v>
      </c>
      <c r="AT3528" s="20" t="str">
        <f aca="false">HYPERLINK("https://www.google.iq/maps/search/+32.9216,45.0058/@32.9216,45.0058,14z?hl=en","Maplink2")</f>
        <v>Maplink2</v>
      </c>
      <c r="AU3528" s="20" t="str">
        <f aca="false">HYPERLINK("http://www.bing.com/maps/?lvl=14&amp;sty=h&amp;cp=32.9216~45.0058&amp;sp=point.32.9216_45.0058","Maplink3")</f>
        <v>Maplink3</v>
      </c>
    </row>
    <row r="3529" customFormat="false" ht="15" hidden="false" customHeight="false" outlineLevel="0" collapsed="false">
      <c r="A3529" s="15" t="n">
        <v>24859</v>
      </c>
      <c r="B3529" s="16" t="s">
        <v>32</v>
      </c>
      <c r="C3529" s="16" t="s">
        <v>6645</v>
      </c>
      <c r="D3529" s="16" t="s">
        <v>6680</v>
      </c>
      <c r="E3529" s="17" t="s">
        <v>6681</v>
      </c>
      <c r="F3529" s="16" t="n">
        <v>32.90748492</v>
      </c>
      <c r="G3529" s="16" t="n">
        <v>45.05537803</v>
      </c>
      <c r="H3529" s="18" t="n">
        <v>27</v>
      </c>
      <c r="I3529" s="18" t="n">
        <v>162</v>
      </c>
      <c r="J3529" s="19" t="n">
        <v>9</v>
      </c>
      <c r="K3529" s="19"/>
      <c r="L3529" s="19"/>
      <c r="M3529" s="19"/>
      <c r="N3529" s="19"/>
      <c r="O3529" s="19"/>
      <c r="P3529" s="19"/>
      <c r="Q3529" s="19"/>
      <c r="R3529" s="19"/>
      <c r="S3529" s="19"/>
      <c r="T3529" s="19"/>
      <c r="U3529" s="19"/>
      <c r="V3529" s="19" t="n">
        <v>10</v>
      </c>
      <c r="W3529" s="19"/>
      <c r="X3529" s="19" t="n">
        <v>8</v>
      </c>
      <c r="Y3529" s="19"/>
      <c r="Z3529" s="19"/>
      <c r="AA3529" s="19"/>
      <c r="AB3529" s="19"/>
      <c r="AC3529" s="19" t="n">
        <v>18</v>
      </c>
      <c r="AD3529" s="19"/>
      <c r="AE3529" s="19"/>
      <c r="AF3529" s="19"/>
      <c r="AG3529" s="19"/>
      <c r="AH3529" s="19" t="n">
        <v>9</v>
      </c>
      <c r="AI3529" s="19"/>
      <c r="AJ3529" s="19"/>
      <c r="AK3529" s="19"/>
      <c r="AL3529" s="19" t="n">
        <v>9</v>
      </c>
      <c r="AM3529" s="19" t="n">
        <v>18</v>
      </c>
      <c r="AN3529" s="19"/>
      <c r="AO3529" s="19"/>
      <c r="AP3529" s="19"/>
      <c r="AQ3529" s="19"/>
      <c r="AR3529" s="19"/>
      <c r="AS3529" s="20" t="str">
        <f aca="false">HYPERLINK("http://www.openstreetmap.org/?mlat=32.9075&amp;mlon=45.0554&amp;zoom=12#map=12/32.9075/45.0554","Maplink1")</f>
        <v>Maplink1</v>
      </c>
      <c r="AT3529" s="20" t="str">
        <f aca="false">HYPERLINK("https://www.google.iq/maps/search/+32.9075,45.0554/@32.9075,45.0554,14z?hl=en","Maplink2")</f>
        <v>Maplink2</v>
      </c>
      <c r="AU3529" s="20" t="str">
        <f aca="false">HYPERLINK("http://www.bing.com/maps/?lvl=14&amp;sty=h&amp;cp=32.9075~45.0554&amp;sp=point.32.9075_45.0554","Maplink3")</f>
        <v>Maplink3</v>
      </c>
    </row>
    <row r="3530" customFormat="false" ht="15" hidden="false" customHeight="false" outlineLevel="0" collapsed="false">
      <c r="A3530" s="15" t="n">
        <v>24842</v>
      </c>
      <c r="B3530" s="16" t="s">
        <v>32</v>
      </c>
      <c r="C3530" s="16" t="s">
        <v>6645</v>
      </c>
      <c r="D3530" s="16" t="s">
        <v>6682</v>
      </c>
      <c r="E3530" s="17" t="s">
        <v>6683</v>
      </c>
      <c r="F3530" s="16" t="n">
        <v>32.91180333</v>
      </c>
      <c r="G3530" s="16" t="n">
        <v>45.05101701</v>
      </c>
      <c r="H3530" s="18" t="n">
        <v>4</v>
      </c>
      <c r="I3530" s="18" t="n">
        <v>24</v>
      </c>
      <c r="J3530" s="19"/>
      <c r="K3530" s="19"/>
      <c r="L3530" s="19"/>
      <c r="M3530" s="19"/>
      <c r="N3530" s="19"/>
      <c r="O3530" s="19"/>
      <c r="P3530" s="19"/>
      <c r="Q3530" s="19"/>
      <c r="R3530" s="19"/>
      <c r="S3530" s="19"/>
      <c r="T3530" s="19"/>
      <c r="U3530" s="19"/>
      <c r="V3530" s="19" t="n">
        <v>4</v>
      </c>
      <c r="W3530" s="19"/>
      <c r="X3530" s="19"/>
      <c r="Y3530" s="19"/>
      <c r="Z3530" s="19"/>
      <c r="AA3530" s="19"/>
      <c r="AB3530" s="19"/>
      <c r="AC3530" s="19" t="n">
        <v>4</v>
      </c>
      <c r="AD3530" s="19"/>
      <c r="AE3530" s="19"/>
      <c r="AF3530" s="19"/>
      <c r="AG3530" s="19"/>
      <c r="AH3530" s="19"/>
      <c r="AI3530" s="19"/>
      <c r="AJ3530" s="19"/>
      <c r="AK3530" s="19"/>
      <c r="AL3530" s="19"/>
      <c r="AM3530" s="19" t="n">
        <v>4</v>
      </c>
      <c r="AN3530" s="19"/>
      <c r="AO3530" s="19"/>
      <c r="AP3530" s="19"/>
      <c r="AQ3530" s="19"/>
      <c r="AR3530" s="19"/>
      <c r="AS3530" s="20" t="str">
        <f aca="false">HYPERLINK("http://www.openstreetmap.org/?mlat=32.9118&amp;mlon=45.051&amp;zoom=12#map=12/32.9118/45.051","Maplink1")</f>
        <v>Maplink1</v>
      </c>
      <c r="AT3530" s="20" t="str">
        <f aca="false">HYPERLINK("https://www.google.iq/maps/search/+32.9118,45.051/@32.9118,45.051,14z?hl=en","Maplink2")</f>
        <v>Maplink2</v>
      </c>
      <c r="AU3530" s="20" t="str">
        <f aca="false">HYPERLINK("http://www.bing.com/maps/?lvl=14&amp;sty=h&amp;cp=32.9118~45.051&amp;sp=point.32.9118_45.051","Maplink3")</f>
        <v>Maplink3</v>
      </c>
    </row>
    <row r="3531" customFormat="false" ht="15" hidden="false" customHeight="false" outlineLevel="0" collapsed="false">
      <c r="A3531" s="15" t="n">
        <v>25084</v>
      </c>
      <c r="B3531" s="16" t="s">
        <v>32</v>
      </c>
      <c r="C3531" s="16" t="s">
        <v>6645</v>
      </c>
      <c r="D3531" s="16" t="s">
        <v>6684</v>
      </c>
      <c r="E3531" s="17" t="s">
        <v>6685</v>
      </c>
      <c r="F3531" s="16" t="n">
        <v>32.91792667</v>
      </c>
      <c r="G3531" s="16" t="n">
        <v>44.95836857</v>
      </c>
      <c r="H3531" s="18" t="n">
        <v>14</v>
      </c>
      <c r="I3531" s="18" t="n">
        <v>84</v>
      </c>
      <c r="J3531" s="19"/>
      <c r="K3531" s="19"/>
      <c r="L3531" s="19"/>
      <c r="M3531" s="19"/>
      <c r="N3531" s="19"/>
      <c r="O3531" s="19"/>
      <c r="P3531" s="19"/>
      <c r="Q3531" s="19"/>
      <c r="R3531" s="19"/>
      <c r="S3531" s="19"/>
      <c r="T3531" s="19"/>
      <c r="U3531" s="19"/>
      <c r="V3531" s="19" t="n">
        <v>14</v>
      </c>
      <c r="W3531" s="19"/>
      <c r="X3531" s="19"/>
      <c r="Y3531" s="19"/>
      <c r="Z3531" s="19"/>
      <c r="AA3531" s="19"/>
      <c r="AB3531" s="19"/>
      <c r="AC3531" s="19"/>
      <c r="AD3531" s="19"/>
      <c r="AE3531" s="19"/>
      <c r="AF3531" s="19"/>
      <c r="AG3531" s="19"/>
      <c r="AH3531" s="19" t="n">
        <v>14</v>
      </c>
      <c r="AI3531" s="19"/>
      <c r="AJ3531" s="19"/>
      <c r="AK3531" s="19"/>
      <c r="AL3531" s="19"/>
      <c r="AM3531" s="19" t="n">
        <v>14</v>
      </c>
      <c r="AN3531" s="19"/>
      <c r="AO3531" s="19"/>
      <c r="AP3531" s="19"/>
      <c r="AQ3531" s="19"/>
      <c r="AR3531" s="19"/>
      <c r="AS3531" s="20" t="str">
        <f aca="false">HYPERLINK("http://www.openstreetmap.org/?mlat=32.9179&amp;mlon=44.9584&amp;zoom=12#map=12/32.9179/44.9584","Maplink1")</f>
        <v>Maplink1</v>
      </c>
      <c r="AT3531" s="20" t="str">
        <f aca="false">HYPERLINK("https://www.google.iq/maps/search/+32.9179,44.9584/@32.9179,44.9584,14z?hl=en","Maplink2")</f>
        <v>Maplink2</v>
      </c>
      <c r="AU3531" s="20" t="str">
        <f aca="false">HYPERLINK("http://www.bing.com/maps/?lvl=14&amp;sty=h&amp;cp=32.9179~44.9584&amp;sp=point.32.9179_44.9584","Maplink3")</f>
        <v>Maplink3</v>
      </c>
    </row>
    <row r="3532" customFormat="false" ht="15" hidden="false" customHeight="false" outlineLevel="0" collapsed="false">
      <c r="A3532" s="15" t="n">
        <v>19454</v>
      </c>
      <c r="B3532" s="16" t="s">
        <v>32</v>
      </c>
      <c r="C3532" s="16" t="s">
        <v>6645</v>
      </c>
      <c r="D3532" s="16" t="s">
        <v>6686</v>
      </c>
      <c r="E3532" s="17" t="s">
        <v>6687</v>
      </c>
      <c r="F3532" s="16" t="n">
        <v>32.95727075</v>
      </c>
      <c r="G3532" s="16" t="n">
        <v>44.88935797</v>
      </c>
      <c r="H3532" s="18" t="n">
        <v>22</v>
      </c>
      <c r="I3532" s="18" t="n">
        <v>132</v>
      </c>
      <c r="J3532" s="19" t="n">
        <v>17</v>
      </c>
      <c r="K3532" s="19"/>
      <c r="L3532" s="19"/>
      <c r="M3532" s="19"/>
      <c r="N3532" s="19"/>
      <c r="O3532" s="19"/>
      <c r="P3532" s="19"/>
      <c r="Q3532" s="19"/>
      <c r="R3532" s="19" t="n">
        <v>4</v>
      </c>
      <c r="S3532" s="19"/>
      <c r="T3532" s="19"/>
      <c r="U3532" s="19"/>
      <c r="V3532" s="19" t="n">
        <v>1</v>
      </c>
      <c r="W3532" s="19"/>
      <c r="X3532" s="19"/>
      <c r="Y3532" s="19"/>
      <c r="Z3532" s="19"/>
      <c r="AA3532" s="19"/>
      <c r="AB3532" s="19"/>
      <c r="AC3532" s="19"/>
      <c r="AD3532" s="19"/>
      <c r="AE3532" s="19"/>
      <c r="AF3532" s="19"/>
      <c r="AG3532" s="19"/>
      <c r="AH3532" s="19" t="n">
        <v>22</v>
      </c>
      <c r="AI3532" s="19"/>
      <c r="AJ3532" s="19"/>
      <c r="AK3532" s="19"/>
      <c r="AL3532" s="19" t="n">
        <v>10</v>
      </c>
      <c r="AM3532" s="19" t="n">
        <v>7</v>
      </c>
      <c r="AN3532" s="19" t="n">
        <v>4</v>
      </c>
      <c r="AO3532" s="19"/>
      <c r="AP3532" s="19" t="n">
        <v>1</v>
      </c>
      <c r="AQ3532" s="19"/>
      <c r="AR3532" s="19"/>
      <c r="AS3532" s="20" t="str">
        <f aca="false">HYPERLINK("http://www.openstreetmap.org/?mlat=32.9573&amp;mlon=44.8894&amp;zoom=12#map=12/32.9573/44.8894","Maplink1")</f>
        <v>Maplink1</v>
      </c>
      <c r="AT3532" s="20" t="str">
        <f aca="false">HYPERLINK("https://www.google.iq/maps/search/+32.9573,44.8894/@32.9573,44.8894,14z?hl=en","Maplink2")</f>
        <v>Maplink2</v>
      </c>
      <c r="AU3532" s="20" t="str">
        <f aca="false">HYPERLINK("http://www.bing.com/maps/?lvl=14&amp;sty=h&amp;cp=32.9573~44.8894&amp;sp=point.32.9573_44.8894","Maplink3")</f>
        <v>Maplink3</v>
      </c>
    </row>
    <row r="3533" customFormat="false" ht="15" hidden="false" customHeight="false" outlineLevel="0" collapsed="false">
      <c r="A3533" s="15" t="n">
        <v>24849</v>
      </c>
      <c r="B3533" s="16" t="s">
        <v>32</v>
      </c>
      <c r="C3533" s="16" t="s">
        <v>6645</v>
      </c>
      <c r="D3533" s="16" t="s">
        <v>6688</v>
      </c>
      <c r="E3533" s="17" t="s">
        <v>6689</v>
      </c>
      <c r="F3533" s="16" t="n">
        <v>32.96533427</v>
      </c>
      <c r="G3533" s="16" t="n">
        <v>44.86315084</v>
      </c>
      <c r="H3533" s="18" t="n">
        <v>11</v>
      </c>
      <c r="I3533" s="18" t="n">
        <v>66</v>
      </c>
      <c r="J3533" s="19"/>
      <c r="K3533" s="19"/>
      <c r="L3533" s="19"/>
      <c r="M3533" s="19"/>
      <c r="N3533" s="19"/>
      <c r="O3533" s="19"/>
      <c r="P3533" s="19"/>
      <c r="Q3533" s="19"/>
      <c r="R3533" s="19" t="n">
        <v>6</v>
      </c>
      <c r="S3533" s="19"/>
      <c r="T3533" s="19"/>
      <c r="U3533" s="19"/>
      <c r="V3533" s="19" t="n">
        <v>5</v>
      </c>
      <c r="W3533" s="19"/>
      <c r="X3533" s="19"/>
      <c r="Y3533" s="19"/>
      <c r="Z3533" s="19"/>
      <c r="AA3533" s="19"/>
      <c r="AB3533" s="19"/>
      <c r="AC3533" s="19"/>
      <c r="AD3533" s="19"/>
      <c r="AE3533" s="19"/>
      <c r="AF3533" s="19"/>
      <c r="AG3533" s="19"/>
      <c r="AH3533" s="19" t="n">
        <v>11</v>
      </c>
      <c r="AI3533" s="19"/>
      <c r="AJ3533" s="19"/>
      <c r="AK3533" s="19"/>
      <c r="AL3533" s="19"/>
      <c r="AM3533" s="19" t="n">
        <v>5</v>
      </c>
      <c r="AN3533" s="19" t="n">
        <v>6</v>
      </c>
      <c r="AO3533" s="19"/>
      <c r="AP3533" s="19"/>
      <c r="AQ3533" s="19"/>
      <c r="AR3533" s="19"/>
      <c r="AS3533" s="20" t="str">
        <f aca="false">HYPERLINK("http://www.openstreetmap.org/?mlat=32.9653&amp;mlon=44.8632&amp;zoom=12#map=12/32.9653/44.8632","Maplink1")</f>
        <v>Maplink1</v>
      </c>
      <c r="AT3533" s="20" t="str">
        <f aca="false">HYPERLINK("https://www.google.iq/maps/search/+32.9653,44.8632/@32.9653,44.8632,14z?hl=en","Maplink2")</f>
        <v>Maplink2</v>
      </c>
      <c r="AU3533" s="20" t="str">
        <f aca="false">HYPERLINK("http://www.bing.com/maps/?lvl=14&amp;sty=h&amp;cp=32.9653~44.8632&amp;sp=point.32.9653_44.8632","Maplink3")</f>
        <v>Maplink3</v>
      </c>
    </row>
    <row r="3534" customFormat="false" ht="15" hidden="false" customHeight="false" outlineLevel="0" collapsed="false">
      <c r="A3534" s="15" t="n">
        <v>18443</v>
      </c>
      <c r="B3534" s="16" t="s">
        <v>32</v>
      </c>
      <c r="C3534" s="16" t="s">
        <v>6645</v>
      </c>
      <c r="D3534" s="16" t="s">
        <v>6690</v>
      </c>
      <c r="E3534" s="17" t="s">
        <v>6691</v>
      </c>
      <c r="F3534" s="16" t="n">
        <v>32.91141871</v>
      </c>
      <c r="G3534" s="16" t="n">
        <v>45.06200688</v>
      </c>
      <c r="H3534" s="18" t="n">
        <v>42</v>
      </c>
      <c r="I3534" s="18" t="n">
        <v>252</v>
      </c>
      <c r="J3534" s="19" t="n">
        <v>10</v>
      </c>
      <c r="K3534" s="19"/>
      <c r="L3534" s="19"/>
      <c r="M3534" s="19"/>
      <c r="N3534" s="19"/>
      <c r="O3534" s="19"/>
      <c r="P3534" s="19"/>
      <c r="Q3534" s="19"/>
      <c r="R3534" s="19"/>
      <c r="S3534" s="19"/>
      <c r="T3534" s="19"/>
      <c r="U3534" s="19"/>
      <c r="V3534" s="19" t="n">
        <v>32</v>
      </c>
      <c r="W3534" s="19"/>
      <c r="X3534" s="19"/>
      <c r="Y3534" s="19"/>
      <c r="Z3534" s="19"/>
      <c r="AA3534" s="19"/>
      <c r="AB3534" s="19"/>
      <c r="AC3534" s="19"/>
      <c r="AD3534" s="19"/>
      <c r="AE3534" s="19"/>
      <c r="AF3534" s="19"/>
      <c r="AG3534" s="19"/>
      <c r="AH3534" s="19" t="n">
        <v>42</v>
      </c>
      <c r="AI3534" s="19"/>
      <c r="AJ3534" s="19"/>
      <c r="AK3534" s="19"/>
      <c r="AL3534" s="19"/>
      <c r="AM3534" s="19"/>
      <c r="AN3534" s="19" t="n">
        <v>32</v>
      </c>
      <c r="AO3534" s="19"/>
      <c r="AP3534" s="19" t="n">
        <v>10</v>
      </c>
      <c r="AQ3534" s="19"/>
      <c r="AR3534" s="19"/>
      <c r="AS3534" s="20" t="str">
        <f aca="false">HYPERLINK("http://www.openstreetmap.org/?mlat=32.9114&amp;mlon=45.062&amp;zoom=12#map=12/32.9114/45.062","Maplink1")</f>
        <v>Maplink1</v>
      </c>
      <c r="AT3534" s="20" t="str">
        <f aca="false">HYPERLINK("https://www.google.iq/maps/search/+32.9114,45.062/@32.9114,45.062,14z?hl=en","Maplink2")</f>
        <v>Maplink2</v>
      </c>
      <c r="AU3534" s="20" t="str">
        <f aca="false">HYPERLINK("http://www.bing.com/maps/?lvl=14&amp;sty=h&amp;cp=32.9114~45.062&amp;sp=point.32.9114_45.062","Maplink3")</f>
        <v>Maplink3</v>
      </c>
    </row>
    <row r="3535" customFormat="false" ht="15" hidden="false" customHeight="false" outlineLevel="0" collapsed="false">
      <c r="A3535" s="15" t="n">
        <v>22360</v>
      </c>
      <c r="B3535" s="16" t="s">
        <v>32</v>
      </c>
      <c r="C3535" s="16" t="s">
        <v>6645</v>
      </c>
      <c r="D3535" s="16" t="s">
        <v>6692</v>
      </c>
      <c r="E3535" s="17" t="s">
        <v>4416</v>
      </c>
      <c r="F3535" s="16" t="n">
        <v>32.91717212</v>
      </c>
      <c r="G3535" s="16" t="n">
        <v>45.05861764</v>
      </c>
      <c r="H3535" s="18" t="n">
        <v>46</v>
      </c>
      <c r="I3535" s="18" t="n">
        <v>276</v>
      </c>
      <c r="J3535" s="19"/>
      <c r="K3535" s="19"/>
      <c r="L3535" s="19"/>
      <c r="M3535" s="19"/>
      <c r="N3535" s="19"/>
      <c r="O3535" s="19"/>
      <c r="P3535" s="19"/>
      <c r="Q3535" s="19"/>
      <c r="R3535" s="19"/>
      <c r="S3535" s="19"/>
      <c r="T3535" s="19"/>
      <c r="U3535" s="19"/>
      <c r="V3535" s="19" t="n">
        <v>46</v>
      </c>
      <c r="W3535" s="19"/>
      <c r="X3535" s="19"/>
      <c r="Y3535" s="19"/>
      <c r="Z3535" s="19"/>
      <c r="AA3535" s="19"/>
      <c r="AB3535" s="19"/>
      <c r="AC3535" s="19"/>
      <c r="AD3535" s="19"/>
      <c r="AE3535" s="19"/>
      <c r="AF3535" s="19"/>
      <c r="AG3535" s="19"/>
      <c r="AH3535" s="19" t="n">
        <v>46</v>
      </c>
      <c r="AI3535" s="19"/>
      <c r="AJ3535" s="19"/>
      <c r="AK3535" s="19"/>
      <c r="AL3535" s="19"/>
      <c r="AM3535" s="19" t="n">
        <v>46</v>
      </c>
      <c r="AN3535" s="19"/>
      <c r="AO3535" s="19"/>
      <c r="AP3535" s="19"/>
      <c r="AQ3535" s="19"/>
      <c r="AR3535" s="19"/>
      <c r="AS3535" s="20" t="str">
        <f aca="false">HYPERLINK("http://www.openstreetmap.org/?mlat=32.9172&amp;mlon=45.0586&amp;zoom=12#map=12/32.9172/45.0586","Maplink1")</f>
        <v>Maplink1</v>
      </c>
      <c r="AT3535" s="20" t="str">
        <f aca="false">HYPERLINK("https://www.google.iq/maps/search/+32.9172,45.0586/@32.9172,45.0586,14z?hl=en","Maplink2")</f>
        <v>Maplink2</v>
      </c>
      <c r="AU3535" s="20" t="str">
        <f aca="false">HYPERLINK("http://www.bing.com/maps/?lvl=14&amp;sty=h&amp;cp=32.9172~45.0586&amp;sp=point.32.9172_45.0586","Maplink3")</f>
        <v>Maplink3</v>
      </c>
    </row>
    <row r="3536" customFormat="false" ht="15" hidden="false" customHeight="false" outlineLevel="0" collapsed="false">
      <c r="A3536" s="15" t="n">
        <v>24845</v>
      </c>
      <c r="B3536" s="16" t="s">
        <v>32</v>
      </c>
      <c r="C3536" s="16" t="s">
        <v>6645</v>
      </c>
      <c r="D3536" s="16" t="s">
        <v>6693</v>
      </c>
      <c r="E3536" s="17" t="s">
        <v>6694</v>
      </c>
      <c r="F3536" s="16" t="n">
        <v>32.91259222</v>
      </c>
      <c r="G3536" s="16" t="n">
        <v>45.05702363</v>
      </c>
      <c r="H3536" s="18" t="n">
        <v>9</v>
      </c>
      <c r="I3536" s="18" t="n">
        <v>54</v>
      </c>
      <c r="J3536" s="19"/>
      <c r="K3536" s="19"/>
      <c r="L3536" s="19"/>
      <c r="M3536" s="19"/>
      <c r="N3536" s="19"/>
      <c r="O3536" s="19"/>
      <c r="P3536" s="19"/>
      <c r="Q3536" s="19"/>
      <c r="R3536" s="19"/>
      <c r="S3536" s="19"/>
      <c r="T3536" s="19"/>
      <c r="U3536" s="19"/>
      <c r="V3536" s="19" t="n">
        <v>9</v>
      </c>
      <c r="W3536" s="19"/>
      <c r="X3536" s="19"/>
      <c r="Y3536" s="19"/>
      <c r="Z3536" s="19"/>
      <c r="AA3536" s="19"/>
      <c r="AB3536" s="19"/>
      <c r="AC3536" s="19"/>
      <c r="AD3536" s="19"/>
      <c r="AE3536" s="19"/>
      <c r="AF3536" s="19"/>
      <c r="AG3536" s="19"/>
      <c r="AH3536" s="19" t="n">
        <v>9</v>
      </c>
      <c r="AI3536" s="19"/>
      <c r="AJ3536" s="19"/>
      <c r="AK3536" s="19"/>
      <c r="AL3536" s="19"/>
      <c r="AM3536" s="19" t="n">
        <v>9</v>
      </c>
      <c r="AN3536" s="19"/>
      <c r="AO3536" s="19"/>
      <c r="AP3536" s="19"/>
      <c r="AQ3536" s="19"/>
      <c r="AR3536" s="19"/>
      <c r="AS3536" s="20" t="str">
        <f aca="false">HYPERLINK("http://www.openstreetmap.org/?mlat=32.9126&amp;mlon=45.057&amp;zoom=12#map=12/32.9126/45.057","Maplink1")</f>
        <v>Maplink1</v>
      </c>
      <c r="AT3536" s="20" t="str">
        <f aca="false">HYPERLINK("https://www.google.iq/maps/search/+32.9126,45.057/@32.9126,45.057,14z?hl=en","Maplink2")</f>
        <v>Maplink2</v>
      </c>
      <c r="AU3536" s="20" t="str">
        <f aca="false">HYPERLINK("http://www.bing.com/maps/?lvl=14&amp;sty=h&amp;cp=32.9126~45.057&amp;sp=point.32.9126_45.057","Maplink3")</f>
        <v>Maplink3</v>
      </c>
    </row>
    <row r="3537" customFormat="false" ht="15" hidden="false" customHeight="false" outlineLevel="0" collapsed="false">
      <c r="A3537" s="15" t="n">
        <v>24846</v>
      </c>
      <c r="B3537" s="16" t="s">
        <v>32</v>
      </c>
      <c r="C3537" s="16" t="s">
        <v>6645</v>
      </c>
      <c r="D3537" s="16" t="s">
        <v>6695</v>
      </c>
      <c r="E3537" s="17" t="s">
        <v>6696</v>
      </c>
      <c r="F3537" s="16" t="n">
        <v>32.91106841</v>
      </c>
      <c r="G3537" s="16" t="n">
        <v>45.06052085</v>
      </c>
      <c r="H3537" s="18" t="n">
        <v>8</v>
      </c>
      <c r="I3537" s="18" t="n">
        <v>48</v>
      </c>
      <c r="J3537" s="19"/>
      <c r="K3537" s="19"/>
      <c r="L3537" s="19"/>
      <c r="M3537" s="19"/>
      <c r="N3537" s="19"/>
      <c r="O3537" s="19"/>
      <c r="P3537" s="19"/>
      <c r="Q3537" s="19"/>
      <c r="R3537" s="19"/>
      <c r="S3537" s="19"/>
      <c r="T3537" s="19"/>
      <c r="U3537" s="19"/>
      <c r="V3537" s="19" t="n">
        <v>8</v>
      </c>
      <c r="W3537" s="19"/>
      <c r="X3537" s="19"/>
      <c r="Y3537" s="19"/>
      <c r="Z3537" s="19"/>
      <c r="AA3537" s="19"/>
      <c r="AB3537" s="19"/>
      <c r="AC3537" s="19"/>
      <c r="AD3537" s="19"/>
      <c r="AE3537" s="19"/>
      <c r="AF3537" s="19"/>
      <c r="AG3537" s="19"/>
      <c r="AH3537" s="19" t="n">
        <v>8</v>
      </c>
      <c r="AI3537" s="19"/>
      <c r="AJ3537" s="19"/>
      <c r="AK3537" s="19"/>
      <c r="AL3537" s="19"/>
      <c r="AM3537" s="19" t="n">
        <v>8</v>
      </c>
      <c r="AN3537" s="19"/>
      <c r="AO3537" s="19"/>
      <c r="AP3537" s="19"/>
      <c r="AQ3537" s="19"/>
      <c r="AR3537" s="19"/>
      <c r="AS3537" s="20" t="str">
        <f aca="false">HYPERLINK("http://www.openstreetmap.org/?mlat=32.9111&amp;mlon=45.0605&amp;zoom=12#map=12/32.9111/45.0605","Maplink1")</f>
        <v>Maplink1</v>
      </c>
      <c r="AT3537" s="20" t="str">
        <f aca="false">HYPERLINK("https://www.google.iq/maps/search/+32.9111,45.0605/@32.9111,45.0605,14z?hl=en","Maplink2")</f>
        <v>Maplink2</v>
      </c>
      <c r="AU3537" s="20" t="str">
        <f aca="false">HYPERLINK("http://www.bing.com/maps/?lvl=14&amp;sty=h&amp;cp=32.9111~45.0605&amp;sp=point.32.9111_45.0605","Maplink3")</f>
        <v>Maplink3</v>
      </c>
    </row>
    <row r="3538" customFormat="false" ht="15" hidden="false" customHeight="false" outlineLevel="0" collapsed="false">
      <c r="A3538" s="15" t="n">
        <v>24757</v>
      </c>
      <c r="B3538" s="16" t="s">
        <v>32</v>
      </c>
      <c r="C3538" s="16" t="s">
        <v>6645</v>
      </c>
      <c r="D3538" s="16" t="s">
        <v>6697</v>
      </c>
      <c r="E3538" s="17" t="s">
        <v>6698</v>
      </c>
      <c r="F3538" s="16" t="n">
        <v>32.90940874</v>
      </c>
      <c r="G3538" s="16" t="n">
        <v>45.0462563</v>
      </c>
      <c r="H3538" s="18" t="n">
        <v>4</v>
      </c>
      <c r="I3538" s="18" t="n">
        <v>24</v>
      </c>
      <c r="J3538" s="19"/>
      <c r="K3538" s="19"/>
      <c r="L3538" s="19"/>
      <c r="M3538" s="19"/>
      <c r="N3538" s="19"/>
      <c r="O3538" s="19"/>
      <c r="P3538" s="19"/>
      <c r="Q3538" s="19"/>
      <c r="R3538" s="19"/>
      <c r="S3538" s="19"/>
      <c r="T3538" s="19"/>
      <c r="U3538" s="19"/>
      <c r="V3538" s="19" t="n">
        <v>4</v>
      </c>
      <c r="W3538" s="19"/>
      <c r="X3538" s="19"/>
      <c r="Y3538" s="19"/>
      <c r="Z3538" s="19"/>
      <c r="AA3538" s="19"/>
      <c r="AB3538" s="19"/>
      <c r="AC3538" s="19" t="n">
        <v>4</v>
      </c>
      <c r="AD3538" s="19"/>
      <c r="AE3538" s="19"/>
      <c r="AF3538" s="19"/>
      <c r="AG3538" s="19"/>
      <c r="AH3538" s="19"/>
      <c r="AI3538" s="19"/>
      <c r="AJ3538" s="19"/>
      <c r="AK3538" s="19"/>
      <c r="AL3538" s="19"/>
      <c r="AM3538" s="19" t="n">
        <v>4</v>
      </c>
      <c r="AN3538" s="19"/>
      <c r="AO3538" s="19"/>
      <c r="AP3538" s="19"/>
      <c r="AQ3538" s="19"/>
      <c r="AR3538" s="19"/>
      <c r="AS3538" s="20" t="str">
        <f aca="false">HYPERLINK("http://www.openstreetmap.org/?mlat=32.9094&amp;mlon=45.0463&amp;zoom=12#map=12/32.9094/45.0463","Maplink1")</f>
        <v>Maplink1</v>
      </c>
      <c r="AT3538" s="20" t="str">
        <f aca="false">HYPERLINK("https://www.google.iq/maps/search/+32.9094,45.0463/@32.9094,45.0463,14z?hl=en","Maplink2")</f>
        <v>Maplink2</v>
      </c>
      <c r="AU3538" s="20" t="str">
        <f aca="false">HYPERLINK("http://www.bing.com/maps/?lvl=14&amp;sty=h&amp;cp=32.9094~45.0463&amp;sp=point.32.9094_45.0463","Maplink3")</f>
        <v>Maplink3</v>
      </c>
    </row>
    <row r="3539" customFormat="false" ht="15" hidden="false" customHeight="false" outlineLevel="0" collapsed="false">
      <c r="A3539" s="15" t="n">
        <v>24840</v>
      </c>
      <c r="B3539" s="16" t="s">
        <v>32</v>
      </c>
      <c r="C3539" s="16" t="s">
        <v>6645</v>
      </c>
      <c r="D3539" s="16" t="s">
        <v>6699</v>
      </c>
      <c r="E3539" s="17" t="s">
        <v>6700</v>
      </c>
      <c r="F3539" s="16" t="n">
        <v>32.90927534</v>
      </c>
      <c r="G3539" s="16" t="n">
        <v>45.05154413</v>
      </c>
      <c r="H3539" s="18" t="n">
        <v>4</v>
      </c>
      <c r="I3539" s="18" t="n">
        <v>24</v>
      </c>
      <c r="J3539" s="19"/>
      <c r="K3539" s="19"/>
      <c r="L3539" s="19"/>
      <c r="M3539" s="19"/>
      <c r="N3539" s="19"/>
      <c r="O3539" s="19"/>
      <c r="P3539" s="19"/>
      <c r="Q3539" s="19"/>
      <c r="R3539" s="19"/>
      <c r="S3539" s="19"/>
      <c r="T3539" s="19"/>
      <c r="U3539" s="19"/>
      <c r="V3539" s="19" t="n">
        <v>4</v>
      </c>
      <c r="W3539" s="19"/>
      <c r="X3539" s="19"/>
      <c r="Y3539" s="19"/>
      <c r="Z3539" s="19"/>
      <c r="AA3539" s="19"/>
      <c r="AB3539" s="19"/>
      <c r="AC3539" s="19"/>
      <c r="AD3539" s="19"/>
      <c r="AE3539" s="19"/>
      <c r="AF3539" s="19"/>
      <c r="AG3539" s="19"/>
      <c r="AH3539" s="19" t="n">
        <v>4</v>
      </c>
      <c r="AI3539" s="19"/>
      <c r="AJ3539" s="19"/>
      <c r="AK3539" s="19"/>
      <c r="AL3539" s="19"/>
      <c r="AM3539" s="19" t="n">
        <v>4</v>
      </c>
      <c r="AN3539" s="19"/>
      <c r="AO3539" s="19"/>
      <c r="AP3539" s="19"/>
      <c r="AQ3539" s="19"/>
      <c r="AR3539" s="19"/>
      <c r="AS3539" s="20" t="str">
        <f aca="false">HYPERLINK("http://www.openstreetmap.org/?mlat=32.9093&amp;mlon=45.0515&amp;zoom=12#map=12/32.9093/45.0515","Maplink1")</f>
        <v>Maplink1</v>
      </c>
      <c r="AT3539" s="20" t="str">
        <f aca="false">HYPERLINK("https://www.google.iq/maps/search/+32.9093,45.0515/@32.9093,45.0515,14z?hl=en","Maplink2")</f>
        <v>Maplink2</v>
      </c>
      <c r="AU3539" s="20" t="str">
        <f aca="false">HYPERLINK("http://www.bing.com/maps/?lvl=14&amp;sty=h&amp;cp=32.9093~45.0515&amp;sp=point.32.9093_45.0515","Maplink3")</f>
        <v>Maplink3</v>
      </c>
    </row>
    <row r="3540" customFormat="false" ht="15" hidden="false" customHeight="false" outlineLevel="0" collapsed="false">
      <c r="A3540" s="15" t="n">
        <v>24839</v>
      </c>
      <c r="B3540" s="16" t="s">
        <v>32</v>
      </c>
      <c r="C3540" s="16" t="s">
        <v>6645</v>
      </c>
      <c r="D3540" s="16" t="s">
        <v>6701</v>
      </c>
      <c r="E3540" s="17" t="s">
        <v>6702</v>
      </c>
      <c r="F3540" s="16" t="n">
        <v>32.90791383</v>
      </c>
      <c r="G3540" s="16" t="n">
        <v>45.05262189</v>
      </c>
      <c r="H3540" s="18" t="n">
        <v>21</v>
      </c>
      <c r="I3540" s="18" t="n">
        <v>126</v>
      </c>
      <c r="J3540" s="19"/>
      <c r="K3540" s="19"/>
      <c r="L3540" s="19"/>
      <c r="M3540" s="19"/>
      <c r="N3540" s="19"/>
      <c r="O3540" s="19"/>
      <c r="P3540" s="19"/>
      <c r="Q3540" s="19"/>
      <c r="R3540" s="19"/>
      <c r="S3540" s="19"/>
      <c r="T3540" s="19"/>
      <c r="U3540" s="19"/>
      <c r="V3540" s="19" t="n">
        <v>15</v>
      </c>
      <c r="W3540" s="19"/>
      <c r="X3540" s="19" t="n">
        <v>6</v>
      </c>
      <c r="Y3540" s="19"/>
      <c r="Z3540" s="19"/>
      <c r="AA3540" s="19"/>
      <c r="AB3540" s="19"/>
      <c r="AC3540" s="19"/>
      <c r="AD3540" s="19"/>
      <c r="AE3540" s="19"/>
      <c r="AF3540" s="19"/>
      <c r="AG3540" s="19"/>
      <c r="AH3540" s="19" t="n">
        <v>21</v>
      </c>
      <c r="AI3540" s="19"/>
      <c r="AJ3540" s="19"/>
      <c r="AK3540" s="19"/>
      <c r="AL3540" s="19"/>
      <c r="AM3540" s="19" t="n">
        <v>21</v>
      </c>
      <c r="AN3540" s="19"/>
      <c r="AO3540" s="19"/>
      <c r="AP3540" s="19"/>
      <c r="AQ3540" s="19"/>
      <c r="AR3540" s="19"/>
      <c r="AS3540" s="20" t="str">
        <f aca="false">HYPERLINK("http://www.openstreetmap.org/?mlat=32.9079&amp;mlon=45.0526&amp;zoom=12#map=12/32.9079/45.0526","Maplink1")</f>
        <v>Maplink1</v>
      </c>
      <c r="AT3540" s="20" t="str">
        <f aca="false">HYPERLINK("https://www.google.iq/maps/search/+32.9079,45.0526/@32.9079,45.0526,14z?hl=en","Maplink2")</f>
        <v>Maplink2</v>
      </c>
      <c r="AU3540" s="20" t="str">
        <f aca="false">HYPERLINK("http://www.bing.com/maps/?lvl=14&amp;sty=h&amp;cp=32.9079~45.0526&amp;sp=point.32.9079_45.0526","Maplink3")</f>
        <v>Maplink3</v>
      </c>
    </row>
    <row r="3541" customFormat="false" ht="15" hidden="false" customHeight="false" outlineLevel="0" collapsed="false">
      <c r="A3541" s="15" t="n">
        <v>24843</v>
      </c>
      <c r="B3541" s="16" t="s">
        <v>32</v>
      </c>
      <c r="C3541" s="16" t="s">
        <v>6645</v>
      </c>
      <c r="D3541" s="16" t="s">
        <v>6703</v>
      </c>
      <c r="E3541" s="17" t="s">
        <v>6704</v>
      </c>
      <c r="F3541" s="16" t="n">
        <v>32.91659971</v>
      </c>
      <c r="G3541" s="16" t="n">
        <v>45.05071252</v>
      </c>
      <c r="H3541" s="18" t="n">
        <v>20</v>
      </c>
      <c r="I3541" s="18" t="n">
        <v>120</v>
      </c>
      <c r="J3541" s="19" t="n">
        <v>8</v>
      </c>
      <c r="K3541" s="19"/>
      <c r="L3541" s="19"/>
      <c r="M3541" s="19"/>
      <c r="N3541" s="19"/>
      <c r="O3541" s="19" t="n">
        <v>2</v>
      </c>
      <c r="P3541" s="19"/>
      <c r="Q3541" s="19"/>
      <c r="R3541" s="19"/>
      <c r="S3541" s="19"/>
      <c r="T3541" s="19"/>
      <c r="U3541" s="19"/>
      <c r="V3541" s="19" t="n">
        <v>10</v>
      </c>
      <c r="W3541" s="19"/>
      <c r="X3541" s="19"/>
      <c r="Y3541" s="19"/>
      <c r="Z3541" s="19"/>
      <c r="AA3541" s="19"/>
      <c r="AB3541" s="19"/>
      <c r="AC3541" s="19"/>
      <c r="AD3541" s="19"/>
      <c r="AE3541" s="19"/>
      <c r="AF3541" s="19"/>
      <c r="AG3541" s="19"/>
      <c r="AH3541" s="19" t="n">
        <v>20</v>
      </c>
      <c r="AI3541" s="19"/>
      <c r="AJ3541" s="19"/>
      <c r="AK3541" s="19"/>
      <c r="AL3541" s="19"/>
      <c r="AM3541" s="19" t="n">
        <v>10</v>
      </c>
      <c r="AN3541" s="19" t="n">
        <v>2</v>
      </c>
      <c r="AO3541" s="19"/>
      <c r="AP3541" s="19" t="n">
        <v>8</v>
      </c>
      <c r="AQ3541" s="19"/>
      <c r="AR3541" s="19"/>
      <c r="AS3541" s="20" t="str">
        <f aca="false">HYPERLINK("http://www.openstreetmap.org/?mlat=32.9166&amp;mlon=45.0507&amp;zoom=12#map=12/32.9166/45.0507","Maplink1")</f>
        <v>Maplink1</v>
      </c>
      <c r="AT3541" s="20" t="str">
        <f aca="false">HYPERLINK("https://www.google.iq/maps/search/+32.9166,45.0507/@32.9166,45.0507,14z?hl=en","Maplink2")</f>
        <v>Maplink2</v>
      </c>
      <c r="AU3541" s="20" t="str">
        <f aca="false">HYPERLINK("http://www.bing.com/maps/?lvl=14&amp;sty=h&amp;cp=32.9166~45.0507&amp;sp=point.32.9166_45.0507","Maplink3")</f>
        <v>Maplink3</v>
      </c>
    </row>
    <row r="3542" customFormat="false" ht="15" hidden="false" customHeight="false" outlineLevel="0" collapsed="false">
      <c r="A3542" s="15" t="n">
        <v>24864</v>
      </c>
      <c r="B3542" s="16" t="s">
        <v>32</v>
      </c>
      <c r="C3542" s="16" t="s">
        <v>6645</v>
      </c>
      <c r="D3542" s="16" t="s">
        <v>6705</v>
      </c>
      <c r="E3542" s="17" t="s">
        <v>6706</v>
      </c>
      <c r="F3542" s="16" t="n">
        <v>32.77246865</v>
      </c>
      <c r="G3542" s="16" t="n">
        <v>45.20701362</v>
      </c>
      <c r="H3542" s="18" t="n">
        <v>6</v>
      </c>
      <c r="I3542" s="18" t="n">
        <v>36</v>
      </c>
      <c r="J3542" s="19"/>
      <c r="K3542" s="19"/>
      <c r="L3542" s="19"/>
      <c r="M3542" s="19"/>
      <c r="N3542" s="19"/>
      <c r="O3542" s="19"/>
      <c r="P3542" s="19"/>
      <c r="Q3542" s="19"/>
      <c r="R3542" s="19"/>
      <c r="S3542" s="19"/>
      <c r="T3542" s="19"/>
      <c r="U3542" s="19"/>
      <c r="V3542" s="19" t="n">
        <v>6</v>
      </c>
      <c r="W3542" s="19"/>
      <c r="X3542" s="19"/>
      <c r="Y3542" s="19"/>
      <c r="Z3542" s="19"/>
      <c r="AA3542" s="19"/>
      <c r="AB3542" s="19"/>
      <c r="AC3542" s="19" t="n">
        <v>6</v>
      </c>
      <c r="AD3542" s="19"/>
      <c r="AE3542" s="19"/>
      <c r="AF3542" s="19"/>
      <c r="AG3542" s="19"/>
      <c r="AH3542" s="19"/>
      <c r="AI3542" s="19"/>
      <c r="AJ3542" s="19"/>
      <c r="AK3542" s="19"/>
      <c r="AL3542" s="19"/>
      <c r="AM3542" s="19"/>
      <c r="AN3542" s="19" t="n">
        <v>6</v>
      </c>
      <c r="AO3542" s="19"/>
      <c r="AP3542" s="19"/>
      <c r="AQ3542" s="19"/>
      <c r="AR3542" s="19"/>
      <c r="AS3542" s="20" t="str">
        <f aca="false">HYPERLINK("http://www.openstreetmap.org/?mlat=32.7725&amp;mlon=45.207&amp;zoom=12#map=12/32.7725/45.207","Maplink1")</f>
        <v>Maplink1</v>
      </c>
      <c r="AT3542" s="20" t="str">
        <f aca="false">HYPERLINK("https://www.google.iq/maps/search/+32.7725,45.207/@32.7725,45.207,14z?hl=en","Maplink2")</f>
        <v>Maplink2</v>
      </c>
      <c r="AU3542" s="20" t="str">
        <f aca="false">HYPERLINK("http://www.bing.com/maps/?lvl=14&amp;sty=h&amp;cp=32.7725~45.207&amp;sp=point.32.7725_45.207","Maplink3")</f>
        <v>Maplink3</v>
      </c>
    </row>
    <row r="3543" customFormat="false" ht="15" hidden="false" customHeight="false" outlineLevel="0" collapsed="false">
      <c r="A3543" s="15" t="n">
        <v>24874</v>
      </c>
      <c r="B3543" s="16" t="s">
        <v>32</v>
      </c>
      <c r="C3543" s="16" t="s">
        <v>6645</v>
      </c>
      <c r="D3543" s="16" t="s">
        <v>6707</v>
      </c>
      <c r="E3543" s="17" t="s">
        <v>6708</v>
      </c>
      <c r="F3543" s="16" t="n">
        <v>32.75242308</v>
      </c>
      <c r="G3543" s="16" t="n">
        <v>45.29575633</v>
      </c>
      <c r="H3543" s="18" t="n">
        <v>4</v>
      </c>
      <c r="I3543" s="18" t="n">
        <v>24</v>
      </c>
      <c r="J3543" s="19"/>
      <c r="K3543" s="19"/>
      <c r="L3543" s="19"/>
      <c r="M3543" s="19"/>
      <c r="N3543" s="19"/>
      <c r="O3543" s="19"/>
      <c r="P3543" s="19"/>
      <c r="Q3543" s="19"/>
      <c r="R3543" s="19"/>
      <c r="S3543" s="19"/>
      <c r="T3543" s="19"/>
      <c r="U3543" s="19"/>
      <c r="V3543" s="19" t="n">
        <v>4</v>
      </c>
      <c r="W3543" s="19"/>
      <c r="X3543" s="19"/>
      <c r="Y3543" s="19"/>
      <c r="Z3543" s="19"/>
      <c r="AA3543" s="19"/>
      <c r="AB3543" s="19"/>
      <c r="AC3543" s="19" t="n">
        <v>4</v>
      </c>
      <c r="AD3543" s="19"/>
      <c r="AE3543" s="19"/>
      <c r="AF3543" s="19"/>
      <c r="AG3543" s="19"/>
      <c r="AH3543" s="19"/>
      <c r="AI3543" s="19"/>
      <c r="AJ3543" s="19"/>
      <c r="AK3543" s="19"/>
      <c r="AL3543" s="19"/>
      <c r="AM3543" s="19"/>
      <c r="AN3543" s="19" t="n">
        <v>4</v>
      </c>
      <c r="AO3543" s="19"/>
      <c r="AP3543" s="19"/>
      <c r="AQ3543" s="19"/>
      <c r="AR3543" s="19"/>
      <c r="AS3543" s="20" t="str">
        <f aca="false">HYPERLINK("http://www.openstreetmap.org/?mlat=32.7524&amp;mlon=45.2958&amp;zoom=12#map=12/32.7524/45.2958","Maplink1")</f>
        <v>Maplink1</v>
      </c>
      <c r="AT3543" s="20" t="str">
        <f aca="false">HYPERLINK("https://www.google.iq/maps/search/+32.7524,45.2958/@32.7524,45.2958,14z?hl=en","Maplink2")</f>
        <v>Maplink2</v>
      </c>
      <c r="AU3543" s="20" t="str">
        <f aca="false">HYPERLINK("http://www.bing.com/maps/?lvl=14&amp;sty=h&amp;cp=32.7524~45.2958&amp;sp=point.32.7524_45.2958","Maplink3")</f>
        <v>Maplink3</v>
      </c>
    </row>
    <row r="3544" customFormat="false" ht="15" hidden="false" customHeight="false" outlineLevel="0" collapsed="false">
      <c r="A3544" s="15" t="n">
        <v>19442</v>
      </c>
      <c r="B3544" s="16" t="s">
        <v>32</v>
      </c>
      <c r="C3544" s="16" t="s">
        <v>6645</v>
      </c>
      <c r="D3544" s="16" t="s">
        <v>6709</v>
      </c>
      <c r="E3544" s="17" t="s">
        <v>6710</v>
      </c>
      <c r="F3544" s="16" t="n">
        <v>32.9851657295</v>
      </c>
      <c r="G3544" s="16" t="n">
        <v>44.8580025887</v>
      </c>
      <c r="H3544" s="18" t="n">
        <v>42</v>
      </c>
      <c r="I3544" s="18" t="n">
        <v>252</v>
      </c>
      <c r="J3544" s="19" t="n">
        <v>18</v>
      </c>
      <c r="K3544" s="19"/>
      <c r="L3544" s="19"/>
      <c r="M3544" s="19"/>
      <c r="N3544" s="19"/>
      <c r="O3544" s="19"/>
      <c r="P3544" s="19"/>
      <c r="Q3544" s="19"/>
      <c r="R3544" s="19"/>
      <c r="S3544" s="19"/>
      <c r="T3544" s="19"/>
      <c r="U3544" s="19"/>
      <c r="V3544" s="19" t="n">
        <v>14</v>
      </c>
      <c r="W3544" s="19"/>
      <c r="X3544" s="19" t="n">
        <v>10</v>
      </c>
      <c r="Y3544" s="19"/>
      <c r="Z3544" s="19"/>
      <c r="AA3544" s="19"/>
      <c r="AB3544" s="19"/>
      <c r="AC3544" s="19"/>
      <c r="AD3544" s="19"/>
      <c r="AE3544" s="19"/>
      <c r="AF3544" s="19"/>
      <c r="AG3544" s="19"/>
      <c r="AH3544" s="19" t="n">
        <v>42</v>
      </c>
      <c r="AI3544" s="19"/>
      <c r="AJ3544" s="19"/>
      <c r="AK3544" s="19"/>
      <c r="AL3544" s="19"/>
      <c r="AM3544" s="19" t="n">
        <v>14</v>
      </c>
      <c r="AN3544" s="19" t="n">
        <v>10</v>
      </c>
      <c r="AO3544" s="19"/>
      <c r="AP3544" s="19" t="n">
        <v>18</v>
      </c>
      <c r="AQ3544" s="19"/>
      <c r="AR3544" s="19"/>
      <c r="AS3544" s="20" t="str">
        <f aca="false">HYPERLINK("http://www.openstreetmap.org/?mlat=32.9852&amp;mlon=44.858&amp;zoom=12#map=12/32.9852/44.858","Maplink1")</f>
        <v>Maplink1</v>
      </c>
      <c r="AT3544" s="20" t="str">
        <f aca="false">HYPERLINK("https://www.google.iq/maps/search/+32.9852,44.858/@32.9852,44.858,14z?hl=en","Maplink2")</f>
        <v>Maplink2</v>
      </c>
      <c r="AU3544" s="20" t="str">
        <f aca="false">HYPERLINK("http://www.bing.com/maps/?lvl=14&amp;sty=h&amp;cp=32.9852~44.858&amp;sp=point.32.9852_44.858","Maplink3")</f>
        <v>Maplink3</v>
      </c>
    </row>
    <row r="3545" customFormat="false" ht="15" hidden="false" customHeight="false" outlineLevel="0" collapsed="false">
      <c r="A3545" s="15" t="n">
        <v>24967</v>
      </c>
      <c r="B3545" s="16" t="s">
        <v>32</v>
      </c>
      <c r="C3545" s="16" t="s">
        <v>6645</v>
      </c>
      <c r="D3545" s="16" t="s">
        <v>6711</v>
      </c>
      <c r="E3545" s="17" t="s">
        <v>6712</v>
      </c>
      <c r="F3545" s="16" t="n">
        <v>32.98722391</v>
      </c>
      <c r="G3545" s="16" t="n">
        <v>44.84393317</v>
      </c>
      <c r="H3545" s="18" t="n">
        <v>38</v>
      </c>
      <c r="I3545" s="18" t="n">
        <v>228</v>
      </c>
      <c r="J3545" s="19"/>
      <c r="K3545" s="19"/>
      <c r="L3545" s="19"/>
      <c r="M3545" s="19"/>
      <c r="N3545" s="19"/>
      <c r="O3545" s="19"/>
      <c r="P3545" s="19"/>
      <c r="Q3545" s="19"/>
      <c r="R3545" s="19"/>
      <c r="S3545" s="19"/>
      <c r="T3545" s="19"/>
      <c r="U3545" s="19"/>
      <c r="V3545" s="19" t="n">
        <v>35</v>
      </c>
      <c r="W3545" s="19"/>
      <c r="X3545" s="19" t="n">
        <v>3</v>
      </c>
      <c r="Y3545" s="19"/>
      <c r="Z3545" s="19"/>
      <c r="AA3545" s="19"/>
      <c r="AB3545" s="19"/>
      <c r="AC3545" s="19" t="n">
        <v>4</v>
      </c>
      <c r="AD3545" s="19"/>
      <c r="AE3545" s="19"/>
      <c r="AF3545" s="19"/>
      <c r="AG3545" s="19"/>
      <c r="AH3545" s="19" t="n">
        <v>34</v>
      </c>
      <c r="AI3545" s="19"/>
      <c r="AJ3545" s="19"/>
      <c r="AK3545" s="19"/>
      <c r="AL3545" s="19"/>
      <c r="AM3545" s="19" t="n">
        <v>35</v>
      </c>
      <c r="AN3545" s="19" t="n">
        <v>3</v>
      </c>
      <c r="AO3545" s="19"/>
      <c r="AP3545" s="19"/>
      <c r="AQ3545" s="19"/>
      <c r="AR3545" s="19"/>
      <c r="AS3545" s="20" t="str">
        <f aca="false">HYPERLINK("http://www.openstreetmap.org/?mlat=32.9872&amp;mlon=44.8439&amp;zoom=12#map=12/32.9872/44.8439","Maplink1")</f>
        <v>Maplink1</v>
      </c>
      <c r="AT3545" s="20" t="str">
        <f aca="false">HYPERLINK("https://www.google.iq/maps/search/+32.9872,44.8439/@32.9872,44.8439,14z?hl=en","Maplink2")</f>
        <v>Maplink2</v>
      </c>
      <c r="AU3545" s="20" t="str">
        <f aca="false">HYPERLINK("http://www.bing.com/maps/?lvl=14&amp;sty=h&amp;cp=32.9872~44.8439&amp;sp=point.32.9872_44.8439","Maplink3")</f>
        <v>Maplink3</v>
      </c>
    </row>
    <row r="3546" customFormat="false" ht="15" hidden="false" customHeight="false" outlineLevel="0" collapsed="false">
      <c r="A3546" s="15" t="n">
        <v>19464</v>
      </c>
      <c r="B3546" s="16" t="s">
        <v>32</v>
      </c>
      <c r="C3546" s="16" t="s">
        <v>6645</v>
      </c>
      <c r="D3546" s="16" t="s">
        <v>6713</v>
      </c>
      <c r="E3546" s="17" t="s">
        <v>6714</v>
      </c>
      <c r="F3546" s="16" t="n">
        <v>32.94403801</v>
      </c>
      <c r="G3546" s="16" t="n">
        <v>44.93389895</v>
      </c>
      <c r="H3546" s="18" t="n">
        <v>6</v>
      </c>
      <c r="I3546" s="18" t="n">
        <v>36</v>
      </c>
      <c r="J3546" s="19"/>
      <c r="K3546" s="19"/>
      <c r="L3546" s="19"/>
      <c r="M3546" s="19"/>
      <c r="N3546" s="19"/>
      <c r="O3546" s="19"/>
      <c r="P3546" s="19"/>
      <c r="Q3546" s="19"/>
      <c r="R3546" s="19"/>
      <c r="S3546" s="19"/>
      <c r="T3546" s="19"/>
      <c r="U3546" s="19"/>
      <c r="V3546" s="19" t="n">
        <v>6</v>
      </c>
      <c r="W3546" s="19"/>
      <c r="X3546" s="19"/>
      <c r="Y3546" s="19"/>
      <c r="Z3546" s="19"/>
      <c r="AA3546" s="19"/>
      <c r="AB3546" s="19"/>
      <c r="AC3546" s="19" t="n">
        <v>6</v>
      </c>
      <c r="AD3546" s="19"/>
      <c r="AE3546" s="19"/>
      <c r="AF3546" s="19"/>
      <c r="AG3546" s="19"/>
      <c r="AH3546" s="19"/>
      <c r="AI3546" s="19"/>
      <c r="AJ3546" s="19"/>
      <c r="AK3546" s="19"/>
      <c r="AL3546" s="19"/>
      <c r="AM3546" s="19" t="n">
        <v>6</v>
      </c>
      <c r="AN3546" s="19"/>
      <c r="AO3546" s="19"/>
      <c r="AP3546" s="19"/>
      <c r="AQ3546" s="19"/>
      <c r="AR3546" s="19"/>
      <c r="AS3546" s="20" t="str">
        <f aca="false">HYPERLINK("http://www.openstreetmap.org/?mlat=32.944&amp;mlon=44.9339&amp;zoom=12#map=12/32.944/44.9339","Maplink1")</f>
        <v>Maplink1</v>
      </c>
      <c r="AT3546" s="20" t="str">
        <f aca="false">HYPERLINK("https://www.google.iq/maps/search/+32.944,44.9339/@32.944,44.9339,14z?hl=en","Maplink2")</f>
        <v>Maplink2</v>
      </c>
      <c r="AU3546" s="20" t="str">
        <f aca="false">HYPERLINK("http://www.bing.com/maps/?lvl=14&amp;sty=h&amp;cp=32.944~44.9339&amp;sp=point.32.944_44.9339","Maplink3")</f>
        <v>Maplink3</v>
      </c>
    </row>
    <row r="3547" customFormat="false" ht="15" hidden="false" customHeight="false" outlineLevel="0" collapsed="false">
      <c r="A3547" s="15" t="n">
        <v>24865</v>
      </c>
      <c r="B3547" s="16" t="s">
        <v>32</v>
      </c>
      <c r="C3547" s="16" t="s">
        <v>6645</v>
      </c>
      <c r="D3547" s="16" t="s">
        <v>6715</v>
      </c>
      <c r="E3547" s="17" t="s">
        <v>6716</v>
      </c>
      <c r="F3547" s="16" t="n">
        <v>32.93986874</v>
      </c>
      <c r="G3547" s="16" t="n">
        <v>44.95115095</v>
      </c>
      <c r="H3547" s="18" t="n">
        <v>3</v>
      </c>
      <c r="I3547" s="18" t="n">
        <v>18</v>
      </c>
      <c r="J3547" s="19"/>
      <c r="K3547" s="19"/>
      <c r="L3547" s="19"/>
      <c r="M3547" s="19"/>
      <c r="N3547" s="19"/>
      <c r="O3547" s="19"/>
      <c r="P3547" s="19"/>
      <c r="Q3547" s="19"/>
      <c r="R3547" s="19"/>
      <c r="S3547" s="19"/>
      <c r="T3547" s="19"/>
      <c r="U3547" s="19"/>
      <c r="V3547" s="19" t="n">
        <v>3</v>
      </c>
      <c r="W3547" s="19"/>
      <c r="X3547" s="19"/>
      <c r="Y3547" s="19"/>
      <c r="Z3547" s="19"/>
      <c r="AA3547" s="19"/>
      <c r="AB3547" s="19"/>
      <c r="AC3547" s="19" t="n">
        <v>3</v>
      </c>
      <c r="AD3547" s="19"/>
      <c r="AE3547" s="19"/>
      <c r="AF3547" s="19"/>
      <c r="AG3547" s="19"/>
      <c r="AH3547" s="19"/>
      <c r="AI3547" s="19"/>
      <c r="AJ3547" s="19"/>
      <c r="AK3547" s="19"/>
      <c r="AL3547" s="19"/>
      <c r="AM3547" s="19"/>
      <c r="AN3547" s="19" t="n">
        <v>3</v>
      </c>
      <c r="AO3547" s="19"/>
      <c r="AP3547" s="19"/>
      <c r="AQ3547" s="19"/>
      <c r="AR3547" s="19"/>
      <c r="AS3547" s="20" t="str">
        <f aca="false">HYPERLINK("http://www.openstreetmap.org/?mlat=32.9399&amp;mlon=44.9512&amp;zoom=12#map=12/32.9399/44.9512","Maplink1")</f>
        <v>Maplink1</v>
      </c>
      <c r="AT3547" s="20" t="str">
        <f aca="false">HYPERLINK("https://www.google.iq/maps/search/+32.9399,44.9512/@32.9399,44.9512,14z?hl=en","Maplink2")</f>
        <v>Maplink2</v>
      </c>
      <c r="AU3547" s="20" t="str">
        <f aca="false">HYPERLINK("http://www.bing.com/maps/?lvl=14&amp;sty=h&amp;cp=32.9399~44.9512&amp;sp=point.32.9399_44.9512","Maplink3")</f>
        <v>Maplink3</v>
      </c>
    </row>
    <row r="3548" customFormat="false" ht="15" hidden="false" customHeight="false" outlineLevel="0" collapsed="false">
      <c r="A3548" s="15" t="n">
        <v>19509</v>
      </c>
      <c r="B3548" s="16" t="s">
        <v>32</v>
      </c>
      <c r="C3548" s="16" t="s">
        <v>6717</v>
      </c>
      <c r="D3548" s="16" t="s">
        <v>6718</v>
      </c>
      <c r="E3548" s="17" t="s">
        <v>6719</v>
      </c>
      <c r="F3548" s="16" t="n">
        <v>32.12480355</v>
      </c>
      <c r="G3548" s="16" t="n">
        <v>46.11565719</v>
      </c>
      <c r="H3548" s="18" t="n">
        <v>13</v>
      </c>
      <c r="I3548" s="18" t="n">
        <v>78</v>
      </c>
      <c r="J3548" s="19"/>
      <c r="K3548" s="19"/>
      <c r="L3548" s="19"/>
      <c r="M3548" s="19"/>
      <c r="N3548" s="19"/>
      <c r="O3548" s="19"/>
      <c r="P3548" s="19"/>
      <c r="Q3548" s="19"/>
      <c r="R3548" s="19"/>
      <c r="S3548" s="19"/>
      <c r="T3548" s="19"/>
      <c r="U3548" s="19"/>
      <c r="V3548" s="19" t="n">
        <v>13</v>
      </c>
      <c r="W3548" s="19"/>
      <c r="X3548" s="19"/>
      <c r="Y3548" s="19"/>
      <c r="Z3548" s="19"/>
      <c r="AA3548" s="19"/>
      <c r="AB3548" s="19"/>
      <c r="AC3548" s="19" t="n">
        <v>3</v>
      </c>
      <c r="AD3548" s="19"/>
      <c r="AE3548" s="19"/>
      <c r="AF3548" s="19"/>
      <c r="AG3548" s="19"/>
      <c r="AH3548" s="19" t="n">
        <v>8</v>
      </c>
      <c r="AI3548" s="19"/>
      <c r="AJ3548" s="19" t="n">
        <v>2</v>
      </c>
      <c r="AK3548" s="19"/>
      <c r="AL3548" s="19"/>
      <c r="AM3548" s="19"/>
      <c r="AN3548" s="19"/>
      <c r="AO3548" s="19" t="n">
        <v>13</v>
      </c>
      <c r="AP3548" s="19"/>
      <c r="AQ3548" s="19"/>
      <c r="AR3548" s="19"/>
      <c r="AS3548" s="20" t="str">
        <f aca="false">HYPERLINK("http://www.openstreetmap.org/?mlat=32.1248&amp;mlon=46.1157&amp;zoom=12#map=12/32.1248/46.1157","Maplink1")</f>
        <v>Maplink1</v>
      </c>
      <c r="AT3548" s="20" t="str">
        <f aca="false">HYPERLINK("https://www.google.iq/maps/search/+32.1248,46.1157/@32.1248,46.1157,14z?hl=en","Maplink2")</f>
        <v>Maplink2</v>
      </c>
      <c r="AU3548" s="20" t="str">
        <f aca="false">HYPERLINK("http://www.bing.com/maps/?lvl=14&amp;sty=h&amp;cp=32.1248~46.1157&amp;sp=point.32.1248_46.1157","Maplink3")</f>
        <v>Maplink3</v>
      </c>
    </row>
    <row r="3549" customFormat="false" ht="15" hidden="false" customHeight="false" outlineLevel="0" collapsed="false">
      <c r="A3549" s="15" t="n">
        <v>25324</v>
      </c>
      <c r="B3549" s="16" t="s">
        <v>32</v>
      </c>
      <c r="C3549" s="16" t="s">
        <v>6717</v>
      </c>
      <c r="D3549" s="16" t="s">
        <v>6720</v>
      </c>
      <c r="E3549" s="17" t="s">
        <v>6721</v>
      </c>
      <c r="F3549" s="16" t="n">
        <v>32.12797275</v>
      </c>
      <c r="G3549" s="16" t="n">
        <v>46.10555642</v>
      </c>
      <c r="H3549" s="18" t="n">
        <v>3</v>
      </c>
      <c r="I3549" s="18" t="n">
        <v>18</v>
      </c>
      <c r="J3549" s="19"/>
      <c r="K3549" s="19"/>
      <c r="L3549" s="19"/>
      <c r="M3549" s="19"/>
      <c r="N3549" s="19"/>
      <c r="O3549" s="19"/>
      <c r="P3549" s="19"/>
      <c r="Q3549" s="19"/>
      <c r="R3549" s="19"/>
      <c r="S3549" s="19"/>
      <c r="T3549" s="19"/>
      <c r="U3549" s="19"/>
      <c r="V3549" s="19" t="n">
        <v>3</v>
      </c>
      <c r="W3549" s="19"/>
      <c r="X3549" s="19"/>
      <c r="Y3549" s="19"/>
      <c r="Z3549" s="19"/>
      <c r="AA3549" s="19"/>
      <c r="AB3549" s="19"/>
      <c r="AC3549" s="19" t="n">
        <v>3</v>
      </c>
      <c r="AD3549" s="19"/>
      <c r="AE3549" s="19"/>
      <c r="AF3549" s="19"/>
      <c r="AG3549" s="19"/>
      <c r="AH3549" s="19"/>
      <c r="AI3549" s="19"/>
      <c r="AJ3549" s="19"/>
      <c r="AK3549" s="19"/>
      <c r="AL3549" s="19"/>
      <c r="AM3549" s="19" t="n">
        <v>3</v>
      </c>
      <c r="AN3549" s="19"/>
      <c r="AO3549" s="19"/>
      <c r="AP3549" s="19"/>
      <c r="AQ3549" s="19"/>
      <c r="AR3549" s="19"/>
      <c r="AS3549" s="20" t="str">
        <f aca="false">HYPERLINK("http://www.openstreetmap.org/?mlat=32.128&amp;mlon=46.1056&amp;zoom=12#map=12/32.128/46.1056","Maplink1")</f>
        <v>Maplink1</v>
      </c>
      <c r="AT3549" s="20" t="str">
        <f aca="false">HYPERLINK("https://www.google.iq/maps/search/+32.128,46.1056/@32.128,46.1056,14z?hl=en","Maplink2")</f>
        <v>Maplink2</v>
      </c>
      <c r="AU3549" s="20" t="str">
        <f aca="false">HYPERLINK("http://www.bing.com/maps/?lvl=14&amp;sty=h&amp;cp=32.128~46.1056&amp;sp=point.32.128_46.1056","Maplink3")</f>
        <v>Maplink3</v>
      </c>
    </row>
    <row r="3550" customFormat="false" ht="15" hidden="false" customHeight="false" outlineLevel="0" collapsed="false">
      <c r="A3550" s="15" t="n">
        <v>25325</v>
      </c>
      <c r="B3550" s="16" t="s">
        <v>32</v>
      </c>
      <c r="C3550" s="16" t="s">
        <v>6717</v>
      </c>
      <c r="D3550" s="16" t="s">
        <v>6722</v>
      </c>
      <c r="E3550" s="17" t="s">
        <v>6723</v>
      </c>
      <c r="F3550" s="16" t="n">
        <v>32.12760997</v>
      </c>
      <c r="G3550" s="16" t="n">
        <v>46.10965158</v>
      </c>
      <c r="H3550" s="18" t="n">
        <v>4</v>
      </c>
      <c r="I3550" s="18" t="n">
        <v>24</v>
      </c>
      <c r="J3550" s="19"/>
      <c r="K3550" s="19"/>
      <c r="L3550" s="19"/>
      <c r="M3550" s="19"/>
      <c r="N3550" s="19"/>
      <c r="O3550" s="19"/>
      <c r="P3550" s="19"/>
      <c r="Q3550" s="19"/>
      <c r="R3550" s="19"/>
      <c r="S3550" s="19"/>
      <c r="T3550" s="19"/>
      <c r="U3550" s="19"/>
      <c r="V3550" s="19" t="n">
        <v>4</v>
      </c>
      <c r="W3550" s="19"/>
      <c r="X3550" s="19"/>
      <c r="Y3550" s="19"/>
      <c r="Z3550" s="19"/>
      <c r="AA3550" s="19"/>
      <c r="AB3550" s="19"/>
      <c r="AC3550" s="19" t="n">
        <v>4</v>
      </c>
      <c r="AD3550" s="19"/>
      <c r="AE3550" s="19"/>
      <c r="AF3550" s="19"/>
      <c r="AG3550" s="19"/>
      <c r="AH3550" s="19"/>
      <c r="AI3550" s="19"/>
      <c r="AJ3550" s="19"/>
      <c r="AK3550" s="19"/>
      <c r="AL3550" s="19"/>
      <c r="AM3550" s="19" t="n">
        <v>4</v>
      </c>
      <c r="AN3550" s="19"/>
      <c r="AO3550" s="19"/>
      <c r="AP3550" s="19"/>
      <c r="AQ3550" s="19"/>
      <c r="AR3550" s="19"/>
      <c r="AS3550" s="20" t="str">
        <f aca="false">HYPERLINK("http://www.openstreetmap.org/?mlat=32.1276&amp;mlon=46.1097&amp;zoom=12#map=12/32.1276/46.1097","Maplink1")</f>
        <v>Maplink1</v>
      </c>
      <c r="AT3550" s="20" t="str">
        <f aca="false">HYPERLINK("https://www.google.iq/maps/search/+32.1276,46.1097/@32.1276,46.1097,14z?hl=en","Maplink2")</f>
        <v>Maplink2</v>
      </c>
      <c r="AU3550" s="20" t="str">
        <f aca="false">HYPERLINK("http://www.bing.com/maps/?lvl=14&amp;sty=h&amp;cp=32.1276~46.1097&amp;sp=point.32.1276_46.1097","Maplink3")</f>
        <v>Maplink3</v>
      </c>
    </row>
    <row r="3551" customFormat="false" ht="15" hidden="false" customHeight="false" outlineLevel="0" collapsed="false">
      <c r="A3551" s="15" t="n">
        <v>18593</v>
      </c>
      <c r="B3551" s="16" t="s">
        <v>32</v>
      </c>
      <c r="C3551" s="16" t="s">
        <v>6717</v>
      </c>
      <c r="D3551" s="16" t="s">
        <v>6724</v>
      </c>
      <c r="E3551" s="17" t="s">
        <v>6725</v>
      </c>
      <c r="F3551" s="16" t="n">
        <v>32.26758506</v>
      </c>
      <c r="G3551" s="16" t="n">
        <v>45.92979549</v>
      </c>
      <c r="H3551" s="18" t="n">
        <v>34</v>
      </c>
      <c r="I3551" s="18" t="n">
        <v>204</v>
      </c>
      <c r="J3551" s="19"/>
      <c r="K3551" s="19"/>
      <c r="L3551" s="19"/>
      <c r="M3551" s="19"/>
      <c r="N3551" s="19"/>
      <c r="O3551" s="19"/>
      <c r="P3551" s="19"/>
      <c r="Q3551" s="19"/>
      <c r="R3551" s="19"/>
      <c r="S3551" s="19"/>
      <c r="T3551" s="19"/>
      <c r="U3551" s="19"/>
      <c r="V3551" s="19" t="n">
        <v>34</v>
      </c>
      <c r="W3551" s="19"/>
      <c r="X3551" s="19"/>
      <c r="Y3551" s="19"/>
      <c r="Z3551" s="19"/>
      <c r="AA3551" s="19"/>
      <c r="AB3551" s="19"/>
      <c r="AC3551" s="19"/>
      <c r="AD3551" s="19"/>
      <c r="AE3551" s="19"/>
      <c r="AF3551" s="19"/>
      <c r="AG3551" s="19"/>
      <c r="AH3551" s="19" t="n">
        <v>19</v>
      </c>
      <c r="AI3551" s="19"/>
      <c r="AJ3551" s="19" t="n">
        <v>15</v>
      </c>
      <c r="AK3551" s="19"/>
      <c r="AL3551" s="19"/>
      <c r="AM3551" s="19" t="n">
        <v>34</v>
      </c>
      <c r="AN3551" s="19"/>
      <c r="AO3551" s="19"/>
      <c r="AP3551" s="19"/>
      <c r="AQ3551" s="19"/>
      <c r="AR3551" s="19"/>
      <c r="AS3551" s="20" t="str">
        <f aca="false">HYPERLINK("http://www.openstreetmap.org/?mlat=32.2676&amp;mlon=45.9298&amp;zoom=12#map=12/32.2676/45.9298","Maplink1")</f>
        <v>Maplink1</v>
      </c>
      <c r="AT3551" s="20" t="str">
        <f aca="false">HYPERLINK("https://www.google.iq/maps/search/+32.2676,45.9298/@32.2676,45.9298,14z?hl=en","Maplink2")</f>
        <v>Maplink2</v>
      </c>
      <c r="AU3551" s="20" t="str">
        <f aca="false">HYPERLINK("http://www.bing.com/maps/?lvl=14&amp;sty=h&amp;cp=32.2676~45.9298&amp;sp=point.32.2676_45.9298","Maplink3")</f>
        <v>Maplink3</v>
      </c>
    </row>
    <row r="3552" customFormat="false" ht="15" hidden="false" customHeight="false" outlineLevel="0" collapsed="false">
      <c r="A3552" s="15" t="n">
        <v>25579</v>
      </c>
      <c r="B3552" s="16" t="s">
        <v>32</v>
      </c>
      <c r="C3552" s="16" t="s">
        <v>6717</v>
      </c>
      <c r="D3552" s="16" t="s">
        <v>6726</v>
      </c>
      <c r="E3552" s="17" t="s">
        <v>6727</v>
      </c>
      <c r="F3552" s="16" t="n">
        <v>32.18389789</v>
      </c>
      <c r="G3552" s="16" t="n">
        <v>46.03803256</v>
      </c>
      <c r="H3552" s="18" t="n">
        <v>3</v>
      </c>
      <c r="I3552" s="18" t="n">
        <v>18</v>
      </c>
      <c r="J3552" s="19"/>
      <c r="K3552" s="19"/>
      <c r="L3552" s="19"/>
      <c r="M3552" s="19"/>
      <c r="N3552" s="19"/>
      <c r="O3552" s="19"/>
      <c r="P3552" s="19"/>
      <c r="Q3552" s="19"/>
      <c r="R3552" s="19"/>
      <c r="S3552" s="19"/>
      <c r="T3552" s="19"/>
      <c r="U3552" s="19"/>
      <c r="V3552" s="19"/>
      <c r="W3552" s="19"/>
      <c r="X3552" s="19" t="n">
        <v>3</v>
      </c>
      <c r="Y3552" s="19"/>
      <c r="Z3552" s="19"/>
      <c r="AA3552" s="19"/>
      <c r="AB3552" s="19"/>
      <c r="AC3552" s="19" t="n">
        <v>3</v>
      </c>
      <c r="AD3552" s="19"/>
      <c r="AE3552" s="19"/>
      <c r="AF3552" s="19"/>
      <c r="AG3552" s="19"/>
      <c r="AH3552" s="19"/>
      <c r="AI3552" s="19"/>
      <c r="AJ3552" s="19"/>
      <c r="AK3552" s="19"/>
      <c r="AL3552" s="19"/>
      <c r="AM3552" s="19"/>
      <c r="AN3552" s="19" t="n">
        <v>3</v>
      </c>
      <c r="AO3552" s="19"/>
      <c r="AP3552" s="19"/>
      <c r="AQ3552" s="19"/>
      <c r="AR3552" s="19"/>
      <c r="AS3552" s="20" t="str">
        <f aca="false">HYPERLINK("http://www.openstreetmap.org/?mlat=32.1839&amp;mlon=46.038&amp;zoom=12#map=12/32.1839/46.038","Maplink1")</f>
        <v>Maplink1</v>
      </c>
      <c r="AT3552" s="20" t="str">
        <f aca="false">HYPERLINK("https://www.google.iq/maps/search/+32.1839,46.038/@32.1839,46.038,14z?hl=en","Maplink2")</f>
        <v>Maplink2</v>
      </c>
      <c r="AU3552" s="20" t="str">
        <f aca="false">HYPERLINK("http://www.bing.com/maps/?lvl=14&amp;sty=h&amp;cp=32.1839~46.038&amp;sp=point.32.1839_46.038","Maplink3")</f>
        <v>Maplink3</v>
      </c>
    </row>
    <row r="3553" customFormat="false" ht="15" hidden="false" customHeight="false" outlineLevel="0" collapsed="false">
      <c r="A3553" s="15" t="n">
        <v>25580</v>
      </c>
      <c r="B3553" s="16" t="s">
        <v>32</v>
      </c>
      <c r="C3553" s="16" t="s">
        <v>6717</v>
      </c>
      <c r="D3553" s="16" t="s">
        <v>6728</v>
      </c>
      <c r="E3553" s="17" t="s">
        <v>6729</v>
      </c>
      <c r="F3553" s="16" t="n">
        <v>32.18750703</v>
      </c>
      <c r="G3553" s="16" t="n">
        <v>46.03649914</v>
      </c>
      <c r="H3553" s="18" t="n">
        <v>13</v>
      </c>
      <c r="I3553" s="18" t="n">
        <v>78</v>
      </c>
      <c r="J3553" s="19"/>
      <c r="K3553" s="19"/>
      <c r="L3553" s="19"/>
      <c r="M3553" s="19"/>
      <c r="N3553" s="19"/>
      <c r="O3553" s="19"/>
      <c r="P3553" s="19"/>
      <c r="Q3553" s="19"/>
      <c r="R3553" s="19"/>
      <c r="S3553" s="19"/>
      <c r="T3553" s="19"/>
      <c r="U3553" s="19"/>
      <c r="V3553" s="19" t="n">
        <v>13</v>
      </c>
      <c r="W3553" s="19"/>
      <c r="X3553" s="19"/>
      <c r="Y3553" s="19"/>
      <c r="Z3553" s="19"/>
      <c r="AA3553" s="19"/>
      <c r="AB3553" s="19"/>
      <c r="AC3553" s="19"/>
      <c r="AD3553" s="19"/>
      <c r="AE3553" s="19"/>
      <c r="AF3553" s="19"/>
      <c r="AG3553" s="19"/>
      <c r="AH3553" s="19" t="n">
        <v>13</v>
      </c>
      <c r="AI3553" s="19"/>
      <c r="AJ3553" s="19"/>
      <c r="AK3553" s="19"/>
      <c r="AL3553" s="19"/>
      <c r="AM3553" s="19" t="n">
        <v>13</v>
      </c>
      <c r="AN3553" s="19"/>
      <c r="AO3553" s="19"/>
      <c r="AP3553" s="19"/>
      <c r="AQ3553" s="19"/>
      <c r="AR3553" s="19"/>
      <c r="AS3553" s="20" t="str">
        <f aca="false">HYPERLINK("http://www.openstreetmap.org/?mlat=32.1875&amp;mlon=46.0365&amp;zoom=12#map=12/32.1875/46.0365","Maplink1")</f>
        <v>Maplink1</v>
      </c>
      <c r="AT3553" s="20" t="str">
        <f aca="false">HYPERLINK("https://www.google.iq/maps/search/+32.1875,46.0365/@32.1875,46.0365,14z?hl=en","Maplink2")</f>
        <v>Maplink2</v>
      </c>
      <c r="AU3553" s="20" t="str">
        <f aca="false">HYPERLINK("http://www.bing.com/maps/?lvl=14&amp;sty=h&amp;cp=32.1875~46.0365&amp;sp=point.32.1875_46.0365","Maplink3")</f>
        <v>Maplink3</v>
      </c>
    </row>
    <row r="3554" customFormat="false" ht="15" hidden="false" customHeight="false" outlineLevel="0" collapsed="false">
      <c r="A3554" s="15" t="n">
        <v>18733</v>
      </c>
      <c r="B3554" s="16" t="s">
        <v>32</v>
      </c>
      <c r="C3554" s="16" t="s">
        <v>6717</v>
      </c>
      <c r="D3554" s="16" t="s">
        <v>6730</v>
      </c>
      <c r="E3554" s="17" t="s">
        <v>3051</v>
      </c>
      <c r="F3554" s="16" t="n">
        <v>32.17625615</v>
      </c>
      <c r="G3554" s="16" t="n">
        <v>46.04803021</v>
      </c>
      <c r="H3554" s="18" t="n">
        <v>17</v>
      </c>
      <c r="I3554" s="18" t="n">
        <v>102</v>
      </c>
      <c r="J3554" s="19"/>
      <c r="K3554" s="19"/>
      <c r="L3554" s="19"/>
      <c r="M3554" s="19"/>
      <c r="N3554" s="19"/>
      <c r="O3554" s="19"/>
      <c r="P3554" s="19"/>
      <c r="Q3554" s="19"/>
      <c r="R3554" s="19"/>
      <c r="S3554" s="19"/>
      <c r="T3554" s="19"/>
      <c r="U3554" s="19"/>
      <c r="V3554" s="19" t="n">
        <v>17</v>
      </c>
      <c r="W3554" s="19"/>
      <c r="X3554" s="19"/>
      <c r="Y3554" s="19"/>
      <c r="Z3554" s="19"/>
      <c r="AA3554" s="19"/>
      <c r="AB3554" s="19"/>
      <c r="AC3554" s="19" t="n">
        <v>17</v>
      </c>
      <c r="AD3554" s="19"/>
      <c r="AE3554" s="19"/>
      <c r="AF3554" s="19"/>
      <c r="AG3554" s="19"/>
      <c r="AH3554" s="19"/>
      <c r="AI3554" s="19"/>
      <c r="AJ3554" s="19"/>
      <c r="AK3554" s="19"/>
      <c r="AL3554" s="19"/>
      <c r="AM3554" s="19" t="n">
        <v>17</v>
      </c>
      <c r="AN3554" s="19"/>
      <c r="AO3554" s="19"/>
      <c r="AP3554" s="19"/>
      <c r="AQ3554" s="19"/>
      <c r="AR3554" s="19"/>
      <c r="AS3554" s="20" t="str">
        <f aca="false">HYPERLINK("http://www.openstreetmap.org/?mlat=32.1763&amp;mlon=46.048&amp;zoom=12#map=12/32.1763/46.048","Maplink1")</f>
        <v>Maplink1</v>
      </c>
      <c r="AT3554" s="20" t="str">
        <f aca="false">HYPERLINK("https://www.google.iq/maps/search/+32.1763,46.048/@32.1763,46.048,14z?hl=en","Maplink2")</f>
        <v>Maplink2</v>
      </c>
      <c r="AU3554" s="20" t="str">
        <f aca="false">HYPERLINK("http://www.bing.com/maps/?lvl=14&amp;sty=h&amp;cp=32.1763~46.048&amp;sp=point.32.1763_46.048","Maplink3")</f>
        <v>Maplink3</v>
      </c>
    </row>
    <row r="3555" customFormat="false" ht="15" hidden="false" customHeight="false" outlineLevel="0" collapsed="false">
      <c r="A3555" s="15" t="n">
        <v>25576</v>
      </c>
      <c r="B3555" s="16" t="s">
        <v>32</v>
      </c>
      <c r="C3555" s="16" t="s">
        <v>6717</v>
      </c>
      <c r="D3555" s="16" t="s">
        <v>6731</v>
      </c>
      <c r="E3555" s="17" t="s">
        <v>6732</v>
      </c>
      <c r="F3555" s="16" t="n">
        <v>32.17792586</v>
      </c>
      <c r="G3555" s="16" t="n">
        <v>46.04320647</v>
      </c>
      <c r="H3555" s="18" t="n">
        <v>4</v>
      </c>
      <c r="I3555" s="18" t="n">
        <v>24</v>
      </c>
      <c r="J3555" s="19"/>
      <c r="K3555" s="19"/>
      <c r="L3555" s="19"/>
      <c r="M3555" s="19"/>
      <c r="N3555" s="19"/>
      <c r="O3555" s="19"/>
      <c r="P3555" s="19"/>
      <c r="Q3555" s="19"/>
      <c r="R3555" s="19"/>
      <c r="S3555" s="19"/>
      <c r="T3555" s="19"/>
      <c r="U3555" s="19"/>
      <c r="V3555" s="19" t="n">
        <v>4</v>
      </c>
      <c r="W3555" s="19"/>
      <c r="X3555" s="19"/>
      <c r="Y3555" s="19"/>
      <c r="Z3555" s="19"/>
      <c r="AA3555" s="19"/>
      <c r="AB3555" s="19"/>
      <c r="AC3555" s="19" t="n">
        <v>4</v>
      </c>
      <c r="AD3555" s="19"/>
      <c r="AE3555" s="19"/>
      <c r="AF3555" s="19"/>
      <c r="AG3555" s="19"/>
      <c r="AH3555" s="19"/>
      <c r="AI3555" s="19"/>
      <c r="AJ3555" s="19"/>
      <c r="AK3555" s="19"/>
      <c r="AL3555" s="19"/>
      <c r="AM3555" s="19" t="n">
        <v>4</v>
      </c>
      <c r="AN3555" s="19"/>
      <c r="AO3555" s="19"/>
      <c r="AP3555" s="19"/>
      <c r="AQ3555" s="19"/>
      <c r="AR3555" s="19"/>
      <c r="AS3555" s="20" t="str">
        <f aca="false">HYPERLINK("http://www.openstreetmap.org/?mlat=32.1779&amp;mlon=46.0432&amp;zoom=12#map=12/32.1779/46.0432","Maplink1")</f>
        <v>Maplink1</v>
      </c>
      <c r="AT3555" s="20" t="str">
        <f aca="false">HYPERLINK("https://www.google.iq/maps/search/+32.1779,46.0432/@32.1779,46.0432,14z?hl=en","Maplink2")</f>
        <v>Maplink2</v>
      </c>
      <c r="AU3555" s="20" t="str">
        <f aca="false">HYPERLINK("http://www.bing.com/maps/?lvl=14&amp;sty=h&amp;cp=32.1779~46.0432&amp;sp=point.32.1779_46.0432","Maplink3")</f>
        <v>Maplink3</v>
      </c>
    </row>
    <row r="3556" customFormat="false" ht="15" hidden="false" customHeight="false" outlineLevel="0" collapsed="false">
      <c r="A3556" s="15" t="n">
        <v>25577</v>
      </c>
      <c r="B3556" s="16" t="s">
        <v>32</v>
      </c>
      <c r="C3556" s="16" t="s">
        <v>6717</v>
      </c>
      <c r="D3556" s="16" t="s">
        <v>6733</v>
      </c>
      <c r="E3556" s="17" t="s">
        <v>6734</v>
      </c>
      <c r="F3556" s="16" t="n">
        <v>32.18181347</v>
      </c>
      <c r="G3556" s="16" t="n">
        <v>46.03414995</v>
      </c>
      <c r="H3556" s="18" t="n">
        <v>7</v>
      </c>
      <c r="I3556" s="18" t="n">
        <v>42</v>
      </c>
      <c r="J3556" s="19"/>
      <c r="K3556" s="19"/>
      <c r="L3556" s="19"/>
      <c r="M3556" s="19"/>
      <c r="N3556" s="19"/>
      <c r="O3556" s="19"/>
      <c r="P3556" s="19"/>
      <c r="Q3556" s="19"/>
      <c r="R3556" s="19"/>
      <c r="S3556" s="19"/>
      <c r="T3556" s="19"/>
      <c r="U3556" s="19"/>
      <c r="V3556" s="19" t="n">
        <v>7</v>
      </c>
      <c r="W3556" s="19"/>
      <c r="X3556" s="19"/>
      <c r="Y3556" s="19"/>
      <c r="Z3556" s="19"/>
      <c r="AA3556" s="19"/>
      <c r="AB3556" s="19"/>
      <c r="AC3556" s="19" t="n">
        <v>7</v>
      </c>
      <c r="AD3556" s="19"/>
      <c r="AE3556" s="19"/>
      <c r="AF3556" s="19"/>
      <c r="AG3556" s="19"/>
      <c r="AH3556" s="19"/>
      <c r="AI3556" s="19"/>
      <c r="AJ3556" s="19"/>
      <c r="AK3556" s="19"/>
      <c r="AL3556" s="19"/>
      <c r="AM3556" s="19" t="n">
        <v>7</v>
      </c>
      <c r="AN3556" s="19"/>
      <c r="AO3556" s="19"/>
      <c r="AP3556" s="19"/>
      <c r="AQ3556" s="19"/>
      <c r="AR3556" s="19"/>
      <c r="AS3556" s="20" t="str">
        <f aca="false">HYPERLINK("http://www.openstreetmap.org/?mlat=32.1818&amp;mlon=46.0341&amp;zoom=12#map=12/32.1818/46.0341","Maplink1")</f>
        <v>Maplink1</v>
      </c>
      <c r="AT3556" s="20" t="str">
        <f aca="false">HYPERLINK("https://www.google.iq/maps/search/+32.1818,46.0341/@32.1818,46.0341,14z?hl=en","Maplink2")</f>
        <v>Maplink2</v>
      </c>
      <c r="AU3556" s="20" t="str">
        <f aca="false">HYPERLINK("http://www.bing.com/maps/?lvl=14&amp;sty=h&amp;cp=32.1818~46.0341&amp;sp=point.32.1818_46.0341","Maplink3")</f>
        <v>Maplink3</v>
      </c>
    </row>
    <row r="3557" customFormat="false" ht="15" hidden="false" customHeight="false" outlineLevel="0" collapsed="false">
      <c r="A3557" s="15" t="n">
        <v>25583</v>
      </c>
      <c r="B3557" s="16" t="s">
        <v>32</v>
      </c>
      <c r="C3557" s="16" t="s">
        <v>6717</v>
      </c>
      <c r="D3557" s="16" t="s">
        <v>6735</v>
      </c>
      <c r="E3557" s="17" t="s">
        <v>2109</v>
      </c>
      <c r="F3557" s="16" t="n">
        <v>32.17043693</v>
      </c>
      <c r="G3557" s="16" t="n">
        <v>46.05090183</v>
      </c>
      <c r="H3557" s="18" t="n">
        <v>4</v>
      </c>
      <c r="I3557" s="18" t="n">
        <v>24</v>
      </c>
      <c r="J3557" s="19"/>
      <c r="K3557" s="19"/>
      <c r="L3557" s="19"/>
      <c r="M3557" s="19"/>
      <c r="N3557" s="19"/>
      <c r="O3557" s="19"/>
      <c r="P3557" s="19"/>
      <c r="Q3557" s="19"/>
      <c r="R3557" s="19"/>
      <c r="S3557" s="19"/>
      <c r="T3557" s="19"/>
      <c r="U3557" s="19"/>
      <c r="V3557" s="19" t="n">
        <v>4</v>
      </c>
      <c r="W3557" s="19"/>
      <c r="X3557" s="19"/>
      <c r="Y3557" s="19"/>
      <c r="Z3557" s="19"/>
      <c r="AA3557" s="19"/>
      <c r="AB3557" s="19"/>
      <c r="AC3557" s="19" t="n">
        <v>4</v>
      </c>
      <c r="AD3557" s="19"/>
      <c r="AE3557" s="19"/>
      <c r="AF3557" s="19"/>
      <c r="AG3557" s="19"/>
      <c r="AH3557" s="19"/>
      <c r="AI3557" s="19"/>
      <c r="AJ3557" s="19"/>
      <c r="AK3557" s="19"/>
      <c r="AL3557" s="19"/>
      <c r="AM3557" s="19" t="n">
        <v>4</v>
      </c>
      <c r="AN3557" s="19"/>
      <c r="AO3557" s="19"/>
      <c r="AP3557" s="19"/>
      <c r="AQ3557" s="19"/>
      <c r="AR3557" s="19"/>
      <c r="AS3557" s="20" t="str">
        <f aca="false">HYPERLINK("http://www.openstreetmap.org/?mlat=32.1704&amp;mlon=46.0509&amp;zoom=12#map=12/32.1704/46.0509","Maplink1")</f>
        <v>Maplink1</v>
      </c>
      <c r="AT3557" s="20" t="str">
        <f aca="false">HYPERLINK("https://www.google.iq/maps/search/+32.1704,46.0509/@32.1704,46.0509,14z?hl=en","Maplink2")</f>
        <v>Maplink2</v>
      </c>
      <c r="AU3557" s="20" t="str">
        <f aca="false">HYPERLINK("http://www.bing.com/maps/?lvl=14&amp;sty=h&amp;cp=32.1704~46.0509&amp;sp=point.32.1704_46.0509","Maplink3")</f>
        <v>Maplink3</v>
      </c>
    </row>
    <row r="3558" customFormat="false" ht="15" hidden="false" customHeight="false" outlineLevel="0" collapsed="false">
      <c r="A3558" s="15" t="n">
        <v>18718</v>
      </c>
      <c r="B3558" s="16" t="s">
        <v>32</v>
      </c>
      <c r="C3558" s="16" t="s">
        <v>6717</v>
      </c>
      <c r="D3558" s="16" t="s">
        <v>6736</v>
      </c>
      <c r="E3558" s="17" t="s">
        <v>6737</v>
      </c>
      <c r="F3558" s="16" t="n">
        <v>32.1296589578</v>
      </c>
      <c r="G3558" s="16" t="n">
        <v>46.1014376448</v>
      </c>
      <c r="H3558" s="18" t="n">
        <v>5</v>
      </c>
      <c r="I3558" s="18" t="n">
        <v>30</v>
      </c>
      <c r="J3558" s="19"/>
      <c r="K3558" s="19"/>
      <c r="L3558" s="19"/>
      <c r="M3558" s="19"/>
      <c r="N3558" s="19"/>
      <c r="O3558" s="19"/>
      <c r="P3558" s="19"/>
      <c r="Q3558" s="19"/>
      <c r="R3558" s="19"/>
      <c r="S3558" s="19"/>
      <c r="T3558" s="19"/>
      <c r="U3558" s="19"/>
      <c r="V3558" s="19" t="n">
        <v>5</v>
      </c>
      <c r="W3558" s="19"/>
      <c r="X3558" s="19"/>
      <c r="Y3558" s="19"/>
      <c r="Z3558" s="19"/>
      <c r="AA3558" s="19"/>
      <c r="AB3558" s="19"/>
      <c r="AC3558" s="19" t="n">
        <v>5</v>
      </c>
      <c r="AD3558" s="19"/>
      <c r="AE3558" s="19"/>
      <c r="AF3558" s="19"/>
      <c r="AG3558" s="19"/>
      <c r="AH3558" s="19"/>
      <c r="AI3558" s="19"/>
      <c r="AJ3558" s="19"/>
      <c r="AK3558" s="19"/>
      <c r="AL3558" s="19"/>
      <c r="AM3558" s="19" t="n">
        <v>5</v>
      </c>
      <c r="AN3558" s="19"/>
      <c r="AO3558" s="19"/>
      <c r="AP3558" s="19"/>
      <c r="AQ3558" s="19"/>
      <c r="AR3558" s="19"/>
      <c r="AS3558" s="20" t="str">
        <f aca="false">HYPERLINK("http://www.openstreetmap.org/?mlat=32.1297&amp;mlon=46.1014&amp;zoom=12#map=12/32.1297/46.1014","Maplink1")</f>
        <v>Maplink1</v>
      </c>
      <c r="AT3558" s="20" t="str">
        <f aca="false">HYPERLINK("https://www.google.iq/maps/search/+32.1297,46.1014/@32.1297,46.1014,14z?hl=en","Maplink2")</f>
        <v>Maplink2</v>
      </c>
      <c r="AU3558" s="20" t="str">
        <f aca="false">HYPERLINK("http://www.bing.com/maps/?lvl=14&amp;sty=h&amp;cp=32.1297~46.1014&amp;sp=point.32.1297_46.1014","Maplink3")</f>
        <v>Maplink3</v>
      </c>
    </row>
    <row r="3559" customFormat="false" ht="15" hidden="false" customHeight="false" outlineLevel="0" collapsed="false">
      <c r="A3559" s="15" t="n">
        <v>24875</v>
      </c>
      <c r="B3559" s="16" t="s">
        <v>32</v>
      </c>
      <c r="C3559" s="16" t="s">
        <v>6717</v>
      </c>
      <c r="D3559" s="16" t="s">
        <v>6690</v>
      </c>
      <c r="E3559" s="17" t="s">
        <v>6691</v>
      </c>
      <c r="F3559" s="16" t="n">
        <v>32.270859</v>
      </c>
      <c r="G3559" s="16" t="n">
        <v>45.929157</v>
      </c>
      <c r="H3559" s="18" t="n">
        <v>10</v>
      </c>
      <c r="I3559" s="18" t="n">
        <v>60</v>
      </c>
      <c r="J3559" s="19"/>
      <c r="K3559" s="19"/>
      <c r="L3559" s="19"/>
      <c r="M3559" s="19"/>
      <c r="N3559" s="19"/>
      <c r="O3559" s="19"/>
      <c r="P3559" s="19"/>
      <c r="Q3559" s="19"/>
      <c r="R3559" s="19"/>
      <c r="S3559" s="19"/>
      <c r="T3559" s="19"/>
      <c r="U3559" s="19"/>
      <c r="V3559" s="19" t="n">
        <v>10</v>
      </c>
      <c r="W3559" s="19"/>
      <c r="X3559" s="19"/>
      <c r="Y3559" s="19"/>
      <c r="Z3559" s="19"/>
      <c r="AA3559" s="19"/>
      <c r="AB3559" s="19"/>
      <c r="AC3559" s="19"/>
      <c r="AD3559" s="19"/>
      <c r="AE3559" s="19"/>
      <c r="AF3559" s="19"/>
      <c r="AG3559" s="19"/>
      <c r="AH3559" s="19" t="n">
        <v>10</v>
      </c>
      <c r="AI3559" s="19"/>
      <c r="AJ3559" s="19"/>
      <c r="AK3559" s="19"/>
      <c r="AL3559" s="19"/>
      <c r="AM3559" s="19" t="n">
        <v>10</v>
      </c>
      <c r="AN3559" s="19"/>
      <c r="AO3559" s="19"/>
      <c r="AP3559" s="19"/>
      <c r="AQ3559" s="19"/>
      <c r="AR3559" s="19"/>
      <c r="AS3559" s="20" t="str">
        <f aca="false">HYPERLINK("http://www.openstreetmap.org/?mlat=32.2709&amp;mlon=45.9292&amp;zoom=12#map=12/32.2709/45.9292","Maplink1")</f>
        <v>Maplink1</v>
      </c>
      <c r="AT3559" s="20" t="str">
        <f aca="false">HYPERLINK("https://www.google.iq/maps/search/+32.2709,45.9292/@32.2709,45.9292,14z?hl=en","Maplink2")</f>
        <v>Maplink2</v>
      </c>
      <c r="AU3559" s="20" t="str">
        <f aca="false">HYPERLINK("http://www.bing.com/maps/?lvl=14&amp;sty=h&amp;cp=32.2709~45.9292&amp;sp=point.32.2709_45.9292","Maplink3")</f>
        <v>Maplink3</v>
      </c>
    </row>
    <row r="3560" customFormat="false" ht="15" hidden="false" customHeight="false" outlineLevel="0" collapsed="false">
      <c r="A3560" s="15" t="n">
        <v>24876</v>
      </c>
      <c r="B3560" s="16" t="s">
        <v>32</v>
      </c>
      <c r="C3560" s="16" t="s">
        <v>6717</v>
      </c>
      <c r="D3560" s="16" t="s">
        <v>6738</v>
      </c>
      <c r="E3560" s="17" t="s">
        <v>674</v>
      </c>
      <c r="F3560" s="16" t="n">
        <v>32.26918582</v>
      </c>
      <c r="G3560" s="16" t="n">
        <v>45.93454696</v>
      </c>
      <c r="H3560" s="18" t="n">
        <v>12</v>
      </c>
      <c r="I3560" s="18" t="n">
        <v>72</v>
      </c>
      <c r="J3560" s="19" t="n">
        <v>6</v>
      </c>
      <c r="K3560" s="19"/>
      <c r="L3560" s="19"/>
      <c r="M3560" s="19"/>
      <c r="N3560" s="19"/>
      <c r="O3560" s="19"/>
      <c r="P3560" s="19"/>
      <c r="Q3560" s="19"/>
      <c r="R3560" s="19"/>
      <c r="S3560" s="19"/>
      <c r="T3560" s="19"/>
      <c r="U3560" s="19"/>
      <c r="V3560" s="19" t="n">
        <v>6</v>
      </c>
      <c r="W3560" s="19"/>
      <c r="X3560" s="19"/>
      <c r="Y3560" s="19"/>
      <c r="Z3560" s="19"/>
      <c r="AA3560" s="19"/>
      <c r="AB3560" s="19"/>
      <c r="AC3560" s="19"/>
      <c r="AD3560" s="19"/>
      <c r="AE3560" s="19"/>
      <c r="AF3560" s="19"/>
      <c r="AG3560" s="19"/>
      <c r="AH3560" s="19" t="n">
        <v>12</v>
      </c>
      <c r="AI3560" s="19"/>
      <c r="AJ3560" s="19"/>
      <c r="AK3560" s="19"/>
      <c r="AL3560" s="19" t="n">
        <v>6</v>
      </c>
      <c r="AM3560" s="19" t="n">
        <v>6</v>
      </c>
      <c r="AN3560" s="19"/>
      <c r="AO3560" s="19"/>
      <c r="AP3560" s="19"/>
      <c r="AQ3560" s="19"/>
      <c r="AR3560" s="19"/>
      <c r="AS3560" s="20" t="str">
        <f aca="false">HYPERLINK("http://www.openstreetmap.org/?mlat=32.2692&amp;mlon=45.9345&amp;zoom=12#map=12/32.2692/45.9345","Maplink1")</f>
        <v>Maplink1</v>
      </c>
      <c r="AT3560" s="20" t="str">
        <f aca="false">HYPERLINK("https://www.google.iq/maps/search/+32.2692,45.9345/@32.2692,45.9345,14z?hl=en","Maplink2")</f>
        <v>Maplink2</v>
      </c>
      <c r="AU3560" s="20" t="str">
        <f aca="false">HYPERLINK("http://www.bing.com/maps/?lvl=14&amp;sty=h&amp;cp=32.2692~45.9345&amp;sp=point.32.2692_45.9345","Maplink3")</f>
        <v>Maplink3</v>
      </c>
    </row>
    <row r="3561" customFormat="false" ht="15" hidden="false" customHeight="false" outlineLevel="0" collapsed="false">
      <c r="A3561" s="15" t="n">
        <v>25584</v>
      </c>
      <c r="B3561" s="16" t="s">
        <v>32</v>
      </c>
      <c r="C3561" s="16" t="s">
        <v>6717</v>
      </c>
      <c r="D3561" s="16" t="s">
        <v>6739</v>
      </c>
      <c r="E3561" s="17" t="s">
        <v>6740</v>
      </c>
      <c r="F3561" s="16" t="n">
        <v>32.16682472</v>
      </c>
      <c r="G3561" s="16" t="n">
        <v>46.0396321</v>
      </c>
      <c r="H3561" s="18" t="n">
        <v>5</v>
      </c>
      <c r="I3561" s="18" t="n">
        <v>30</v>
      </c>
      <c r="J3561" s="19"/>
      <c r="K3561" s="19"/>
      <c r="L3561" s="19"/>
      <c r="M3561" s="19"/>
      <c r="N3561" s="19"/>
      <c r="O3561" s="19"/>
      <c r="P3561" s="19"/>
      <c r="Q3561" s="19"/>
      <c r="R3561" s="19"/>
      <c r="S3561" s="19"/>
      <c r="T3561" s="19"/>
      <c r="U3561" s="19"/>
      <c r="V3561" s="19" t="n">
        <v>5</v>
      </c>
      <c r="W3561" s="19"/>
      <c r="X3561" s="19"/>
      <c r="Y3561" s="19"/>
      <c r="Z3561" s="19"/>
      <c r="AA3561" s="19"/>
      <c r="AB3561" s="19"/>
      <c r="AC3561" s="19"/>
      <c r="AD3561" s="19"/>
      <c r="AE3561" s="19"/>
      <c r="AF3561" s="19"/>
      <c r="AG3561" s="19"/>
      <c r="AH3561" s="19" t="n">
        <v>5</v>
      </c>
      <c r="AI3561" s="19"/>
      <c r="AJ3561" s="19"/>
      <c r="AK3561" s="19"/>
      <c r="AL3561" s="19"/>
      <c r="AM3561" s="19" t="n">
        <v>5</v>
      </c>
      <c r="AN3561" s="19"/>
      <c r="AO3561" s="19"/>
      <c r="AP3561" s="19"/>
      <c r="AQ3561" s="19"/>
      <c r="AR3561" s="19"/>
      <c r="AS3561" s="20" t="str">
        <f aca="false">HYPERLINK("http://www.openstreetmap.org/?mlat=32.1668&amp;mlon=46.0396&amp;zoom=12#map=12/32.1668/46.0396","Maplink1")</f>
        <v>Maplink1</v>
      </c>
      <c r="AT3561" s="20" t="str">
        <f aca="false">HYPERLINK("https://www.google.iq/maps/search/+32.1668,46.0396/@32.1668,46.0396,14z?hl=en","Maplink2")</f>
        <v>Maplink2</v>
      </c>
      <c r="AU3561" s="20" t="str">
        <f aca="false">HYPERLINK("http://www.bing.com/maps/?lvl=14&amp;sty=h&amp;cp=32.1668~46.0396&amp;sp=point.32.1668_46.0396","Maplink3")</f>
        <v>Maplink3</v>
      </c>
    </row>
    <row r="3562" customFormat="false" ht="15" hidden="false" customHeight="false" outlineLevel="0" collapsed="false">
      <c r="A3562" s="15" t="n">
        <v>18732</v>
      </c>
      <c r="B3562" s="16" t="s">
        <v>32</v>
      </c>
      <c r="C3562" s="16" t="s">
        <v>6717</v>
      </c>
      <c r="D3562" s="16" t="s">
        <v>6741</v>
      </c>
      <c r="E3562" s="17" t="s">
        <v>6742</v>
      </c>
      <c r="F3562" s="16" t="n">
        <v>32.17778609</v>
      </c>
      <c r="G3562" s="16" t="n">
        <v>46.0309921</v>
      </c>
      <c r="H3562" s="18" t="n">
        <v>7</v>
      </c>
      <c r="I3562" s="18" t="n">
        <v>42</v>
      </c>
      <c r="J3562" s="19"/>
      <c r="K3562" s="19"/>
      <c r="L3562" s="19"/>
      <c r="M3562" s="19"/>
      <c r="N3562" s="19"/>
      <c r="O3562" s="19"/>
      <c r="P3562" s="19"/>
      <c r="Q3562" s="19"/>
      <c r="R3562" s="19"/>
      <c r="S3562" s="19"/>
      <c r="T3562" s="19"/>
      <c r="U3562" s="19"/>
      <c r="V3562" s="19" t="n">
        <v>7</v>
      </c>
      <c r="W3562" s="19"/>
      <c r="X3562" s="19"/>
      <c r="Y3562" s="19"/>
      <c r="Z3562" s="19"/>
      <c r="AA3562" s="19"/>
      <c r="AB3562" s="19"/>
      <c r="AC3562" s="19"/>
      <c r="AD3562" s="19"/>
      <c r="AE3562" s="19"/>
      <c r="AF3562" s="19"/>
      <c r="AG3562" s="19" t="n">
        <v>7</v>
      </c>
      <c r="AH3562" s="19"/>
      <c r="AI3562" s="19"/>
      <c r="AJ3562" s="19"/>
      <c r="AK3562" s="19"/>
      <c r="AL3562" s="19"/>
      <c r="AM3562" s="19" t="n">
        <v>7</v>
      </c>
      <c r="AN3562" s="19"/>
      <c r="AO3562" s="19"/>
      <c r="AP3562" s="19"/>
      <c r="AQ3562" s="19"/>
      <c r="AR3562" s="19"/>
      <c r="AS3562" s="20" t="str">
        <f aca="false">HYPERLINK("http://www.openstreetmap.org/?mlat=32.1778&amp;mlon=46.031&amp;zoom=12#map=12/32.1778/46.031","Maplink1")</f>
        <v>Maplink1</v>
      </c>
      <c r="AT3562" s="20" t="str">
        <f aca="false">HYPERLINK("https://www.google.iq/maps/search/+32.1778,46.031/@32.1778,46.031,14z?hl=en","Maplink2")</f>
        <v>Maplink2</v>
      </c>
      <c r="AU3562" s="20" t="str">
        <f aca="false">HYPERLINK("http://www.bing.com/maps/?lvl=14&amp;sty=h&amp;cp=32.1778~46.031&amp;sp=point.32.1778_46.031","Maplink3")</f>
        <v>Maplink3</v>
      </c>
    </row>
    <row r="3563" customFormat="false" ht="15" hidden="false" customHeight="false" outlineLevel="0" collapsed="false">
      <c r="A3563" s="15" t="n">
        <v>18686</v>
      </c>
      <c r="B3563" s="16" t="s">
        <v>32</v>
      </c>
      <c r="C3563" s="16" t="s">
        <v>6717</v>
      </c>
      <c r="D3563" s="16" t="s">
        <v>6743</v>
      </c>
      <c r="E3563" s="17" t="s">
        <v>442</v>
      </c>
      <c r="F3563" s="16" t="n">
        <v>32.27284059</v>
      </c>
      <c r="G3563" s="16" t="n">
        <v>45.92410075</v>
      </c>
      <c r="H3563" s="18" t="n">
        <v>20</v>
      </c>
      <c r="I3563" s="18" t="n">
        <v>120</v>
      </c>
      <c r="J3563" s="19"/>
      <c r="K3563" s="19"/>
      <c r="L3563" s="19"/>
      <c r="M3563" s="19"/>
      <c r="N3563" s="19"/>
      <c r="O3563" s="19"/>
      <c r="P3563" s="19"/>
      <c r="Q3563" s="19"/>
      <c r="R3563" s="19"/>
      <c r="S3563" s="19"/>
      <c r="T3563" s="19"/>
      <c r="U3563" s="19"/>
      <c r="V3563" s="19" t="n">
        <v>20</v>
      </c>
      <c r="W3563" s="19"/>
      <c r="X3563" s="19"/>
      <c r="Y3563" s="19"/>
      <c r="Z3563" s="19"/>
      <c r="AA3563" s="19"/>
      <c r="AB3563" s="19"/>
      <c r="AC3563" s="19" t="n">
        <v>20</v>
      </c>
      <c r="AD3563" s="19"/>
      <c r="AE3563" s="19"/>
      <c r="AF3563" s="19"/>
      <c r="AG3563" s="19"/>
      <c r="AH3563" s="19"/>
      <c r="AI3563" s="19"/>
      <c r="AJ3563" s="19"/>
      <c r="AK3563" s="19"/>
      <c r="AL3563" s="19"/>
      <c r="AM3563" s="19" t="n">
        <v>20</v>
      </c>
      <c r="AN3563" s="19"/>
      <c r="AO3563" s="19"/>
      <c r="AP3563" s="19"/>
      <c r="AQ3563" s="19"/>
      <c r="AR3563" s="19"/>
      <c r="AS3563" s="20" t="str">
        <f aca="false">HYPERLINK("http://www.openstreetmap.org/?mlat=32.2728&amp;mlon=45.9241&amp;zoom=12#map=12/32.2728/45.9241","Maplink1")</f>
        <v>Maplink1</v>
      </c>
      <c r="AT3563" s="20" t="str">
        <f aca="false">HYPERLINK("https://www.google.iq/maps/search/+32.2728,45.9241/@32.2728,45.9241,14z?hl=en","Maplink2")</f>
        <v>Maplink2</v>
      </c>
      <c r="AU3563" s="20" t="str">
        <f aca="false">HYPERLINK("http://www.bing.com/maps/?lvl=14&amp;sty=h&amp;cp=32.2728~45.9241&amp;sp=point.32.2728_45.9241","Maplink3")</f>
        <v>Maplink3</v>
      </c>
    </row>
    <row r="3564" customFormat="false" ht="15" hidden="false" customHeight="false" outlineLevel="0" collapsed="false">
      <c r="A3564" s="15" t="n">
        <v>18722</v>
      </c>
      <c r="B3564" s="16" t="s">
        <v>32</v>
      </c>
      <c r="C3564" s="16" t="s">
        <v>6717</v>
      </c>
      <c r="D3564" s="16" t="s">
        <v>6744</v>
      </c>
      <c r="E3564" s="17" t="s">
        <v>226</v>
      </c>
      <c r="F3564" s="16" t="n">
        <v>32.16700828</v>
      </c>
      <c r="G3564" s="16" t="n">
        <v>46.04484436</v>
      </c>
      <c r="H3564" s="18" t="n">
        <v>35</v>
      </c>
      <c r="I3564" s="18" t="n">
        <v>210</v>
      </c>
      <c r="J3564" s="19"/>
      <c r="K3564" s="19"/>
      <c r="L3564" s="19"/>
      <c r="M3564" s="19"/>
      <c r="N3564" s="19"/>
      <c r="O3564" s="19"/>
      <c r="P3564" s="19"/>
      <c r="Q3564" s="19"/>
      <c r="R3564" s="19"/>
      <c r="S3564" s="19"/>
      <c r="T3564" s="19"/>
      <c r="U3564" s="19"/>
      <c r="V3564" s="19" t="n">
        <v>29</v>
      </c>
      <c r="W3564" s="19"/>
      <c r="X3564" s="19" t="n">
        <v>6</v>
      </c>
      <c r="Y3564" s="19"/>
      <c r="Z3564" s="19"/>
      <c r="AA3564" s="19"/>
      <c r="AB3564" s="19"/>
      <c r="AC3564" s="19"/>
      <c r="AD3564" s="19"/>
      <c r="AE3564" s="19"/>
      <c r="AF3564" s="19"/>
      <c r="AG3564" s="19"/>
      <c r="AH3564" s="19" t="n">
        <v>35</v>
      </c>
      <c r="AI3564" s="19"/>
      <c r="AJ3564" s="19"/>
      <c r="AK3564" s="19"/>
      <c r="AL3564" s="19"/>
      <c r="AM3564" s="19" t="n">
        <v>29</v>
      </c>
      <c r="AN3564" s="19" t="n">
        <v>6</v>
      </c>
      <c r="AO3564" s="19"/>
      <c r="AP3564" s="19"/>
      <c r="AQ3564" s="19"/>
      <c r="AR3564" s="19"/>
      <c r="AS3564" s="20" t="str">
        <f aca="false">HYPERLINK("http://www.openstreetmap.org/?mlat=32.167&amp;mlon=46.0448&amp;zoom=12#map=12/32.167/46.0448","Maplink1")</f>
        <v>Maplink1</v>
      </c>
      <c r="AT3564" s="20" t="str">
        <f aca="false">HYPERLINK("https://www.google.iq/maps/search/+32.167,46.0448/@32.167,46.0448,14z?hl=en","Maplink2")</f>
        <v>Maplink2</v>
      </c>
      <c r="AU3564" s="20" t="str">
        <f aca="false">HYPERLINK("http://www.bing.com/maps/?lvl=14&amp;sty=h&amp;cp=32.167~46.0448&amp;sp=point.32.167_46.0448","Maplink3")</f>
        <v>Maplink3</v>
      </c>
    </row>
    <row r="3565" customFormat="false" ht="15" hidden="false" customHeight="false" outlineLevel="0" collapsed="false">
      <c r="A3565" s="15" t="n">
        <v>24105</v>
      </c>
      <c r="B3565" s="16" t="s">
        <v>32</v>
      </c>
      <c r="C3565" s="16" t="s">
        <v>6717</v>
      </c>
      <c r="D3565" s="16" t="s">
        <v>6745</v>
      </c>
      <c r="E3565" s="17" t="s">
        <v>6746</v>
      </c>
      <c r="F3565" s="16" t="n">
        <v>32.16375776</v>
      </c>
      <c r="G3565" s="16" t="n">
        <v>46.04256323</v>
      </c>
      <c r="H3565" s="18" t="n">
        <v>13</v>
      </c>
      <c r="I3565" s="18" t="n">
        <v>78</v>
      </c>
      <c r="J3565" s="19"/>
      <c r="K3565" s="19"/>
      <c r="L3565" s="19"/>
      <c r="M3565" s="19"/>
      <c r="N3565" s="19"/>
      <c r="O3565" s="19"/>
      <c r="P3565" s="19"/>
      <c r="Q3565" s="19"/>
      <c r="R3565" s="19"/>
      <c r="S3565" s="19"/>
      <c r="T3565" s="19"/>
      <c r="U3565" s="19"/>
      <c r="V3565" s="19" t="n">
        <v>13</v>
      </c>
      <c r="W3565" s="19"/>
      <c r="X3565" s="19"/>
      <c r="Y3565" s="19"/>
      <c r="Z3565" s="19"/>
      <c r="AA3565" s="19"/>
      <c r="AB3565" s="19"/>
      <c r="AC3565" s="19" t="n">
        <v>2</v>
      </c>
      <c r="AD3565" s="19"/>
      <c r="AE3565" s="19"/>
      <c r="AF3565" s="19"/>
      <c r="AG3565" s="19"/>
      <c r="AH3565" s="19" t="n">
        <v>11</v>
      </c>
      <c r="AI3565" s="19"/>
      <c r="AJ3565" s="19"/>
      <c r="AK3565" s="19"/>
      <c r="AL3565" s="19"/>
      <c r="AM3565" s="19" t="n">
        <v>13</v>
      </c>
      <c r="AN3565" s="19"/>
      <c r="AO3565" s="19"/>
      <c r="AP3565" s="19"/>
      <c r="AQ3565" s="19"/>
      <c r="AR3565" s="19"/>
      <c r="AS3565" s="20" t="str">
        <f aca="false">HYPERLINK("http://www.openstreetmap.org/?mlat=32.1638&amp;mlon=46.0426&amp;zoom=12#map=12/32.1638/46.0426","Maplink1")</f>
        <v>Maplink1</v>
      </c>
      <c r="AT3565" s="20" t="str">
        <f aca="false">HYPERLINK("https://www.google.iq/maps/search/+32.1638,46.0426/@32.1638,46.0426,14z?hl=en","Maplink2")</f>
        <v>Maplink2</v>
      </c>
      <c r="AU3565" s="20" t="str">
        <f aca="false">HYPERLINK("http://www.bing.com/maps/?lvl=14&amp;sty=h&amp;cp=32.1638~46.0426&amp;sp=point.32.1638_46.0426","Maplink3")</f>
        <v>Maplink3</v>
      </c>
    </row>
    <row r="3566" customFormat="false" ht="15" hidden="false" customHeight="false" outlineLevel="0" collapsed="false">
      <c r="A3566" s="15" t="n">
        <v>24879</v>
      </c>
      <c r="B3566" s="16" t="s">
        <v>32</v>
      </c>
      <c r="C3566" s="16" t="s">
        <v>6717</v>
      </c>
      <c r="D3566" s="16" t="s">
        <v>6747</v>
      </c>
      <c r="E3566" s="17" t="s">
        <v>6748</v>
      </c>
      <c r="F3566" s="16" t="n">
        <v>32.26831648</v>
      </c>
      <c r="G3566" s="16" t="n">
        <v>45.92534493</v>
      </c>
      <c r="H3566" s="18" t="n">
        <v>15</v>
      </c>
      <c r="I3566" s="18" t="n">
        <v>90</v>
      </c>
      <c r="J3566" s="19"/>
      <c r="K3566" s="19"/>
      <c r="L3566" s="19"/>
      <c r="M3566" s="19"/>
      <c r="N3566" s="19"/>
      <c r="O3566" s="19"/>
      <c r="P3566" s="19"/>
      <c r="Q3566" s="19"/>
      <c r="R3566" s="19"/>
      <c r="S3566" s="19"/>
      <c r="T3566" s="19"/>
      <c r="U3566" s="19"/>
      <c r="V3566" s="19" t="n">
        <v>15</v>
      </c>
      <c r="W3566" s="19"/>
      <c r="X3566" s="19"/>
      <c r="Y3566" s="19"/>
      <c r="Z3566" s="19"/>
      <c r="AA3566" s="19"/>
      <c r="AB3566" s="19"/>
      <c r="AC3566" s="19"/>
      <c r="AD3566" s="19"/>
      <c r="AE3566" s="19"/>
      <c r="AF3566" s="19"/>
      <c r="AG3566" s="19"/>
      <c r="AH3566" s="19" t="n">
        <v>15</v>
      </c>
      <c r="AI3566" s="19"/>
      <c r="AJ3566" s="19"/>
      <c r="AK3566" s="19"/>
      <c r="AL3566" s="19"/>
      <c r="AM3566" s="19" t="n">
        <v>15</v>
      </c>
      <c r="AN3566" s="19"/>
      <c r="AO3566" s="19"/>
      <c r="AP3566" s="19"/>
      <c r="AQ3566" s="19"/>
      <c r="AR3566" s="19"/>
      <c r="AS3566" s="20" t="str">
        <f aca="false">HYPERLINK("http://www.openstreetmap.org/?mlat=32.2683&amp;mlon=45.9253&amp;zoom=12#map=12/32.2683/45.9253","Maplink1")</f>
        <v>Maplink1</v>
      </c>
      <c r="AT3566" s="20" t="str">
        <f aca="false">HYPERLINK("https://www.google.iq/maps/search/+32.2683,45.9253/@32.2683,45.9253,14z?hl=en","Maplink2")</f>
        <v>Maplink2</v>
      </c>
      <c r="AU3566" s="20" t="str">
        <f aca="false">HYPERLINK("http://www.bing.com/maps/?lvl=14&amp;sty=h&amp;cp=32.2683~45.9253&amp;sp=point.32.2683_45.9253","Maplink3")</f>
        <v>Maplink3</v>
      </c>
    </row>
    <row r="3567" customFormat="false" ht="15" hidden="false" customHeight="false" outlineLevel="0" collapsed="false">
      <c r="A3567" s="15" t="n">
        <v>25581</v>
      </c>
      <c r="B3567" s="16" t="s">
        <v>32</v>
      </c>
      <c r="C3567" s="16" t="s">
        <v>6717</v>
      </c>
      <c r="D3567" s="16" t="s">
        <v>6749</v>
      </c>
      <c r="E3567" s="17" t="s">
        <v>6750</v>
      </c>
      <c r="F3567" s="16" t="n">
        <v>32.16737773</v>
      </c>
      <c r="G3567" s="16" t="n">
        <v>46.06045095</v>
      </c>
      <c r="H3567" s="18" t="n">
        <v>40</v>
      </c>
      <c r="I3567" s="18" t="n">
        <v>240</v>
      </c>
      <c r="J3567" s="19" t="n">
        <v>10</v>
      </c>
      <c r="K3567" s="19"/>
      <c r="L3567" s="19"/>
      <c r="M3567" s="19"/>
      <c r="N3567" s="19"/>
      <c r="O3567" s="19"/>
      <c r="P3567" s="19"/>
      <c r="Q3567" s="19"/>
      <c r="R3567" s="19" t="n">
        <v>5</v>
      </c>
      <c r="S3567" s="19"/>
      <c r="T3567" s="19"/>
      <c r="U3567" s="19"/>
      <c r="V3567" s="19" t="n">
        <v>25</v>
      </c>
      <c r="W3567" s="19"/>
      <c r="X3567" s="19"/>
      <c r="Y3567" s="19"/>
      <c r="Z3567" s="19"/>
      <c r="AA3567" s="19"/>
      <c r="AB3567" s="19"/>
      <c r="AC3567" s="19"/>
      <c r="AD3567" s="19"/>
      <c r="AE3567" s="19"/>
      <c r="AF3567" s="19"/>
      <c r="AG3567" s="19"/>
      <c r="AH3567" s="19" t="n">
        <v>40</v>
      </c>
      <c r="AI3567" s="19"/>
      <c r="AJ3567" s="19"/>
      <c r="AK3567" s="19"/>
      <c r="AL3567" s="19" t="n">
        <v>10</v>
      </c>
      <c r="AM3567" s="19" t="n">
        <v>25</v>
      </c>
      <c r="AN3567" s="19" t="n">
        <v>5</v>
      </c>
      <c r="AO3567" s="19"/>
      <c r="AP3567" s="19"/>
      <c r="AQ3567" s="19"/>
      <c r="AR3567" s="19"/>
      <c r="AS3567" s="20" t="str">
        <f aca="false">HYPERLINK("http://www.openstreetmap.org/?mlat=32.1674&amp;mlon=46.0605&amp;zoom=12#map=12/32.1674/46.0605","Maplink1")</f>
        <v>Maplink1</v>
      </c>
      <c r="AT3567" s="20" t="str">
        <f aca="false">HYPERLINK("https://www.google.iq/maps/search/+32.1674,46.0605/@32.1674,46.0605,14z?hl=en","Maplink2")</f>
        <v>Maplink2</v>
      </c>
      <c r="AU3567" s="20" t="str">
        <f aca="false">HYPERLINK("http://www.bing.com/maps/?lvl=14&amp;sty=h&amp;cp=32.1674~46.0605&amp;sp=point.32.1674_46.0605","Maplink3")</f>
        <v>Maplink3</v>
      </c>
    </row>
    <row r="3568" customFormat="false" ht="15" hidden="false" customHeight="false" outlineLevel="0" collapsed="false">
      <c r="A3568" s="15" t="n">
        <v>19049</v>
      </c>
      <c r="B3568" s="16" t="s">
        <v>32</v>
      </c>
      <c r="C3568" s="16" t="s">
        <v>6751</v>
      </c>
      <c r="D3568" s="16" t="s">
        <v>6752</v>
      </c>
      <c r="E3568" s="17" t="s">
        <v>6753</v>
      </c>
      <c r="F3568" s="16" t="n">
        <v>32.51672891</v>
      </c>
      <c r="G3568" s="16" t="n">
        <v>45.60741004</v>
      </c>
      <c r="H3568" s="18" t="n">
        <v>140</v>
      </c>
      <c r="I3568" s="18" t="n">
        <v>840</v>
      </c>
      <c r="J3568" s="19" t="n">
        <v>9</v>
      </c>
      <c r="K3568" s="19"/>
      <c r="L3568" s="19"/>
      <c r="M3568" s="19"/>
      <c r="N3568" s="19"/>
      <c r="O3568" s="19"/>
      <c r="P3568" s="19"/>
      <c r="Q3568" s="19"/>
      <c r="R3568" s="19"/>
      <c r="S3568" s="19"/>
      <c r="T3568" s="19"/>
      <c r="U3568" s="19"/>
      <c r="V3568" s="19" t="n">
        <v>131</v>
      </c>
      <c r="W3568" s="19"/>
      <c r="X3568" s="19"/>
      <c r="Y3568" s="19"/>
      <c r="Z3568" s="19"/>
      <c r="AA3568" s="19"/>
      <c r="AB3568" s="19"/>
      <c r="AC3568" s="19"/>
      <c r="AD3568" s="19"/>
      <c r="AE3568" s="19"/>
      <c r="AF3568" s="19"/>
      <c r="AG3568" s="19" t="n">
        <v>73</v>
      </c>
      <c r="AH3568" s="19" t="n">
        <v>67</v>
      </c>
      <c r="AI3568" s="19"/>
      <c r="AJ3568" s="19"/>
      <c r="AK3568" s="19"/>
      <c r="AL3568" s="19"/>
      <c r="AM3568" s="19"/>
      <c r="AN3568" s="19" t="n">
        <v>131</v>
      </c>
      <c r="AO3568" s="19"/>
      <c r="AP3568" s="19" t="n">
        <v>9</v>
      </c>
      <c r="AQ3568" s="19"/>
      <c r="AR3568" s="19"/>
      <c r="AS3568" s="20" t="str">
        <f aca="false">HYPERLINK("http://www.openstreetmap.org/?mlat=32.5167&amp;mlon=45.6074&amp;zoom=12#map=12/32.5167/45.6074","Maplink1")</f>
        <v>Maplink1</v>
      </c>
      <c r="AT3568" s="20" t="str">
        <f aca="false">HYPERLINK("https://www.google.iq/maps/search/+32.5167,45.6074/@32.5167,45.6074,14z?hl=en","Maplink2")</f>
        <v>Maplink2</v>
      </c>
      <c r="AU3568" s="20" t="str">
        <f aca="false">HYPERLINK("http://www.bing.com/maps/?lvl=14&amp;sty=h&amp;cp=32.5167~45.6074&amp;sp=point.32.5167_45.6074","Maplink3")</f>
        <v>Maplink3</v>
      </c>
    </row>
    <row r="3569" customFormat="false" ht="15" hidden="false" customHeight="false" outlineLevel="0" collapsed="false">
      <c r="A3569" s="15" t="n">
        <v>19539</v>
      </c>
      <c r="B3569" s="16" t="s">
        <v>32</v>
      </c>
      <c r="C3569" s="16" t="s">
        <v>6751</v>
      </c>
      <c r="D3569" s="16" t="s">
        <v>6754</v>
      </c>
      <c r="E3569" s="17" t="s">
        <v>6755</v>
      </c>
      <c r="F3569" s="16" t="n">
        <v>32.5336762</v>
      </c>
      <c r="G3569" s="16" t="n">
        <v>45.34827725</v>
      </c>
      <c r="H3569" s="18" t="n">
        <v>30</v>
      </c>
      <c r="I3569" s="18" t="n">
        <v>180</v>
      </c>
      <c r="J3569" s="19"/>
      <c r="K3569" s="19"/>
      <c r="L3569" s="19"/>
      <c r="M3569" s="19"/>
      <c r="N3569" s="19"/>
      <c r="O3569" s="19"/>
      <c r="P3569" s="19"/>
      <c r="Q3569" s="19"/>
      <c r="R3569" s="19"/>
      <c r="S3569" s="19"/>
      <c r="T3569" s="19"/>
      <c r="U3569" s="19"/>
      <c r="V3569" s="19" t="n">
        <v>30</v>
      </c>
      <c r="W3569" s="19"/>
      <c r="X3569" s="19"/>
      <c r="Y3569" s="19"/>
      <c r="Z3569" s="19"/>
      <c r="AA3569" s="19"/>
      <c r="AB3569" s="19"/>
      <c r="AC3569" s="19"/>
      <c r="AD3569" s="19"/>
      <c r="AE3569" s="19"/>
      <c r="AF3569" s="19"/>
      <c r="AG3569" s="19" t="n">
        <v>30</v>
      </c>
      <c r="AH3569" s="19"/>
      <c r="AI3569" s="19"/>
      <c r="AJ3569" s="19"/>
      <c r="AK3569" s="19"/>
      <c r="AL3569" s="19"/>
      <c r="AM3569" s="19" t="n">
        <v>30</v>
      </c>
      <c r="AN3569" s="19"/>
      <c r="AO3569" s="19"/>
      <c r="AP3569" s="19"/>
      <c r="AQ3569" s="19"/>
      <c r="AR3569" s="19"/>
      <c r="AS3569" s="20" t="str">
        <f aca="false">HYPERLINK("http://www.openstreetmap.org/?mlat=32.5337&amp;mlon=45.3483&amp;zoom=12#map=12/32.5337/45.3483","Maplink1")</f>
        <v>Maplink1</v>
      </c>
      <c r="AT3569" s="20" t="str">
        <f aca="false">HYPERLINK("https://www.google.iq/maps/search/+32.5337,45.3483/@32.5337,45.3483,14z?hl=en","Maplink2")</f>
        <v>Maplink2</v>
      </c>
      <c r="AU3569" s="20" t="str">
        <f aca="false">HYPERLINK("http://www.bing.com/maps/?lvl=14&amp;sty=h&amp;cp=32.5337~45.3483&amp;sp=point.32.5337_45.3483","Maplink3")</f>
        <v>Maplink3</v>
      </c>
    </row>
    <row r="3570" customFormat="false" ht="15" hidden="false" customHeight="false" outlineLevel="0" collapsed="false">
      <c r="A3570" s="15" t="n">
        <v>25096</v>
      </c>
      <c r="B3570" s="16" t="s">
        <v>32</v>
      </c>
      <c r="C3570" s="16" t="s">
        <v>6751</v>
      </c>
      <c r="D3570" s="16" t="s">
        <v>6756</v>
      </c>
      <c r="E3570" s="17" t="s">
        <v>6757</v>
      </c>
      <c r="F3570" s="16" t="n">
        <v>32.5222235842</v>
      </c>
      <c r="G3570" s="16" t="n">
        <v>45.3071499374</v>
      </c>
      <c r="H3570" s="18" t="n">
        <v>114</v>
      </c>
      <c r="I3570" s="18" t="n">
        <v>684</v>
      </c>
      <c r="J3570" s="19" t="n">
        <v>9</v>
      </c>
      <c r="K3570" s="19"/>
      <c r="L3570" s="19"/>
      <c r="M3570" s="19"/>
      <c r="N3570" s="19"/>
      <c r="O3570" s="19"/>
      <c r="P3570" s="19"/>
      <c r="Q3570" s="19"/>
      <c r="R3570" s="19"/>
      <c r="S3570" s="19"/>
      <c r="T3570" s="19"/>
      <c r="U3570" s="19"/>
      <c r="V3570" s="19" t="n">
        <v>105</v>
      </c>
      <c r="W3570" s="19"/>
      <c r="X3570" s="19"/>
      <c r="Y3570" s="19"/>
      <c r="Z3570" s="19"/>
      <c r="AA3570" s="19"/>
      <c r="AB3570" s="19"/>
      <c r="AC3570" s="19" t="n">
        <v>7</v>
      </c>
      <c r="AD3570" s="19"/>
      <c r="AE3570" s="19"/>
      <c r="AF3570" s="19"/>
      <c r="AG3570" s="19" t="n">
        <v>107</v>
      </c>
      <c r="AH3570" s="19"/>
      <c r="AI3570" s="19"/>
      <c r="AJ3570" s="19"/>
      <c r="AK3570" s="19"/>
      <c r="AL3570" s="19"/>
      <c r="AM3570" s="19" t="n">
        <v>105</v>
      </c>
      <c r="AN3570" s="19"/>
      <c r="AO3570" s="19"/>
      <c r="AP3570" s="19" t="n">
        <v>9</v>
      </c>
      <c r="AQ3570" s="19"/>
      <c r="AR3570" s="19"/>
      <c r="AS3570" s="20" t="str">
        <f aca="false">HYPERLINK("http://www.openstreetmap.org/?mlat=32.5222&amp;mlon=45.3071&amp;zoom=12#map=12/32.5222/45.3071","Maplink1")</f>
        <v>Maplink1</v>
      </c>
      <c r="AT3570" s="20" t="str">
        <f aca="false">HYPERLINK("https://www.google.iq/maps/search/+32.5222,45.3071/@32.5222,45.3071,14z?hl=en","Maplink2")</f>
        <v>Maplink2</v>
      </c>
      <c r="AU3570" s="20" t="str">
        <f aca="false">HYPERLINK("http://www.bing.com/maps/?lvl=14&amp;sty=h&amp;cp=32.5222~45.3071&amp;sp=point.32.5222_45.3071","Maplink3")</f>
        <v>Maplink3</v>
      </c>
    </row>
    <row r="3571" customFormat="false" ht="15" hidden="false" customHeight="false" outlineLevel="0" collapsed="false">
      <c r="A3571" s="15" t="n">
        <v>25101</v>
      </c>
      <c r="B3571" s="16" t="s">
        <v>32</v>
      </c>
      <c r="C3571" s="16" t="s">
        <v>6751</v>
      </c>
      <c r="D3571" s="16" t="s">
        <v>6758</v>
      </c>
      <c r="E3571" s="17" t="s">
        <v>6759</v>
      </c>
      <c r="F3571" s="16" t="n">
        <v>32.54976915</v>
      </c>
      <c r="G3571" s="16" t="n">
        <v>45.4112844</v>
      </c>
      <c r="H3571" s="18" t="n">
        <v>4</v>
      </c>
      <c r="I3571" s="18" t="n">
        <v>24</v>
      </c>
      <c r="J3571" s="19"/>
      <c r="K3571" s="19"/>
      <c r="L3571" s="19"/>
      <c r="M3571" s="19"/>
      <c r="N3571" s="19"/>
      <c r="O3571" s="19"/>
      <c r="P3571" s="19"/>
      <c r="Q3571" s="19"/>
      <c r="R3571" s="19"/>
      <c r="S3571" s="19"/>
      <c r="T3571" s="19"/>
      <c r="U3571" s="19"/>
      <c r="V3571" s="19" t="n">
        <v>4</v>
      </c>
      <c r="W3571" s="19"/>
      <c r="X3571" s="19"/>
      <c r="Y3571" s="19"/>
      <c r="Z3571" s="19"/>
      <c r="AA3571" s="19"/>
      <c r="AB3571" s="19"/>
      <c r="AC3571" s="19" t="n">
        <v>4</v>
      </c>
      <c r="AD3571" s="19"/>
      <c r="AE3571" s="19"/>
      <c r="AF3571" s="19"/>
      <c r="AG3571" s="19"/>
      <c r="AH3571" s="19"/>
      <c r="AI3571" s="19"/>
      <c r="AJ3571" s="19"/>
      <c r="AK3571" s="19"/>
      <c r="AL3571" s="19"/>
      <c r="AM3571" s="19" t="n">
        <v>4</v>
      </c>
      <c r="AN3571" s="19"/>
      <c r="AO3571" s="19"/>
      <c r="AP3571" s="19"/>
      <c r="AQ3571" s="19"/>
      <c r="AR3571" s="19"/>
      <c r="AS3571" s="20" t="str">
        <f aca="false">HYPERLINK("http://www.openstreetmap.org/?mlat=32.5498&amp;mlon=45.4113&amp;zoom=12#map=12/32.5498/45.4113","Maplink1")</f>
        <v>Maplink1</v>
      </c>
      <c r="AT3571" s="20" t="str">
        <f aca="false">HYPERLINK("https://www.google.iq/maps/search/+32.5498,45.4113/@32.5498,45.4113,14z?hl=en","Maplink2")</f>
        <v>Maplink2</v>
      </c>
      <c r="AU3571" s="20" t="str">
        <f aca="false">HYPERLINK("http://www.bing.com/maps/?lvl=14&amp;sty=h&amp;cp=32.5498~45.4113&amp;sp=point.32.5498_45.4113","Maplink3")</f>
        <v>Maplink3</v>
      </c>
    </row>
    <row r="3572" customFormat="false" ht="15" hidden="false" customHeight="false" outlineLevel="0" collapsed="false">
      <c r="A3572" s="15" t="n">
        <v>25308</v>
      </c>
      <c r="B3572" s="16" t="s">
        <v>32</v>
      </c>
      <c r="C3572" s="16" t="s">
        <v>6751</v>
      </c>
      <c r="D3572" s="16" t="s">
        <v>6760</v>
      </c>
      <c r="E3572" s="17" t="s">
        <v>6761</v>
      </c>
      <c r="F3572" s="16" t="n">
        <v>32.5962456</v>
      </c>
      <c r="G3572" s="16" t="n">
        <v>45.53715122</v>
      </c>
      <c r="H3572" s="18" t="n">
        <v>8</v>
      </c>
      <c r="I3572" s="18" t="n">
        <v>48</v>
      </c>
      <c r="J3572" s="19"/>
      <c r="K3572" s="19"/>
      <c r="L3572" s="19"/>
      <c r="M3572" s="19"/>
      <c r="N3572" s="19"/>
      <c r="O3572" s="19"/>
      <c r="P3572" s="19"/>
      <c r="Q3572" s="19"/>
      <c r="R3572" s="19"/>
      <c r="S3572" s="19"/>
      <c r="T3572" s="19"/>
      <c r="U3572" s="19"/>
      <c r="V3572" s="19" t="n">
        <v>8</v>
      </c>
      <c r="W3572" s="19"/>
      <c r="X3572" s="19"/>
      <c r="Y3572" s="19"/>
      <c r="Z3572" s="19"/>
      <c r="AA3572" s="19"/>
      <c r="AB3572" s="19"/>
      <c r="AC3572" s="19"/>
      <c r="AD3572" s="19"/>
      <c r="AE3572" s="19"/>
      <c r="AF3572" s="19"/>
      <c r="AG3572" s="19" t="n">
        <v>8</v>
      </c>
      <c r="AH3572" s="19"/>
      <c r="AI3572" s="19"/>
      <c r="AJ3572" s="19"/>
      <c r="AK3572" s="19"/>
      <c r="AL3572" s="19"/>
      <c r="AM3572" s="19" t="n">
        <v>8</v>
      </c>
      <c r="AN3572" s="19"/>
      <c r="AO3572" s="19"/>
      <c r="AP3572" s="19"/>
      <c r="AQ3572" s="19"/>
      <c r="AR3572" s="19"/>
      <c r="AS3572" s="20" t="str">
        <f aca="false">HYPERLINK("http://www.openstreetmap.org/?mlat=32.5962&amp;mlon=45.5372&amp;zoom=12#map=12/32.5962/45.5372","Maplink1")</f>
        <v>Maplink1</v>
      </c>
      <c r="AT3572" s="20" t="str">
        <f aca="false">HYPERLINK("https://www.google.iq/maps/search/+32.5962,45.5372/@32.5962,45.5372,14z?hl=en","Maplink2")</f>
        <v>Maplink2</v>
      </c>
      <c r="AU3572" s="20" t="str">
        <f aca="false">HYPERLINK("http://www.bing.com/maps/?lvl=14&amp;sty=h&amp;cp=32.5962~45.5372&amp;sp=point.32.5962_45.5372","Maplink3")</f>
        <v>Maplink3</v>
      </c>
    </row>
    <row r="3573" customFormat="false" ht="15" hidden="false" customHeight="false" outlineLevel="0" collapsed="false">
      <c r="A3573" s="15" t="n">
        <v>25309</v>
      </c>
      <c r="B3573" s="16" t="s">
        <v>32</v>
      </c>
      <c r="C3573" s="16" t="s">
        <v>6751</v>
      </c>
      <c r="D3573" s="16" t="s">
        <v>6762</v>
      </c>
      <c r="E3573" s="17" t="s">
        <v>6763</v>
      </c>
      <c r="F3573" s="16" t="n">
        <v>32.59520727</v>
      </c>
      <c r="G3573" s="16" t="n">
        <v>45.49146686</v>
      </c>
      <c r="H3573" s="18" t="n">
        <v>10</v>
      </c>
      <c r="I3573" s="18" t="n">
        <v>60</v>
      </c>
      <c r="J3573" s="19"/>
      <c r="K3573" s="19"/>
      <c r="L3573" s="19"/>
      <c r="M3573" s="19"/>
      <c r="N3573" s="19"/>
      <c r="O3573" s="19"/>
      <c r="P3573" s="19"/>
      <c r="Q3573" s="19"/>
      <c r="R3573" s="19"/>
      <c r="S3573" s="19"/>
      <c r="T3573" s="19"/>
      <c r="U3573" s="19"/>
      <c r="V3573" s="19" t="n">
        <v>10</v>
      </c>
      <c r="W3573" s="19"/>
      <c r="X3573" s="19"/>
      <c r="Y3573" s="19"/>
      <c r="Z3573" s="19"/>
      <c r="AA3573" s="19"/>
      <c r="AB3573" s="19"/>
      <c r="AC3573" s="19"/>
      <c r="AD3573" s="19"/>
      <c r="AE3573" s="19"/>
      <c r="AF3573" s="19"/>
      <c r="AG3573" s="19"/>
      <c r="AH3573" s="19" t="n">
        <v>10</v>
      </c>
      <c r="AI3573" s="19"/>
      <c r="AJ3573" s="19"/>
      <c r="AK3573" s="19"/>
      <c r="AL3573" s="19"/>
      <c r="AM3573" s="19" t="n">
        <v>10</v>
      </c>
      <c r="AN3573" s="19"/>
      <c r="AO3573" s="19"/>
      <c r="AP3573" s="19"/>
      <c r="AQ3573" s="19"/>
      <c r="AR3573" s="19"/>
      <c r="AS3573" s="20" t="str">
        <f aca="false">HYPERLINK("http://www.openstreetmap.org/?mlat=32.5952&amp;mlon=45.4915&amp;zoom=12#map=12/32.5952/45.4915","Maplink1")</f>
        <v>Maplink1</v>
      </c>
      <c r="AT3573" s="20" t="str">
        <f aca="false">HYPERLINK("https://www.google.iq/maps/search/+32.5952,45.4915/@32.5952,45.4915,14z?hl=en","Maplink2")</f>
        <v>Maplink2</v>
      </c>
      <c r="AU3573" s="20" t="str">
        <f aca="false">HYPERLINK("http://www.bing.com/maps/?lvl=14&amp;sty=h&amp;cp=32.5952~45.4915&amp;sp=point.32.5952_45.4915","Maplink3")</f>
        <v>Maplink3</v>
      </c>
    </row>
    <row r="3574" customFormat="false" ht="15" hidden="false" customHeight="false" outlineLevel="0" collapsed="false">
      <c r="A3574" s="15" t="n">
        <v>26024</v>
      </c>
      <c r="B3574" s="16" t="s">
        <v>32</v>
      </c>
      <c r="C3574" s="16" t="s">
        <v>6751</v>
      </c>
      <c r="D3574" s="16" t="s">
        <v>6764</v>
      </c>
      <c r="E3574" s="17" t="s">
        <v>6765</v>
      </c>
      <c r="F3574" s="16" t="n">
        <v>32.5502381</v>
      </c>
      <c r="G3574" s="16" t="n">
        <v>45.41498755</v>
      </c>
      <c r="H3574" s="18" t="n">
        <v>7</v>
      </c>
      <c r="I3574" s="18" t="n">
        <v>42</v>
      </c>
      <c r="J3574" s="19"/>
      <c r="K3574" s="19"/>
      <c r="L3574" s="19"/>
      <c r="M3574" s="19"/>
      <c r="N3574" s="19"/>
      <c r="O3574" s="19"/>
      <c r="P3574" s="19"/>
      <c r="Q3574" s="19"/>
      <c r="R3574" s="19"/>
      <c r="S3574" s="19"/>
      <c r="T3574" s="19"/>
      <c r="U3574" s="19"/>
      <c r="V3574" s="19" t="n">
        <v>7</v>
      </c>
      <c r="W3574" s="19"/>
      <c r="X3574" s="19"/>
      <c r="Y3574" s="19"/>
      <c r="Z3574" s="19"/>
      <c r="AA3574" s="19"/>
      <c r="AB3574" s="19"/>
      <c r="AC3574" s="19"/>
      <c r="AD3574" s="19"/>
      <c r="AE3574" s="19"/>
      <c r="AF3574" s="19"/>
      <c r="AG3574" s="19"/>
      <c r="AH3574" s="19" t="n">
        <v>7</v>
      </c>
      <c r="AI3574" s="19"/>
      <c r="AJ3574" s="19"/>
      <c r="AK3574" s="19"/>
      <c r="AL3574" s="19"/>
      <c r="AM3574" s="19"/>
      <c r="AN3574" s="19" t="n">
        <v>7</v>
      </c>
      <c r="AO3574" s="19"/>
      <c r="AP3574" s="19"/>
      <c r="AQ3574" s="19"/>
      <c r="AR3574" s="19"/>
      <c r="AS3574" s="20" t="str">
        <f aca="false">HYPERLINK("http://www.openstreetmap.org/?mlat=32.5502&amp;mlon=45.415&amp;zoom=12#map=12/32.5502/45.415","Maplink1")</f>
        <v>Maplink1</v>
      </c>
      <c r="AT3574" s="20" t="str">
        <f aca="false">HYPERLINK("https://www.google.iq/maps/search/+32.5502,45.415/@32.5502,45.415,14z?hl=en","Maplink2")</f>
        <v>Maplink2</v>
      </c>
      <c r="AU3574" s="20" t="str">
        <f aca="false">HYPERLINK("http://www.bing.com/maps/?lvl=14&amp;sty=h&amp;cp=32.5502~45.415&amp;sp=point.32.5502_45.415","Maplink3")</f>
        <v>Maplink3</v>
      </c>
    </row>
    <row r="3575" customFormat="false" ht="15" hidden="false" customHeight="false" outlineLevel="0" collapsed="false">
      <c r="A3575" s="15" t="n">
        <v>25796</v>
      </c>
      <c r="B3575" s="16" t="s">
        <v>32</v>
      </c>
      <c r="C3575" s="16" t="s">
        <v>6751</v>
      </c>
      <c r="D3575" s="16" t="s">
        <v>6766</v>
      </c>
      <c r="E3575" s="17" t="s">
        <v>6767</v>
      </c>
      <c r="F3575" s="16" t="n">
        <v>32.54621013</v>
      </c>
      <c r="G3575" s="16" t="n">
        <v>45.39737798</v>
      </c>
      <c r="H3575" s="18" t="n">
        <v>21</v>
      </c>
      <c r="I3575" s="18" t="n">
        <v>126</v>
      </c>
      <c r="J3575" s="19"/>
      <c r="K3575" s="19"/>
      <c r="L3575" s="19"/>
      <c r="M3575" s="19"/>
      <c r="N3575" s="19"/>
      <c r="O3575" s="19"/>
      <c r="P3575" s="19"/>
      <c r="Q3575" s="19"/>
      <c r="R3575" s="19"/>
      <c r="S3575" s="19"/>
      <c r="T3575" s="19"/>
      <c r="U3575" s="19"/>
      <c r="V3575" s="19" t="n">
        <v>21</v>
      </c>
      <c r="W3575" s="19"/>
      <c r="X3575" s="19"/>
      <c r="Y3575" s="19"/>
      <c r="Z3575" s="19"/>
      <c r="AA3575" s="19"/>
      <c r="AB3575" s="19"/>
      <c r="AC3575" s="19"/>
      <c r="AD3575" s="19"/>
      <c r="AE3575" s="19"/>
      <c r="AF3575" s="19"/>
      <c r="AG3575" s="19"/>
      <c r="AH3575" s="19" t="n">
        <v>21</v>
      </c>
      <c r="AI3575" s="19"/>
      <c r="AJ3575" s="19"/>
      <c r="AK3575" s="19"/>
      <c r="AL3575" s="19"/>
      <c r="AM3575" s="19" t="n">
        <v>21</v>
      </c>
      <c r="AN3575" s="19"/>
      <c r="AO3575" s="19"/>
      <c r="AP3575" s="19"/>
      <c r="AQ3575" s="19"/>
      <c r="AR3575" s="19"/>
      <c r="AS3575" s="20" t="str">
        <f aca="false">HYPERLINK("http://www.openstreetmap.org/?mlat=32.5462&amp;mlon=45.3974&amp;zoom=12#map=12/32.5462/45.3974","Maplink1")</f>
        <v>Maplink1</v>
      </c>
      <c r="AT3575" s="20" t="str">
        <f aca="false">HYPERLINK("https://www.google.iq/maps/search/+32.5462,45.3974/@32.5462,45.3974,14z?hl=en","Maplink2")</f>
        <v>Maplink2</v>
      </c>
      <c r="AU3575" s="20" t="str">
        <f aca="false">HYPERLINK("http://www.bing.com/maps/?lvl=14&amp;sty=h&amp;cp=32.5462~45.3974&amp;sp=point.32.5462_45.3974","Maplink3")</f>
        <v>Maplink3</v>
      </c>
    </row>
    <row r="3576" customFormat="false" ht="15" hidden="false" customHeight="false" outlineLevel="0" collapsed="false">
      <c r="A3576" s="15" t="n">
        <v>26025</v>
      </c>
      <c r="B3576" s="16" t="s">
        <v>32</v>
      </c>
      <c r="C3576" s="16" t="s">
        <v>6751</v>
      </c>
      <c r="D3576" s="16" t="s">
        <v>6768</v>
      </c>
      <c r="E3576" s="17" t="s">
        <v>6769</v>
      </c>
      <c r="F3576" s="16" t="n">
        <v>32.5001639</v>
      </c>
      <c r="G3576" s="16" t="n">
        <v>45.22997575</v>
      </c>
      <c r="H3576" s="18" t="n">
        <v>38</v>
      </c>
      <c r="I3576" s="18" t="n">
        <v>228</v>
      </c>
      <c r="J3576" s="19"/>
      <c r="K3576" s="19"/>
      <c r="L3576" s="19"/>
      <c r="M3576" s="19"/>
      <c r="N3576" s="19"/>
      <c r="O3576" s="19"/>
      <c r="P3576" s="19"/>
      <c r="Q3576" s="19"/>
      <c r="R3576" s="19" t="n">
        <v>3</v>
      </c>
      <c r="S3576" s="19"/>
      <c r="T3576" s="19"/>
      <c r="U3576" s="19"/>
      <c r="V3576" s="19" t="n">
        <v>35</v>
      </c>
      <c r="W3576" s="19"/>
      <c r="X3576" s="19"/>
      <c r="Y3576" s="19"/>
      <c r="Z3576" s="19"/>
      <c r="AA3576" s="19"/>
      <c r="AB3576" s="19"/>
      <c r="AC3576" s="19" t="n">
        <v>15</v>
      </c>
      <c r="AD3576" s="19"/>
      <c r="AE3576" s="19"/>
      <c r="AF3576" s="19"/>
      <c r="AG3576" s="19" t="n">
        <v>23</v>
      </c>
      <c r="AH3576" s="19"/>
      <c r="AI3576" s="19"/>
      <c r="AJ3576" s="19"/>
      <c r="AK3576" s="19"/>
      <c r="AL3576" s="19"/>
      <c r="AM3576" s="19" t="n">
        <v>38</v>
      </c>
      <c r="AN3576" s="19"/>
      <c r="AO3576" s="19"/>
      <c r="AP3576" s="19"/>
      <c r="AQ3576" s="19"/>
      <c r="AR3576" s="19"/>
      <c r="AS3576" s="20" t="str">
        <f aca="false">HYPERLINK("http://www.openstreetmap.org/?mlat=32.5002&amp;mlon=45.23&amp;zoom=12#map=12/32.5002/45.23","Maplink1")</f>
        <v>Maplink1</v>
      </c>
      <c r="AT3576" s="20" t="str">
        <f aca="false">HYPERLINK("https://www.google.iq/maps/search/+32.5002,45.23/@32.5002,45.23,14z?hl=en","Maplink2")</f>
        <v>Maplink2</v>
      </c>
      <c r="AU3576" s="20" t="str">
        <f aca="false">HYPERLINK("http://www.bing.com/maps/?lvl=14&amp;sty=h&amp;cp=32.5002~45.23&amp;sp=point.32.5002_45.23","Maplink3")</f>
        <v>Maplink3</v>
      </c>
    </row>
    <row r="3577" customFormat="false" ht="15" hidden="false" customHeight="false" outlineLevel="0" collapsed="false">
      <c r="A3577" s="15" t="n">
        <v>25098</v>
      </c>
      <c r="B3577" s="16" t="s">
        <v>32</v>
      </c>
      <c r="C3577" s="16" t="s">
        <v>6751</v>
      </c>
      <c r="D3577" s="16" t="s">
        <v>6770</v>
      </c>
      <c r="E3577" s="17" t="s">
        <v>6771</v>
      </c>
      <c r="F3577" s="16" t="n">
        <v>32.51024043</v>
      </c>
      <c r="G3577" s="16" t="n">
        <v>45.26547684</v>
      </c>
      <c r="H3577" s="18" t="n">
        <v>293</v>
      </c>
      <c r="I3577" s="18" t="n">
        <v>1758</v>
      </c>
      <c r="J3577" s="19"/>
      <c r="K3577" s="19"/>
      <c r="L3577" s="19"/>
      <c r="M3577" s="19"/>
      <c r="N3577" s="19"/>
      <c r="O3577" s="19"/>
      <c r="P3577" s="19"/>
      <c r="Q3577" s="19"/>
      <c r="R3577" s="19"/>
      <c r="S3577" s="19"/>
      <c r="T3577" s="19"/>
      <c r="U3577" s="19"/>
      <c r="V3577" s="19" t="n">
        <v>293</v>
      </c>
      <c r="W3577" s="19"/>
      <c r="X3577" s="19"/>
      <c r="Y3577" s="19"/>
      <c r="Z3577" s="19"/>
      <c r="AA3577" s="19"/>
      <c r="AB3577" s="19"/>
      <c r="AC3577" s="19" t="n">
        <v>65</v>
      </c>
      <c r="AD3577" s="19"/>
      <c r="AE3577" s="19"/>
      <c r="AF3577" s="19"/>
      <c r="AG3577" s="19" t="n">
        <v>208</v>
      </c>
      <c r="AH3577" s="19" t="n">
        <v>20</v>
      </c>
      <c r="AI3577" s="19"/>
      <c r="AJ3577" s="19"/>
      <c r="AK3577" s="19"/>
      <c r="AL3577" s="19"/>
      <c r="AM3577" s="19" t="n">
        <v>293</v>
      </c>
      <c r="AN3577" s="19"/>
      <c r="AO3577" s="19"/>
      <c r="AP3577" s="19"/>
      <c r="AQ3577" s="19"/>
      <c r="AR3577" s="19"/>
      <c r="AS3577" s="20" t="str">
        <f aca="false">HYPERLINK("http://www.openstreetmap.org/?mlat=32.5102&amp;mlon=45.2655&amp;zoom=12#map=12/32.5102/45.2655","Maplink1")</f>
        <v>Maplink1</v>
      </c>
      <c r="AT3577" s="20" t="str">
        <f aca="false">HYPERLINK("https://www.google.iq/maps/search/+32.5102,45.2655/@32.5102,45.2655,14z?hl=en","Maplink2")</f>
        <v>Maplink2</v>
      </c>
      <c r="AU3577" s="20" t="str">
        <f aca="false">HYPERLINK("http://www.bing.com/maps/?lvl=14&amp;sty=h&amp;cp=32.5102~45.2655&amp;sp=point.32.5102_45.2655","Maplink3")</f>
        <v>Maplink3</v>
      </c>
    </row>
    <row r="3578" customFormat="false" ht="15" hidden="false" customHeight="false" outlineLevel="0" collapsed="false">
      <c r="A3578" s="15" t="n">
        <v>25097</v>
      </c>
      <c r="B3578" s="16" t="s">
        <v>32</v>
      </c>
      <c r="C3578" s="16" t="s">
        <v>6751</v>
      </c>
      <c r="D3578" s="16" t="s">
        <v>6772</v>
      </c>
      <c r="E3578" s="17" t="s">
        <v>6773</v>
      </c>
      <c r="F3578" s="16" t="n">
        <v>32.51520844</v>
      </c>
      <c r="G3578" s="16" t="n">
        <v>45.28275168</v>
      </c>
      <c r="H3578" s="18" t="n">
        <v>215</v>
      </c>
      <c r="I3578" s="18" t="n">
        <v>1290</v>
      </c>
      <c r="J3578" s="19"/>
      <c r="K3578" s="19" t="n">
        <v>20</v>
      </c>
      <c r="L3578" s="19"/>
      <c r="M3578" s="19"/>
      <c r="N3578" s="19"/>
      <c r="O3578" s="19"/>
      <c r="P3578" s="19"/>
      <c r="Q3578" s="19"/>
      <c r="R3578" s="19"/>
      <c r="S3578" s="19"/>
      <c r="T3578" s="19"/>
      <c r="U3578" s="19"/>
      <c r="V3578" s="19" t="n">
        <v>195</v>
      </c>
      <c r="W3578" s="19"/>
      <c r="X3578" s="19"/>
      <c r="Y3578" s="19"/>
      <c r="Z3578" s="19"/>
      <c r="AA3578" s="19"/>
      <c r="AB3578" s="19"/>
      <c r="AC3578" s="19" t="n">
        <v>16</v>
      </c>
      <c r="AD3578" s="19"/>
      <c r="AE3578" s="19"/>
      <c r="AF3578" s="19"/>
      <c r="AG3578" s="19" t="n">
        <v>199</v>
      </c>
      <c r="AH3578" s="19"/>
      <c r="AI3578" s="19"/>
      <c r="AJ3578" s="19"/>
      <c r="AK3578" s="19"/>
      <c r="AL3578" s="19" t="n">
        <v>20</v>
      </c>
      <c r="AM3578" s="19" t="n">
        <v>195</v>
      </c>
      <c r="AN3578" s="19"/>
      <c r="AO3578" s="19"/>
      <c r="AP3578" s="19"/>
      <c r="AQ3578" s="19"/>
      <c r="AR3578" s="19"/>
      <c r="AS3578" s="20" t="str">
        <f aca="false">HYPERLINK("http://www.openstreetmap.org/?mlat=32.5152&amp;mlon=45.2828&amp;zoom=12#map=12/32.5152/45.2828","Maplink1")</f>
        <v>Maplink1</v>
      </c>
      <c r="AT3578" s="20" t="str">
        <f aca="false">HYPERLINK("https://www.google.iq/maps/search/+32.5152,45.2828/@32.5152,45.2828,14z?hl=en","Maplink2")</f>
        <v>Maplink2</v>
      </c>
      <c r="AU3578" s="20" t="str">
        <f aca="false">HYPERLINK("http://www.bing.com/maps/?lvl=14&amp;sty=h&amp;cp=32.5152~45.2828&amp;sp=point.32.5152_45.2828","Maplink3")</f>
        <v>Maplink3</v>
      </c>
    </row>
    <row r="3579" customFormat="false" ht="15" hidden="false" customHeight="false" outlineLevel="0" collapsed="false">
      <c r="A3579" s="15" t="n">
        <v>21392</v>
      </c>
      <c r="B3579" s="16" t="s">
        <v>32</v>
      </c>
      <c r="C3579" s="16" t="s">
        <v>6774</v>
      </c>
      <c r="D3579" s="16" t="s">
        <v>6775</v>
      </c>
      <c r="E3579" s="17" t="s">
        <v>6776</v>
      </c>
      <c r="F3579" s="16" t="n">
        <v>32.68964158</v>
      </c>
      <c r="G3579" s="16" t="n">
        <v>44.97540435</v>
      </c>
      <c r="H3579" s="18" t="n">
        <v>7</v>
      </c>
      <c r="I3579" s="18" t="n">
        <v>42</v>
      </c>
      <c r="J3579" s="19"/>
      <c r="K3579" s="19"/>
      <c r="L3579" s="19"/>
      <c r="M3579" s="19"/>
      <c r="N3579" s="19"/>
      <c r="O3579" s="19"/>
      <c r="P3579" s="19"/>
      <c r="Q3579" s="19"/>
      <c r="R3579" s="19"/>
      <c r="S3579" s="19"/>
      <c r="T3579" s="19"/>
      <c r="U3579" s="19"/>
      <c r="V3579" s="19" t="n">
        <v>7</v>
      </c>
      <c r="W3579" s="19"/>
      <c r="X3579" s="19"/>
      <c r="Y3579" s="19"/>
      <c r="Z3579" s="19"/>
      <c r="AA3579" s="19"/>
      <c r="AB3579" s="19"/>
      <c r="AC3579" s="19"/>
      <c r="AD3579" s="19"/>
      <c r="AE3579" s="19"/>
      <c r="AF3579" s="19"/>
      <c r="AG3579" s="19" t="n">
        <v>7</v>
      </c>
      <c r="AH3579" s="19"/>
      <c r="AI3579" s="19"/>
      <c r="AJ3579" s="19"/>
      <c r="AK3579" s="19"/>
      <c r="AL3579" s="19"/>
      <c r="AM3579" s="19" t="n">
        <v>7</v>
      </c>
      <c r="AN3579" s="19"/>
      <c r="AO3579" s="19"/>
      <c r="AP3579" s="19"/>
      <c r="AQ3579" s="19"/>
      <c r="AR3579" s="19"/>
      <c r="AS3579" s="20" t="str">
        <f aca="false">HYPERLINK("http://www.openstreetmap.org/?mlat=32.6896&amp;mlon=44.9754&amp;zoom=12#map=12/32.6896/44.9754","Maplink1")</f>
        <v>Maplink1</v>
      </c>
      <c r="AT3579" s="20" t="str">
        <f aca="false">HYPERLINK("https://www.google.iq/maps/search/+32.6896,44.9754/@32.6896,44.9754,14z?hl=en","Maplink2")</f>
        <v>Maplink2</v>
      </c>
      <c r="AU3579" s="20" t="str">
        <f aca="false">HYPERLINK("http://www.bing.com/maps/?lvl=14&amp;sty=h&amp;cp=32.6896~44.9754&amp;sp=point.32.6896_44.9754","Maplink3")</f>
        <v>Maplink3</v>
      </c>
    </row>
    <row r="3580" customFormat="false" ht="15" hidden="false" customHeight="false" outlineLevel="0" collapsed="false">
      <c r="A3580" s="15" t="n">
        <v>19328</v>
      </c>
      <c r="B3580" s="16" t="s">
        <v>32</v>
      </c>
      <c r="C3580" s="16" t="s">
        <v>6774</v>
      </c>
      <c r="D3580" s="16" t="s">
        <v>6777</v>
      </c>
      <c r="E3580" s="17" t="s">
        <v>6778</v>
      </c>
      <c r="F3580" s="16" t="n">
        <v>32.77396792</v>
      </c>
      <c r="G3580" s="16" t="n">
        <v>45.15985707</v>
      </c>
      <c r="H3580" s="18" t="n">
        <v>7</v>
      </c>
      <c r="I3580" s="18" t="n">
        <v>42</v>
      </c>
      <c r="J3580" s="19"/>
      <c r="K3580" s="19"/>
      <c r="L3580" s="19"/>
      <c r="M3580" s="19"/>
      <c r="N3580" s="19"/>
      <c r="O3580" s="19"/>
      <c r="P3580" s="19"/>
      <c r="Q3580" s="19"/>
      <c r="R3580" s="19"/>
      <c r="S3580" s="19"/>
      <c r="T3580" s="19"/>
      <c r="U3580" s="19"/>
      <c r="V3580" s="19" t="n">
        <v>7</v>
      </c>
      <c r="W3580" s="19"/>
      <c r="X3580" s="19"/>
      <c r="Y3580" s="19"/>
      <c r="Z3580" s="19"/>
      <c r="AA3580" s="19"/>
      <c r="AB3580" s="19"/>
      <c r="AC3580" s="19" t="n">
        <v>5</v>
      </c>
      <c r="AD3580" s="19"/>
      <c r="AE3580" s="19"/>
      <c r="AF3580" s="19"/>
      <c r="AG3580" s="19"/>
      <c r="AH3580" s="19" t="n">
        <v>2</v>
      </c>
      <c r="AI3580" s="19"/>
      <c r="AJ3580" s="19"/>
      <c r="AK3580" s="19"/>
      <c r="AL3580" s="19"/>
      <c r="AM3580" s="19" t="n">
        <v>7</v>
      </c>
      <c r="AN3580" s="19"/>
      <c r="AO3580" s="19"/>
      <c r="AP3580" s="19"/>
      <c r="AQ3580" s="19"/>
      <c r="AR3580" s="19"/>
      <c r="AS3580" s="20" t="str">
        <f aca="false">HYPERLINK("http://www.openstreetmap.org/?mlat=32.774&amp;mlon=45.1599&amp;zoom=12#map=12/32.774/45.1599","Maplink1")</f>
        <v>Maplink1</v>
      </c>
      <c r="AT3580" s="20" t="str">
        <f aca="false">HYPERLINK("https://www.google.iq/maps/search/+32.774,45.1599/@32.774,45.1599,14z?hl=en","Maplink2")</f>
        <v>Maplink2</v>
      </c>
      <c r="AU3580" s="20" t="str">
        <f aca="false">HYPERLINK("http://www.bing.com/maps/?lvl=14&amp;sty=h&amp;cp=32.774~45.1599&amp;sp=point.32.774_45.1599","Maplink3")</f>
        <v>Maplink3</v>
      </c>
    </row>
    <row r="3581" customFormat="false" ht="15" hidden="false" customHeight="false" outlineLevel="0" collapsed="false">
      <c r="A3581" s="15" t="n">
        <v>18774</v>
      </c>
      <c r="B3581" s="16" t="s">
        <v>32</v>
      </c>
      <c r="C3581" s="16" t="s">
        <v>6774</v>
      </c>
      <c r="D3581" s="16" t="s">
        <v>6779</v>
      </c>
      <c r="E3581" s="17" t="s">
        <v>6780</v>
      </c>
      <c r="F3581" s="16" t="n">
        <v>32.97925501</v>
      </c>
      <c r="G3581" s="16" t="n">
        <v>44.77707823</v>
      </c>
      <c r="H3581" s="18" t="n">
        <v>45</v>
      </c>
      <c r="I3581" s="18" t="n">
        <v>270</v>
      </c>
      <c r="J3581" s="19" t="n">
        <v>10</v>
      </c>
      <c r="K3581" s="19"/>
      <c r="L3581" s="19"/>
      <c r="M3581" s="19"/>
      <c r="N3581" s="19"/>
      <c r="O3581" s="19"/>
      <c r="P3581" s="19"/>
      <c r="Q3581" s="19"/>
      <c r="R3581" s="19"/>
      <c r="S3581" s="19"/>
      <c r="T3581" s="19"/>
      <c r="U3581" s="19"/>
      <c r="V3581" s="19" t="n">
        <v>35</v>
      </c>
      <c r="W3581" s="19"/>
      <c r="X3581" s="19"/>
      <c r="Y3581" s="19"/>
      <c r="Z3581" s="19"/>
      <c r="AA3581" s="19"/>
      <c r="AB3581" s="19"/>
      <c r="AC3581" s="19"/>
      <c r="AD3581" s="19"/>
      <c r="AE3581" s="19"/>
      <c r="AF3581" s="19"/>
      <c r="AG3581" s="19" t="n">
        <v>4</v>
      </c>
      <c r="AH3581" s="19" t="n">
        <v>41</v>
      </c>
      <c r="AI3581" s="19"/>
      <c r="AJ3581" s="19"/>
      <c r="AK3581" s="19"/>
      <c r="AL3581" s="19"/>
      <c r="AM3581" s="19" t="n">
        <v>35</v>
      </c>
      <c r="AN3581" s="19"/>
      <c r="AO3581" s="19"/>
      <c r="AP3581" s="19" t="n">
        <v>10</v>
      </c>
      <c r="AQ3581" s="19"/>
      <c r="AR3581" s="19"/>
      <c r="AS3581" s="20" t="str">
        <f aca="false">HYPERLINK("http://www.openstreetmap.org/?mlat=32.9793&amp;mlon=44.7771&amp;zoom=12#map=12/32.9793/44.7771","Maplink1")</f>
        <v>Maplink1</v>
      </c>
      <c r="AT3581" s="20" t="str">
        <f aca="false">HYPERLINK("https://www.google.iq/maps/search/+32.9793,44.7771/@32.9793,44.7771,14z?hl=en","Maplink2")</f>
        <v>Maplink2</v>
      </c>
      <c r="AU3581" s="20" t="str">
        <f aca="false">HYPERLINK("http://www.bing.com/maps/?lvl=14&amp;sty=h&amp;cp=32.9793~44.7771&amp;sp=point.32.9793_44.7771","Maplink3")</f>
        <v>Maplink3</v>
      </c>
    </row>
    <row r="3582" customFormat="false" ht="15" hidden="false" customHeight="false" outlineLevel="0" collapsed="false">
      <c r="A3582" s="15" t="n">
        <v>18537</v>
      </c>
      <c r="B3582" s="16" t="s">
        <v>32</v>
      </c>
      <c r="C3582" s="16" t="s">
        <v>6774</v>
      </c>
      <c r="D3582" s="16" t="s">
        <v>6781</v>
      </c>
      <c r="E3582" s="17" t="s">
        <v>6782</v>
      </c>
      <c r="F3582" s="16" t="n">
        <v>32.7555189</v>
      </c>
      <c r="G3582" s="16" t="n">
        <v>45.18694495</v>
      </c>
      <c r="H3582" s="18" t="n">
        <v>6</v>
      </c>
      <c r="I3582" s="18" t="n">
        <v>36</v>
      </c>
      <c r="J3582" s="19"/>
      <c r="K3582" s="19"/>
      <c r="L3582" s="19"/>
      <c r="M3582" s="19"/>
      <c r="N3582" s="19"/>
      <c r="O3582" s="19"/>
      <c r="P3582" s="19"/>
      <c r="Q3582" s="19"/>
      <c r="R3582" s="19"/>
      <c r="S3582" s="19"/>
      <c r="T3582" s="19"/>
      <c r="U3582" s="19"/>
      <c r="V3582" s="19" t="n">
        <v>6</v>
      </c>
      <c r="W3582" s="19"/>
      <c r="X3582" s="19"/>
      <c r="Y3582" s="19"/>
      <c r="Z3582" s="19"/>
      <c r="AA3582" s="19"/>
      <c r="AB3582" s="19"/>
      <c r="AC3582" s="19"/>
      <c r="AD3582" s="19"/>
      <c r="AE3582" s="19"/>
      <c r="AF3582" s="19"/>
      <c r="AG3582" s="19" t="n">
        <v>3</v>
      </c>
      <c r="AH3582" s="19" t="n">
        <v>3</v>
      </c>
      <c r="AI3582" s="19"/>
      <c r="AJ3582" s="19"/>
      <c r="AK3582" s="19"/>
      <c r="AL3582" s="19"/>
      <c r="AM3582" s="19" t="n">
        <v>6</v>
      </c>
      <c r="AN3582" s="19"/>
      <c r="AO3582" s="19"/>
      <c r="AP3582" s="19"/>
      <c r="AQ3582" s="19"/>
      <c r="AR3582" s="19"/>
      <c r="AS3582" s="20" t="str">
        <f aca="false">HYPERLINK("http://www.openstreetmap.org/?mlat=32.7555&amp;mlon=45.1869&amp;zoom=12#map=12/32.7555/45.1869","Maplink1")</f>
        <v>Maplink1</v>
      </c>
      <c r="AT3582" s="20" t="str">
        <f aca="false">HYPERLINK("https://www.google.iq/maps/search/+32.7555,45.1869/@32.7555,45.1869,14z?hl=en","Maplink2")</f>
        <v>Maplink2</v>
      </c>
      <c r="AU3582" s="20" t="str">
        <f aca="false">HYPERLINK("http://www.bing.com/maps/?lvl=14&amp;sty=h&amp;cp=32.7555~45.1869&amp;sp=point.32.7555_45.1869","Maplink3")</f>
        <v>Maplink3</v>
      </c>
    </row>
    <row r="3583" customFormat="false" ht="15" hidden="false" customHeight="false" outlineLevel="0" collapsed="false">
      <c r="A3583" s="15" t="n">
        <v>25390</v>
      </c>
      <c r="B3583" s="16" t="s">
        <v>32</v>
      </c>
      <c r="C3583" s="16" t="s">
        <v>6774</v>
      </c>
      <c r="D3583" s="16" t="s">
        <v>6783</v>
      </c>
      <c r="E3583" s="17" t="s">
        <v>6784</v>
      </c>
      <c r="F3583" s="16" t="n">
        <v>32.7587195454</v>
      </c>
      <c r="G3583" s="16" t="n">
        <v>45.1116168251</v>
      </c>
      <c r="H3583" s="18" t="n">
        <v>10</v>
      </c>
      <c r="I3583" s="18" t="n">
        <v>60</v>
      </c>
      <c r="J3583" s="19"/>
      <c r="K3583" s="19"/>
      <c r="L3583" s="19"/>
      <c r="M3583" s="19"/>
      <c r="N3583" s="19"/>
      <c r="O3583" s="19"/>
      <c r="P3583" s="19"/>
      <c r="Q3583" s="19"/>
      <c r="R3583" s="19"/>
      <c r="S3583" s="19"/>
      <c r="T3583" s="19"/>
      <c r="U3583" s="19"/>
      <c r="V3583" s="19" t="n">
        <v>10</v>
      </c>
      <c r="W3583" s="19"/>
      <c r="X3583" s="19"/>
      <c r="Y3583" s="19"/>
      <c r="Z3583" s="19"/>
      <c r="AA3583" s="19"/>
      <c r="AB3583" s="19"/>
      <c r="AC3583" s="19" t="n">
        <v>6</v>
      </c>
      <c r="AD3583" s="19"/>
      <c r="AE3583" s="19"/>
      <c r="AF3583" s="19"/>
      <c r="AG3583" s="19"/>
      <c r="AH3583" s="19" t="n">
        <v>4</v>
      </c>
      <c r="AI3583" s="19"/>
      <c r="AJ3583" s="19"/>
      <c r="AK3583" s="19"/>
      <c r="AL3583" s="19"/>
      <c r="AM3583" s="19" t="n">
        <v>10</v>
      </c>
      <c r="AN3583" s="19"/>
      <c r="AO3583" s="19"/>
      <c r="AP3583" s="19"/>
      <c r="AQ3583" s="19"/>
      <c r="AR3583" s="19"/>
      <c r="AS3583" s="20" t="str">
        <f aca="false">HYPERLINK("http://www.openstreetmap.org/?mlat=32.7587&amp;mlon=45.1116&amp;zoom=12#map=12/32.7587/45.1116","Maplink1")</f>
        <v>Maplink1</v>
      </c>
      <c r="AT3583" s="20" t="str">
        <f aca="false">HYPERLINK("https://www.google.iq/maps/search/+32.7587,45.1116/@32.7587,45.1116,14z?hl=en","Maplink2")</f>
        <v>Maplink2</v>
      </c>
      <c r="AU3583" s="20" t="str">
        <f aca="false">HYPERLINK("http://www.bing.com/maps/?lvl=14&amp;sty=h&amp;cp=32.7587~45.1116&amp;sp=point.32.7587_45.1116","Maplink3")</f>
        <v>Maplink3</v>
      </c>
    </row>
    <row r="3584" customFormat="false" ht="15" hidden="false" customHeight="false" outlineLevel="0" collapsed="false">
      <c r="A3584" s="15" t="n">
        <v>24217</v>
      </c>
      <c r="B3584" s="16" t="s">
        <v>32</v>
      </c>
      <c r="C3584" s="16" t="s">
        <v>6774</v>
      </c>
      <c r="D3584" s="16" t="s">
        <v>6785</v>
      </c>
      <c r="E3584" s="17" t="s">
        <v>6786</v>
      </c>
      <c r="F3584" s="16" t="n">
        <v>32.93222836</v>
      </c>
      <c r="G3584" s="16" t="n">
        <v>44.78213481</v>
      </c>
      <c r="H3584" s="18" t="n">
        <v>85</v>
      </c>
      <c r="I3584" s="18" t="n">
        <v>510</v>
      </c>
      <c r="J3584" s="19" t="n">
        <v>85</v>
      </c>
      <c r="K3584" s="19"/>
      <c r="L3584" s="19"/>
      <c r="M3584" s="19"/>
      <c r="N3584" s="19"/>
      <c r="O3584" s="19"/>
      <c r="P3584" s="19"/>
      <c r="Q3584" s="19"/>
      <c r="R3584" s="19"/>
      <c r="S3584" s="19"/>
      <c r="T3584" s="19"/>
      <c r="U3584" s="19"/>
      <c r="V3584" s="19"/>
      <c r="W3584" s="19"/>
      <c r="X3584" s="19"/>
      <c r="Y3584" s="19"/>
      <c r="Z3584" s="19"/>
      <c r="AA3584" s="19"/>
      <c r="AB3584" s="19"/>
      <c r="AC3584" s="19"/>
      <c r="AD3584" s="19"/>
      <c r="AE3584" s="19"/>
      <c r="AF3584" s="19"/>
      <c r="AG3584" s="19"/>
      <c r="AH3584" s="19" t="n">
        <v>85</v>
      </c>
      <c r="AI3584" s="19"/>
      <c r="AJ3584" s="19"/>
      <c r="AK3584" s="19"/>
      <c r="AL3584" s="19"/>
      <c r="AM3584" s="19"/>
      <c r="AN3584" s="19"/>
      <c r="AO3584" s="19"/>
      <c r="AP3584" s="19" t="n">
        <v>85</v>
      </c>
      <c r="AQ3584" s="19"/>
      <c r="AR3584" s="19"/>
      <c r="AS3584" s="20" t="str">
        <f aca="false">HYPERLINK("http://www.openstreetmap.org/?mlat=32.9322&amp;mlon=44.7821&amp;zoom=12#map=12/32.9322/44.7821","Maplink1")</f>
        <v>Maplink1</v>
      </c>
      <c r="AT3584" s="20" t="str">
        <f aca="false">HYPERLINK("https://www.google.iq/maps/search/+32.9322,44.7821/@32.9322,44.7821,14z?hl=en","Maplink2")</f>
        <v>Maplink2</v>
      </c>
      <c r="AU3584" s="20" t="str">
        <f aca="false">HYPERLINK("http://www.bing.com/maps/?lvl=14&amp;sty=h&amp;cp=32.9322~44.7821&amp;sp=point.32.9322_44.7821","Maplink3")</f>
        <v>Maplink3</v>
      </c>
    </row>
    <row r="3585" customFormat="false" ht="15" hidden="false" customHeight="false" outlineLevel="0" collapsed="false">
      <c r="A3585" s="15" t="n">
        <v>25761</v>
      </c>
      <c r="B3585" s="16" t="s">
        <v>32</v>
      </c>
      <c r="C3585" s="16" t="s">
        <v>6774</v>
      </c>
      <c r="D3585" s="16" t="s">
        <v>6785</v>
      </c>
      <c r="E3585" s="17" t="s">
        <v>6787</v>
      </c>
      <c r="F3585" s="16" t="n">
        <v>32.9279449</v>
      </c>
      <c r="G3585" s="16" t="n">
        <v>44.78164611</v>
      </c>
      <c r="H3585" s="18" t="n">
        <v>35</v>
      </c>
      <c r="I3585" s="18" t="n">
        <v>210</v>
      </c>
      <c r="J3585" s="19" t="n">
        <v>35</v>
      </c>
      <c r="K3585" s="19"/>
      <c r="L3585" s="19"/>
      <c r="M3585" s="19"/>
      <c r="N3585" s="19"/>
      <c r="O3585" s="19"/>
      <c r="P3585" s="19"/>
      <c r="Q3585" s="19"/>
      <c r="R3585" s="19"/>
      <c r="S3585" s="19"/>
      <c r="T3585" s="19"/>
      <c r="U3585" s="19"/>
      <c r="V3585" s="19"/>
      <c r="W3585" s="19"/>
      <c r="X3585" s="19"/>
      <c r="Y3585" s="19"/>
      <c r="Z3585" s="19"/>
      <c r="AA3585" s="19"/>
      <c r="AB3585" s="19"/>
      <c r="AC3585" s="19" t="n">
        <v>15</v>
      </c>
      <c r="AD3585" s="19"/>
      <c r="AE3585" s="19"/>
      <c r="AF3585" s="19"/>
      <c r="AG3585" s="19"/>
      <c r="AH3585" s="19" t="n">
        <v>20</v>
      </c>
      <c r="AI3585" s="19"/>
      <c r="AJ3585" s="19"/>
      <c r="AK3585" s="19"/>
      <c r="AL3585" s="19"/>
      <c r="AM3585" s="19"/>
      <c r="AN3585" s="19"/>
      <c r="AO3585" s="19"/>
      <c r="AP3585" s="19" t="n">
        <v>35</v>
      </c>
      <c r="AQ3585" s="19"/>
      <c r="AR3585" s="19"/>
      <c r="AS3585" s="20" t="str">
        <f aca="false">HYPERLINK("http://www.openstreetmap.org/?mlat=32.9279&amp;mlon=44.7816&amp;zoom=12#map=12/32.9279/44.7816","Maplink1")</f>
        <v>Maplink1</v>
      </c>
      <c r="AT3585" s="20" t="str">
        <f aca="false">HYPERLINK("https://www.google.iq/maps/search/+32.9279,44.7816/@32.9279,44.7816,14z?hl=en","Maplink2")</f>
        <v>Maplink2</v>
      </c>
      <c r="AU3585" s="20" t="str">
        <f aca="false">HYPERLINK("http://www.bing.com/maps/?lvl=14&amp;sty=h&amp;cp=32.9279~44.7816&amp;sp=point.32.9279_44.7816","Maplink3")</f>
        <v>Maplink3</v>
      </c>
    </row>
    <row r="3586" customFormat="false" ht="15" hidden="false" customHeight="false" outlineLevel="0" collapsed="false">
      <c r="A3586" s="15" t="n">
        <v>18436</v>
      </c>
      <c r="B3586" s="16" t="s">
        <v>32</v>
      </c>
      <c r="C3586" s="16" t="s">
        <v>6774</v>
      </c>
      <c r="D3586" s="16" t="s">
        <v>6788</v>
      </c>
      <c r="E3586" s="17" t="s">
        <v>6789</v>
      </c>
      <c r="F3586" s="16" t="n">
        <v>32.76237748</v>
      </c>
      <c r="G3586" s="16" t="n">
        <v>45.17470511</v>
      </c>
      <c r="H3586" s="18" t="n">
        <v>20</v>
      </c>
      <c r="I3586" s="18" t="n">
        <v>120</v>
      </c>
      <c r="J3586" s="19" t="n">
        <v>13</v>
      </c>
      <c r="K3586" s="19"/>
      <c r="L3586" s="19"/>
      <c r="M3586" s="19"/>
      <c r="N3586" s="19"/>
      <c r="O3586" s="19"/>
      <c r="P3586" s="19"/>
      <c r="Q3586" s="19"/>
      <c r="R3586" s="19"/>
      <c r="S3586" s="19"/>
      <c r="T3586" s="19"/>
      <c r="U3586" s="19"/>
      <c r="V3586" s="19" t="n">
        <v>7</v>
      </c>
      <c r="W3586" s="19"/>
      <c r="X3586" s="19"/>
      <c r="Y3586" s="19"/>
      <c r="Z3586" s="19"/>
      <c r="AA3586" s="19"/>
      <c r="AB3586" s="19"/>
      <c r="AC3586" s="19" t="n">
        <v>13</v>
      </c>
      <c r="AD3586" s="19"/>
      <c r="AE3586" s="19"/>
      <c r="AF3586" s="19"/>
      <c r="AG3586" s="19" t="n">
        <v>4</v>
      </c>
      <c r="AH3586" s="19" t="n">
        <v>3</v>
      </c>
      <c r="AI3586" s="19"/>
      <c r="AJ3586" s="19"/>
      <c r="AK3586" s="19"/>
      <c r="AL3586" s="19"/>
      <c r="AM3586" s="19" t="n">
        <v>7</v>
      </c>
      <c r="AN3586" s="19"/>
      <c r="AO3586" s="19"/>
      <c r="AP3586" s="19" t="n">
        <v>13</v>
      </c>
      <c r="AQ3586" s="19"/>
      <c r="AR3586" s="19"/>
      <c r="AS3586" s="20" t="str">
        <f aca="false">HYPERLINK("http://www.openstreetmap.org/?mlat=32.7624&amp;mlon=45.1747&amp;zoom=12#map=12/32.7624/45.1747","Maplink1")</f>
        <v>Maplink1</v>
      </c>
      <c r="AT3586" s="20" t="str">
        <f aca="false">HYPERLINK("https://www.google.iq/maps/search/+32.7624,45.1747/@32.7624,45.1747,14z?hl=en","Maplink2")</f>
        <v>Maplink2</v>
      </c>
      <c r="AU3586" s="20" t="str">
        <f aca="false">HYPERLINK("http://www.bing.com/maps/?lvl=14&amp;sty=h&amp;cp=32.7624~45.1747&amp;sp=point.32.7624_45.1747","Maplink3")</f>
        <v>Maplink3</v>
      </c>
    </row>
    <row r="3587" customFormat="false" ht="15" hidden="false" customHeight="false" outlineLevel="0" collapsed="false">
      <c r="A3587" s="15" t="n">
        <v>25385</v>
      </c>
      <c r="B3587" s="16" t="s">
        <v>32</v>
      </c>
      <c r="C3587" s="16" t="s">
        <v>6774</v>
      </c>
      <c r="D3587" s="16" t="s">
        <v>6790</v>
      </c>
      <c r="E3587" s="17" t="s">
        <v>6791</v>
      </c>
      <c r="F3587" s="16" t="n">
        <v>32.92206023</v>
      </c>
      <c r="G3587" s="16" t="n">
        <v>44.77878144</v>
      </c>
      <c r="H3587" s="18" t="n">
        <v>50</v>
      </c>
      <c r="I3587" s="18" t="n">
        <v>300</v>
      </c>
      <c r="J3587" s="19" t="n">
        <v>30</v>
      </c>
      <c r="K3587" s="19"/>
      <c r="L3587" s="19"/>
      <c r="M3587" s="19"/>
      <c r="N3587" s="19"/>
      <c r="O3587" s="19"/>
      <c r="P3587" s="19"/>
      <c r="Q3587" s="19"/>
      <c r="R3587" s="19"/>
      <c r="S3587" s="19"/>
      <c r="T3587" s="19"/>
      <c r="U3587" s="19"/>
      <c r="V3587" s="19" t="n">
        <v>8</v>
      </c>
      <c r="W3587" s="19"/>
      <c r="X3587" s="19" t="n">
        <v>12</v>
      </c>
      <c r="Y3587" s="19"/>
      <c r="Z3587" s="19"/>
      <c r="AA3587" s="19"/>
      <c r="AB3587" s="19"/>
      <c r="AC3587" s="19" t="n">
        <v>19</v>
      </c>
      <c r="AD3587" s="19"/>
      <c r="AE3587" s="19"/>
      <c r="AF3587" s="19"/>
      <c r="AG3587" s="19"/>
      <c r="AH3587" s="19" t="n">
        <v>31</v>
      </c>
      <c r="AI3587" s="19"/>
      <c r="AJ3587" s="19"/>
      <c r="AK3587" s="19"/>
      <c r="AL3587" s="19"/>
      <c r="AM3587" s="19" t="n">
        <v>6</v>
      </c>
      <c r="AN3587" s="19" t="n">
        <v>14</v>
      </c>
      <c r="AO3587" s="19" t="n">
        <v>5</v>
      </c>
      <c r="AP3587" s="19" t="n">
        <v>25</v>
      </c>
      <c r="AQ3587" s="19"/>
      <c r="AR3587" s="19"/>
      <c r="AS3587" s="20" t="str">
        <f aca="false">HYPERLINK("http://www.openstreetmap.org/?mlat=32.9221&amp;mlon=44.7788&amp;zoom=12#map=12/32.9221/44.7788","Maplink1")</f>
        <v>Maplink1</v>
      </c>
      <c r="AT3587" s="20" t="str">
        <f aca="false">HYPERLINK("https://www.google.iq/maps/search/+32.9221,44.7788/@32.9221,44.7788,14z?hl=en","Maplink2")</f>
        <v>Maplink2</v>
      </c>
      <c r="AU3587" s="20" t="str">
        <f aca="false">HYPERLINK("http://www.bing.com/maps/?lvl=14&amp;sty=h&amp;cp=32.9221~44.7788&amp;sp=point.32.9221_44.7788","Maplink3")</f>
        <v>Maplink3</v>
      </c>
    </row>
    <row r="3588" customFormat="false" ht="15" hidden="false" customHeight="false" outlineLevel="0" collapsed="false">
      <c r="A3588" s="15" t="n">
        <v>25112</v>
      </c>
      <c r="B3588" s="16" t="s">
        <v>32</v>
      </c>
      <c r="C3588" s="16" t="s">
        <v>6774</v>
      </c>
      <c r="D3588" s="16" t="s">
        <v>6792</v>
      </c>
      <c r="E3588" s="17" t="s">
        <v>547</v>
      </c>
      <c r="F3588" s="16" t="n">
        <v>32.7577874</v>
      </c>
      <c r="G3588" s="16" t="n">
        <v>45.17887993</v>
      </c>
      <c r="H3588" s="18" t="n">
        <v>31</v>
      </c>
      <c r="I3588" s="18" t="n">
        <v>186</v>
      </c>
      <c r="J3588" s="19" t="n">
        <v>10</v>
      </c>
      <c r="K3588" s="19"/>
      <c r="L3588" s="19"/>
      <c r="M3588" s="19"/>
      <c r="N3588" s="19"/>
      <c r="O3588" s="19"/>
      <c r="P3588" s="19"/>
      <c r="Q3588" s="19"/>
      <c r="R3588" s="19"/>
      <c r="S3588" s="19"/>
      <c r="T3588" s="19"/>
      <c r="U3588" s="19"/>
      <c r="V3588" s="19" t="n">
        <v>21</v>
      </c>
      <c r="W3588" s="19"/>
      <c r="X3588" s="19"/>
      <c r="Y3588" s="19"/>
      <c r="Z3588" s="19"/>
      <c r="AA3588" s="19"/>
      <c r="AB3588" s="19"/>
      <c r="AC3588" s="19"/>
      <c r="AD3588" s="19"/>
      <c r="AE3588" s="19"/>
      <c r="AF3588" s="19"/>
      <c r="AG3588" s="19"/>
      <c r="AH3588" s="19" t="n">
        <v>31</v>
      </c>
      <c r="AI3588" s="19"/>
      <c r="AJ3588" s="19"/>
      <c r="AK3588" s="19"/>
      <c r="AL3588" s="19"/>
      <c r="AM3588" s="19"/>
      <c r="AN3588" s="19" t="n">
        <v>21</v>
      </c>
      <c r="AO3588" s="19"/>
      <c r="AP3588" s="19" t="n">
        <v>10</v>
      </c>
      <c r="AQ3588" s="19"/>
      <c r="AR3588" s="19"/>
      <c r="AS3588" s="20" t="str">
        <f aca="false">HYPERLINK("http://www.openstreetmap.org/?mlat=32.7578&amp;mlon=45.1789&amp;zoom=12#map=12/32.7578/45.1789","Maplink1")</f>
        <v>Maplink1</v>
      </c>
      <c r="AT3588" s="20" t="str">
        <f aca="false">HYPERLINK("https://www.google.iq/maps/search/+32.7578,45.1789/@32.7578,45.1789,14z?hl=en","Maplink2")</f>
        <v>Maplink2</v>
      </c>
      <c r="AU3588" s="20" t="str">
        <f aca="false">HYPERLINK("http://www.bing.com/maps/?lvl=14&amp;sty=h&amp;cp=32.7578~45.1789&amp;sp=point.32.7578_45.1789","Maplink3")</f>
        <v>Maplink3</v>
      </c>
    </row>
    <row r="3589" customFormat="false" ht="15" hidden="false" customHeight="false" outlineLevel="0" collapsed="false">
      <c r="A3589" s="15" t="n">
        <v>19397</v>
      </c>
      <c r="B3589" s="16" t="s">
        <v>32</v>
      </c>
      <c r="C3589" s="16" t="s">
        <v>6774</v>
      </c>
      <c r="D3589" s="16" t="s">
        <v>6793</v>
      </c>
      <c r="E3589" s="17" t="s">
        <v>79</v>
      </c>
      <c r="F3589" s="16" t="n">
        <v>32.92636929</v>
      </c>
      <c r="G3589" s="16" t="n">
        <v>44.77476557</v>
      </c>
      <c r="H3589" s="18" t="n">
        <v>47</v>
      </c>
      <c r="I3589" s="18" t="n">
        <v>282</v>
      </c>
      <c r="J3589" s="19"/>
      <c r="K3589" s="19"/>
      <c r="L3589" s="19"/>
      <c r="M3589" s="19"/>
      <c r="N3589" s="19"/>
      <c r="O3589" s="19"/>
      <c r="P3589" s="19"/>
      <c r="Q3589" s="19"/>
      <c r="R3589" s="19"/>
      <c r="S3589" s="19"/>
      <c r="T3589" s="19"/>
      <c r="U3589" s="19"/>
      <c r="V3589" s="19" t="n">
        <v>47</v>
      </c>
      <c r="W3589" s="19"/>
      <c r="X3589" s="19"/>
      <c r="Y3589" s="19"/>
      <c r="Z3589" s="19"/>
      <c r="AA3589" s="19"/>
      <c r="AB3589" s="19"/>
      <c r="AC3589" s="19" t="n">
        <v>20</v>
      </c>
      <c r="AD3589" s="19"/>
      <c r="AE3589" s="19"/>
      <c r="AF3589" s="19"/>
      <c r="AG3589" s="19"/>
      <c r="AH3589" s="19" t="n">
        <v>27</v>
      </c>
      <c r="AI3589" s="19"/>
      <c r="AJ3589" s="19"/>
      <c r="AK3589" s="19"/>
      <c r="AL3589" s="19"/>
      <c r="AM3589" s="19" t="n">
        <v>47</v>
      </c>
      <c r="AN3589" s="19"/>
      <c r="AO3589" s="19"/>
      <c r="AP3589" s="19"/>
      <c r="AQ3589" s="19"/>
      <c r="AR3589" s="19"/>
      <c r="AS3589" s="20" t="str">
        <f aca="false">HYPERLINK("http://www.openstreetmap.org/?mlat=32.9264&amp;mlon=44.7748&amp;zoom=12#map=12/32.9264/44.7748","Maplink1")</f>
        <v>Maplink1</v>
      </c>
      <c r="AT3589" s="20" t="str">
        <f aca="false">HYPERLINK("https://www.google.iq/maps/search/+32.9264,44.7748/@32.9264,44.7748,14z?hl=en","Maplink2")</f>
        <v>Maplink2</v>
      </c>
      <c r="AU3589" s="20" t="str">
        <f aca="false">HYPERLINK("http://www.bing.com/maps/?lvl=14&amp;sty=h&amp;cp=32.9264~44.7748&amp;sp=point.32.9264_44.7748","Maplink3")</f>
        <v>Maplink3</v>
      </c>
    </row>
    <row r="3590" customFormat="false" ht="15" hidden="false" customHeight="false" outlineLevel="0" collapsed="false">
      <c r="A3590" s="15" t="n">
        <v>19402</v>
      </c>
      <c r="B3590" s="16" t="s">
        <v>32</v>
      </c>
      <c r="C3590" s="16" t="s">
        <v>6774</v>
      </c>
      <c r="D3590" s="16" t="s">
        <v>6794</v>
      </c>
      <c r="E3590" s="17" t="s">
        <v>4713</v>
      </c>
      <c r="F3590" s="16" t="n">
        <v>32.92626849</v>
      </c>
      <c r="G3590" s="16" t="n">
        <v>44.76997195</v>
      </c>
      <c r="H3590" s="18" t="n">
        <v>15</v>
      </c>
      <c r="I3590" s="18" t="n">
        <v>90</v>
      </c>
      <c r="J3590" s="19"/>
      <c r="K3590" s="19"/>
      <c r="L3590" s="19"/>
      <c r="M3590" s="19"/>
      <c r="N3590" s="19"/>
      <c r="O3590" s="19"/>
      <c r="P3590" s="19"/>
      <c r="Q3590" s="19"/>
      <c r="R3590" s="19"/>
      <c r="S3590" s="19"/>
      <c r="T3590" s="19"/>
      <c r="U3590" s="19"/>
      <c r="V3590" s="19" t="n">
        <v>15</v>
      </c>
      <c r="W3590" s="19"/>
      <c r="X3590" s="19"/>
      <c r="Y3590" s="19"/>
      <c r="Z3590" s="19"/>
      <c r="AA3590" s="19"/>
      <c r="AB3590" s="19"/>
      <c r="AC3590" s="19"/>
      <c r="AD3590" s="19"/>
      <c r="AE3590" s="19"/>
      <c r="AF3590" s="19"/>
      <c r="AG3590" s="19"/>
      <c r="AH3590" s="19" t="n">
        <v>15</v>
      </c>
      <c r="AI3590" s="19"/>
      <c r="AJ3590" s="19"/>
      <c r="AK3590" s="19"/>
      <c r="AL3590" s="19"/>
      <c r="AM3590" s="19" t="n">
        <v>15</v>
      </c>
      <c r="AN3590" s="19"/>
      <c r="AO3590" s="19"/>
      <c r="AP3590" s="19"/>
      <c r="AQ3590" s="19"/>
      <c r="AR3590" s="19"/>
      <c r="AS3590" s="20" t="str">
        <f aca="false">HYPERLINK("http://www.openstreetmap.org/?mlat=32.9263&amp;mlon=44.77&amp;zoom=12#map=12/32.9263/44.77","Maplink1")</f>
        <v>Maplink1</v>
      </c>
      <c r="AT3590" s="20" t="str">
        <f aca="false">HYPERLINK("https://www.google.iq/maps/search/+32.9263,44.77/@32.9263,44.77,14z?hl=en","Maplink2")</f>
        <v>Maplink2</v>
      </c>
      <c r="AU3590" s="20" t="str">
        <f aca="false">HYPERLINK("http://www.bing.com/maps/?lvl=14&amp;sty=h&amp;cp=32.9263~44.77&amp;sp=point.32.9263_44.77","Maplink3")</f>
        <v>Maplink3</v>
      </c>
    </row>
    <row r="3591" customFormat="false" ht="15" hidden="false" customHeight="false" outlineLevel="0" collapsed="false">
      <c r="A3591" s="15" t="n">
        <v>24155</v>
      </c>
      <c r="B3591" s="16" t="s">
        <v>32</v>
      </c>
      <c r="C3591" s="16" t="s">
        <v>6774</v>
      </c>
      <c r="D3591" s="16" t="s">
        <v>6795</v>
      </c>
      <c r="E3591" s="17" t="s">
        <v>2015</v>
      </c>
      <c r="F3591" s="16" t="n">
        <v>32.76390182</v>
      </c>
      <c r="G3591" s="16" t="n">
        <v>45.17193523</v>
      </c>
      <c r="H3591" s="18" t="n">
        <v>33</v>
      </c>
      <c r="I3591" s="18" t="n">
        <v>198</v>
      </c>
      <c r="J3591" s="19" t="n">
        <v>8</v>
      </c>
      <c r="K3591" s="19"/>
      <c r="L3591" s="19"/>
      <c r="M3591" s="19"/>
      <c r="N3591" s="19"/>
      <c r="O3591" s="19"/>
      <c r="P3591" s="19"/>
      <c r="Q3591" s="19"/>
      <c r="R3591" s="19"/>
      <c r="S3591" s="19"/>
      <c r="T3591" s="19"/>
      <c r="U3591" s="19"/>
      <c r="V3591" s="19" t="n">
        <v>25</v>
      </c>
      <c r="W3591" s="19"/>
      <c r="X3591" s="19"/>
      <c r="Y3591" s="19"/>
      <c r="Z3591" s="19"/>
      <c r="AA3591" s="19"/>
      <c r="AB3591" s="19"/>
      <c r="AC3591" s="19"/>
      <c r="AD3591" s="19"/>
      <c r="AE3591" s="19"/>
      <c r="AF3591" s="19"/>
      <c r="AG3591" s="19"/>
      <c r="AH3591" s="19" t="n">
        <v>33</v>
      </c>
      <c r="AI3591" s="19"/>
      <c r="AJ3591" s="19"/>
      <c r="AK3591" s="19"/>
      <c r="AL3591" s="19"/>
      <c r="AM3591" s="19" t="n">
        <v>25</v>
      </c>
      <c r="AN3591" s="19"/>
      <c r="AO3591" s="19"/>
      <c r="AP3591" s="19" t="n">
        <v>8</v>
      </c>
      <c r="AQ3591" s="19"/>
      <c r="AR3591" s="19"/>
      <c r="AS3591" s="20" t="str">
        <f aca="false">HYPERLINK("http://www.openstreetmap.org/?mlat=32.7639&amp;mlon=45.1719&amp;zoom=12#map=12/32.7639/45.1719","Maplink1")</f>
        <v>Maplink1</v>
      </c>
      <c r="AT3591" s="20" t="str">
        <f aca="false">HYPERLINK("https://www.google.iq/maps/search/+32.7639,45.1719/@32.7639,45.1719,14z?hl=en","Maplink2")</f>
        <v>Maplink2</v>
      </c>
      <c r="AU3591" s="20" t="str">
        <f aca="false">HYPERLINK("http://www.bing.com/maps/?lvl=14&amp;sty=h&amp;cp=32.7639~45.1719&amp;sp=point.32.7639_45.1719","Maplink3")</f>
        <v>Maplink3</v>
      </c>
    </row>
    <row r="3592" customFormat="false" ht="15" hidden="false" customHeight="false" outlineLevel="0" collapsed="false">
      <c r="A3592" s="15" t="n">
        <v>25387</v>
      </c>
      <c r="B3592" s="16" t="s">
        <v>32</v>
      </c>
      <c r="C3592" s="16" t="s">
        <v>6774</v>
      </c>
      <c r="D3592" s="16" t="s">
        <v>6796</v>
      </c>
      <c r="E3592" s="17" t="s">
        <v>4476</v>
      </c>
      <c r="F3592" s="16" t="n">
        <v>32.93026617</v>
      </c>
      <c r="G3592" s="16" t="n">
        <v>44.77365144</v>
      </c>
      <c r="H3592" s="18" t="n">
        <v>35</v>
      </c>
      <c r="I3592" s="18" t="n">
        <v>210</v>
      </c>
      <c r="J3592" s="19" t="n">
        <v>25</v>
      </c>
      <c r="K3592" s="19"/>
      <c r="L3592" s="19"/>
      <c r="M3592" s="19"/>
      <c r="N3592" s="19"/>
      <c r="O3592" s="19"/>
      <c r="P3592" s="19"/>
      <c r="Q3592" s="19"/>
      <c r="R3592" s="19"/>
      <c r="S3592" s="19"/>
      <c r="T3592" s="19"/>
      <c r="U3592" s="19"/>
      <c r="V3592" s="19"/>
      <c r="W3592" s="19"/>
      <c r="X3592" s="19" t="n">
        <v>10</v>
      </c>
      <c r="Y3592" s="19"/>
      <c r="Z3592" s="19"/>
      <c r="AA3592" s="19"/>
      <c r="AB3592" s="19"/>
      <c r="AC3592" s="19" t="n">
        <v>10</v>
      </c>
      <c r="AD3592" s="19"/>
      <c r="AE3592" s="19"/>
      <c r="AF3592" s="19"/>
      <c r="AG3592" s="19"/>
      <c r="AH3592" s="19" t="n">
        <v>25</v>
      </c>
      <c r="AI3592" s="19"/>
      <c r="AJ3592" s="19"/>
      <c r="AK3592" s="19"/>
      <c r="AL3592" s="19"/>
      <c r="AM3592" s="19"/>
      <c r="AN3592" s="19" t="n">
        <v>10</v>
      </c>
      <c r="AO3592" s="19"/>
      <c r="AP3592" s="19" t="n">
        <v>25</v>
      </c>
      <c r="AQ3592" s="19"/>
      <c r="AR3592" s="19"/>
      <c r="AS3592" s="20" t="str">
        <f aca="false">HYPERLINK("http://www.openstreetmap.org/?mlat=32.9303&amp;mlon=44.7737&amp;zoom=12#map=12/32.9303/44.7737","Maplink1")</f>
        <v>Maplink1</v>
      </c>
      <c r="AT3592" s="20" t="str">
        <f aca="false">HYPERLINK("https://www.google.iq/maps/search/+32.9303,44.7737/@32.9303,44.7737,14z?hl=en","Maplink2")</f>
        <v>Maplink2</v>
      </c>
      <c r="AU3592" s="20" t="str">
        <f aca="false">HYPERLINK("http://www.bing.com/maps/?lvl=14&amp;sty=h&amp;cp=32.9303~44.7737&amp;sp=point.32.9303_44.7737","Maplink3")</f>
        <v>Maplink3</v>
      </c>
    </row>
    <row r="3593" customFormat="false" ht="15" hidden="false" customHeight="false" outlineLevel="0" collapsed="false">
      <c r="A3593" s="15" t="n">
        <v>25386</v>
      </c>
      <c r="B3593" s="16" t="s">
        <v>32</v>
      </c>
      <c r="C3593" s="16" t="s">
        <v>6774</v>
      </c>
      <c r="D3593" s="16" t="s">
        <v>6797</v>
      </c>
      <c r="E3593" s="17" t="s">
        <v>6798</v>
      </c>
      <c r="F3593" s="16" t="n">
        <v>32.92722215</v>
      </c>
      <c r="G3593" s="16" t="n">
        <v>44.76872607</v>
      </c>
      <c r="H3593" s="18" t="n">
        <v>25</v>
      </c>
      <c r="I3593" s="18" t="n">
        <v>150</v>
      </c>
      <c r="J3593" s="19" t="n">
        <v>25</v>
      </c>
      <c r="K3593" s="19"/>
      <c r="L3593" s="19"/>
      <c r="M3593" s="19"/>
      <c r="N3593" s="19"/>
      <c r="O3593" s="19"/>
      <c r="P3593" s="19"/>
      <c r="Q3593" s="19"/>
      <c r="R3593" s="19"/>
      <c r="S3593" s="19"/>
      <c r="T3593" s="19"/>
      <c r="U3593" s="19"/>
      <c r="V3593" s="19"/>
      <c r="W3593" s="19"/>
      <c r="X3593" s="19"/>
      <c r="Y3593" s="19"/>
      <c r="Z3593" s="19"/>
      <c r="AA3593" s="19"/>
      <c r="AB3593" s="19"/>
      <c r="AC3593" s="19" t="n">
        <v>7</v>
      </c>
      <c r="AD3593" s="19"/>
      <c r="AE3593" s="19"/>
      <c r="AF3593" s="19"/>
      <c r="AG3593" s="19"/>
      <c r="AH3593" s="19" t="n">
        <v>18</v>
      </c>
      <c r="AI3593" s="19"/>
      <c r="AJ3593" s="19"/>
      <c r="AK3593" s="19"/>
      <c r="AL3593" s="19"/>
      <c r="AM3593" s="19"/>
      <c r="AN3593" s="19" t="n">
        <v>5</v>
      </c>
      <c r="AO3593" s="19"/>
      <c r="AP3593" s="19" t="n">
        <v>20</v>
      </c>
      <c r="AQ3593" s="19"/>
      <c r="AR3593" s="19"/>
      <c r="AS3593" s="20" t="str">
        <f aca="false">HYPERLINK("http://www.openstreetmap.org/?mlat=32.9272&amp;mlon=44.7687&amp;zoom=12#map=12/32.9272/44.7687","Maplink1")</f>
        <v>Maplink1</v>
      </c>
      <c r="AT3593" s="20" t="str">
        <f aca="false">HYPERLINK("https://www.google.iq/maps/search/+32.9272,44.7687/@32.9272,44.7687,14z?hl=en","Maplink2")</f>
        <v>Maplink2</v>
      </c>
      <c r="AU3593" s="20" t="str">
        <f aca="false">HYPERLINK("http://www.bing.com/maps/?lvl=14&amp;sty=h&amp;cp=32.9272~44.7687&amp;sp=point.32.9272_44.7687","Maplink3")</f>
        <v>Maplink3</v>
      </c>
    </row>
    <row r="3594" customFormat="false" ht="15" hidden="false" customHeight="false" outlineLevel="0" collapsed="false">
      <c r="A3594" s="15" t="n">
        <v>25110</v>
      </c>
      <c r="B3594" s="16" t="s">
        <v>32</v>
      </c>
      <c r="C3594" s="16" t="s">
        <v>6774</v>
      </c>
      <c r="D3594" s="16" t="s">
        <v>729</v>
      </c>
      <c r="E3594" s="17" t="s">
        <v>2027</v>
      </c>
      <c r="F3594" s="16" t="n">
        <v>32.75898806</v>
      </c>
      <c r="G3594" s="16" t="n">
        <v>45.16903243</v>
      </c>
      <c r="H3594" s="18" t="n">
        <v>22</v>
      </c>
      <c r="I3594" s="18" t="n">
        <v>132</v>
      </c>
      <c r="J3594" s="19"/>
      <c r="K3594" s="19"/>
      <c r="L3594" s="19"/>
      <c r="M3594" s="19"/>
      <c r="N3594" s="19"/>
      <c r="O3594" s="19"/>
      <c r="P3594" s="19"/>
      <c r="Q3594" s="19"/>
      <c r="R3594" s="19"/>
      <c r="S3594" s="19"/>
      <c r="T3594" s="19"/>
      <c r="U3594" s="19"/>
      <c r="V3594" s="19" t="n">
        <v>22</v>
      </c>
      <c r="W3594" s="19"/>
      <c r="X3594" s="19"/>
      <c r="Y3594" s="19"/>
      <c r="Z3594" s="19"/>
      <c r="AA3594" s="19"/>
      <c r="AB3594" s="19"/>
      <c r="AC3594" s="19" t="n">
        <v>22</v>
      </c>
      <c r="AD3594" s="19"/>
      <c r="AE3594" s="19"/>
      <c r="AF3594" s="19"/>
      <c r="AG3594" s="19"/>
      <c r="AH3594" s="19"/>
      <c r="AI3594" s="19"/>
      <c r="AJ3594" s="19"/>
      <c r="AK3594" s="19"/>
      <c r="AL3594" s="19"/>
      <c r="AM3594" s="19" t="n">
        <v>22</v>
      </c>
      <c r="AN3594" s="19"/>
      <c r="AO3594" s="19"/>
      <c r="AP3594" s="19"/>
      <c r="AQ3594" s="19"/>
      <c r="AR3594" s="19"/>
      <c r="AS3594" s="20" t="str">
        <f aca="false">HYPERLINK("http://www.openstreetmap.org/?mlat=32.759&amp;mlon=45.169&amp;zoom=12#map=12/32.759/45.169","Maplink1")</f>
        <v>Maplink1</v>
      </c>
      <c r="AT3594" s="20" t="str">
        <f aca="false">HYPERLINK("https://www.google.iq/maps/search/+32.759,45.169/@32.759,45.169,14z?hl=en","Maplink2")</f>
        <v>Maplink2</v>
      </c>
      <c r="AU3594" s="20" t="str">
        <f aca="false">HYPERLINK("http://www.bing.com/maps/?lvl=14&amp;sty=h&amp;cp=32.759~45.169&amp;sp=point.32.759_45.169","Maplink3")</f>
        <v>Maplink3</v>
      </c>
    </row>
    <row r="3595" customFormat="false" ht="15" hidden="false" customHeight="false" outlineLevel="0" collapsed="false">
      <c r="A3595" s="15" t="n">
        <v>25111</v>
      </c>
      <c r="B3595" s="16" t="s">
        <v>32</v>
      </c>
      <c r="C3595" s="16" t="s">
        <v>6774</v>
      </c>
      <c r="D3595" s="16" t="s">
        <v>6799</v>
      </c>
      <c r="E3595" s="17" t="s">
        <v>6800</v>
      </c>
      <c r="F3595" s="16" t="n">
        <v>32.7636428766</v>
      </c>
      <c r="G3595" s="16" t="n">
        <v>45.1745730675</v>
      </c>
      <c r="H3595" s="18" t="n">
        <v>47</v>
      </c>
      <c r="I3595" s="18" t="n">
        <v>282</v>
      </c>
      <c r="J3595" s="19" t="n">
        <v>10</v>
      </c>
      <c r="K3595" s="19"/>
      <c r="L3595" s="19"/>
      <c r="M3595" s="19"/>
      <c r="N3595" s="19"/>
      <c r="O3595" s="19"/>
      <c r="P3595" s="19"/>
      <c r="Q3595" s="19"/>
      <c r="R3595" s="19"/>
      <c r="S3595" s="19"/>
      <c r="T3595" s="19"/>
      <c r="U3595" s="19"/>
      <c r="V3595" s="19" t="n">
        <v>37</v>
      </c>
      <c r="W3595" s="19"/>
      <c r="X3595" s="19"/>
      <c r="Y3595" s="19"/>
      <c r="Z3595" s="19"/>
      <c r="AA3595" s="19"/>
      <c r="AB3595" s="19"/>
      <c r="AC3595" s="19"/>
      <c r="AD3595" s="19"/>
      <c r="AE3595" s="19"/>
      <c r="AF3595" s="19"/>
      <c r="AG3595" s="19" t="n">
        <v>4</v>
      </c>
      <c r="AH3595" s="19" t="n">
        <v>43</v>
      </c>
      <c r="AI3595" s="19"/>
      <c r="AJ3595" s="19"/>
      <c r="AK3595" s="19"/>
      <c r="AL3595" s="19"/>
      <c r="AM3595" s="19" t="n">
        <v>34</v>
      </c>
      <c r="AN3595" s="19"/>
      <c r="AO3595" s="19"/>
      <c r="AP3595" s="19" t="n">
        <v>13</v>
      </c>
      <c r="AQ3595" s="19"/>
      <c r="AR3595" s="19"/>
      <c r="AS3595" s="20" t="str">
        <f aca="false">HYPERLINK("http://www.openstreetmap.org/?mlat=32.7636&amp;mlon=45.1746&amp;zoom=12#map=12/32.7636/45.1746","Maplink1")</f>
        <v>Maplink1</v>
      </c>
      <c r="AT3595" s="20" t="str">
        <f aca="false">HYPERLINK("https://www.google.iq/maps/search/+32.7636,45.1746/@32.7636,45.1746,14z?hl=en","Maplink2")</f>
        <v>Maplink2</v>
      </c>
      <c r="AU3595" s="20" t="str">
        <f aca="false">HYPERLINK("http://www.bing.com/maps/?lvl=14&amp;sty=h&amp;cp=32.7636~45.1746&amp;sp=point.32.7636_45.1746","Maplink3")</f>
        <v>Maplink3</v>
      </c>
    </row>
    <row r="3596" customFormat="false" ht="15" hidden="false" customHeight="false" outlineLevel="0" collapsed="false">
      <c r="A3596" s="15" t="n">
        <v>25316</v>
      </c>
      <c r="B3596" s="16" t="s">
        <v>32</v>
      </c>
      <c r="C3596" s="16" t="s">
        <v>6801</v>
      </c>
      <c r="D3596" s="16" t="s">
        <v>6802</v>
      </c>
      <c r="E3596" s="17" t="s">
        <v>6803</v>
      </c>
      <c r="F3596" s="16" t="n">
        <v>33.11356624</v>
      </c>
      <c r="G3596" s="16" t="n">
        <v>45.94722121</v>
      </c>
      <c r="H3596" s="18" t="n">
        <v>19</v>
      </c>
      <c r="I3596" s="18" t="n">
        <v>114</v>
      </c>
      <c r="J3596" s="19"/>
      <c r="K3596" s="19"/>
      <c r="L3596" s="19"/>
      <c r="M3596" s="19"/>
      <c r="N3596" s="19"/>
      <c r="O3596" s="19"/>
      <c r="P3596" s="19"/>
      <c r="Q3596" s="19"/>
      <c r="R3596" s="19"/>
      <c r="S3596" s="19"/>
      <c r="T3596" s="19"/>
      <c r="U3596" s="19"/>
      <c r="V3596" s="19" t="n">
        <v>19</v>
      </c>
      <c r="W3596" s="19"/>
      <c r="X3596" s="19"/>
      <c r="Y3596" s="19"/>
      <c r="Z3596" s="19"/>
      <c r="AA3596" s="19"/>
      <c r="AB3596" s="19"/>
      <c r="AC3596" s="19" t="n">
        <v>19</v>
      </c>
      <c r="AD3596" s="19"/>
      <c r="AE3596" s="19"/>
      <c r="AF3596" s="19"/>
      <c r="AG3596" s="19"/>
      <c r="AH3596" s="19"/>
      <c r="AI3596" s="19"/>
      <c r="AJ3596" s="19"/>
      <c r="AK3596" s="19"/>
      <c r="AL3596" s="19"/>
      <c r="AM3596" s="19" t="n">
        <v>19</v>
      </c>
      <c r="AN3596" s="19"/>
      <c r="AO3596" s="19"/>
      <c r="AP3596" s="19"/>
      <c r="AQ3596" s="19"/>
      <c r="AR3596" s="19"/>
      <c r="AS3596" s="20" t="str">
        <f aca="false">HYPERLINK("http://www.openstreetmap.org/?mlat=33.1136&amp;mlon=45.9472&amp;zoom=12#map=12/33.1136/45.9472","Maplink1")</f>
        <v>Maplink1</v>
      </c>
      <c r="AT3596" s="20" t="str">
        <f aca="false">HYPERLINK("https://www.google.iq/maps/search/+33.1136,45.9472/@33.1136,45.9472,14z?hl=en","Maplink2")</f>
        <v>Maplink2</v>
      </c>
      <c r="AU3596" s="20" t="str">
        <f aca="false">HYPERLINK("http://www.bing.com/maps/?lvl=14&amp;sty=h&amp;cp=33.1136~45.9472&amp;sp=point.33.1136_45.9472","Maplink3")</f>
        <v>Maplink3</v>
      </c>
    </row>
    <row r="3597" customFormat="false" ht="15" hidden="false" customHeight="false" outlineLevel="0" collapsed="false">
      <c r="A3597" s="15" t="n">
        <v>25315</v>
      </c>
      <c r="B3597" s="16" t="s">
        <v>32</v>
      </c>
      <c r="C3597" s="16" t="s">
        <v>6801</v>
      </c>
      <c r="D3597" s="16" t="s">
        <v>6804</v>
      </c>
      <c r="E3597" s="17" t="s">
        <v>6805</v>
      </c>
      <c r="F3597" s="16" t="n">
        <v>33.11203789</v>
      </c>
      <c r="G3597" s="16" t="n">
        <v>45.94657083</v>
      </c>
      <c r="H3597" s="18" t="n">
        <v>6</v>
      </c>
      <c r="I3597" s="18" t="n">
        <v>36</v>
      </c>
      <c r="J3597" s="19"/>
      <c r="K3597" s="19"/>
      <c r="L3597" s="19"/>
      <c r="M3597" s="19"/>
      <c r="N3597" s="19"/>
      <c r="O3597" s="19"/>
      <c r="P3597" s="19"/>
      <c r="Q3597" s="19"/>
      <c r="R3597" s="19"/>
      <c r="S3597" s="19"/>
      <c r="T3597" s="19"/>
      <c r="U3597" s="19"/>
      <c r="V3597" s="19" t="n">
        <v>6</v>
      </c>
      <c r="W3597" s="19"/>
      <c r="X3597" s="19"/>
      <c r="Y3597" s="19"/>
      <c r="Z3597" s="19"/>
      <c r="AA3597" s="19"/>
      <c r="AB3597" s="19"/>
      <c r="AC3597" s="19" t="n">
        <v>6</v>
      </c>
      <c r="AD3597" s="19"/>
      <c r="AE3597" s="19"/>
      <c r="AF3597" s="19"/>
      <c r="AG3597" s="19"/>
      <c r="AH3597" s="19"/>
      <c r="AI3597" s="19"/>
      <c r="AJ3597" s="19"/>
      <c r="AK3597" s="19"/>
      <c r="AL3597" s="19"/>
      <c r="AM3597" s="19" t="n">
        <v>6</v>
      </c>
      <c r="AN3597" s="19"/>
      <c r="AO3597" s="19"/>
      <c r="AP3597" s="19"/>
      <c r="AQ3597" s="19"/>
      <c r="AR3597" s="19"/>
      <c r="AS3597" s="20" t="str">
        <f aca="false">HYPERLINK("http://www.openstreetmap.org/?mlat=33.112&amp;mlon=45.9466&amp;zoom=12#map=12/33.112/45.9466","Maplink1")</f>
        <v>Maplink1</v>
      </c>
      <c r="AT3597" s="20" t="str">
        <f aca="false">HYPERLINK("https://www.google.iq/maps/search/+33.112,45.9466/@33.112,45.9466,14z?hl=en","Maplink2")</f>
        <v>Maplink2</v>
      </c>
      <c r="AU3597" s="20" t="str">
        <f aca="false">HYPERLINK("http://www.bing.com/maps/?lvl=14&amp;sty=h&amp;cp=33.112~45.9466&amp;sp=point.33.112_45.9466","Maplink3")</f>
        <v>Maplink3</v>
      </c>
    </row>
    <row r="3598" customFormat="false" ht="15" hidden="false" customHeight="false" outlineLevel="0" collapsed="false">
      <c r="A3598" s="15" t="n">
        <v>19492</v>
      </c>
      <c r="B3598" s="16" t="s">
        <v>32</v>
      </c>
      <c r="C3598" s="16" t="s">
        <v>6801</v>
      </c>
      <c r="D3598" s="16" t="s">
        <v>6806</v>
      </c>
      <c r="E3598" s="17" t="s">
        <v>6807</v>
      </c>
      <c r="F3598" s="16" t="n">
        <v>33.09655107</v>
      </c>
      <c r="G3598" s="16" t="n">
        <v>45.95887874</v>
      </c>
      <c r="H3598" s="18" t="n">
        <v>8</v>
      </c>
      <c r="I3598" s="18" t="n">
        <v>48</v>
      </c>
      <c r="J3598" s="19"/>
      <c r="K3598" s="19"/>
      <c r="L3598" s="19"/>
      <c r="M3598" s="19"/>
      <c r="N3598" s="19"/>
      <c r="O3598" s="19"/>
      <c r="P3598" s="19"/>
      <c r="Q3598" s="19"/>
      <c r="R3598" s="19"/>
      <c r="S3598" s="19"/>
      <c r="T3598" s="19"/>
      <c r="U3598" s="19"/>
      <c r="V3598" s="19" t="n">
        <v>8</v>
      </c>
      <c r="W3598" s="19"/>
      <c r="X3598" s="19"/>
      <c r="Y3598" s="19"/>
      <c r="Z3598" s="19"/>
      <c r="AA3598" s="19"/>
      <c r="AB3598" s="19"/>
      <c r="AC3598" s="19"/>
      <c r="AD3598" s="19"/>
      <c r="AE3598" s="19"/>
      <c r="AF3598" s="19"/>
      <c r="AG3598" s="19" t="n">
        <v>8</v>
      </c>
      <c r="AH3598" s="19"/>
      <c r="AI3598" s="19"/>
      <c r="AJ3598" s="19"/>
      <c r="AK3598" s="19"/>
      <c r="AL3598" s="19"/>
      <c r="AM3598" s="19" t="n">
        <v>8</v>
      </c>
      <c r="AN3598" s="19"/>
      <c r="AO3598" s="19"/>
      <c r="AP3598" s="19"/>
      <c r="AQ3598" s="19"/>
      <c r="AR3598" s="19"/>
      <c r="AS3598" s="20" t="str">
        <f aca="false">HYPERLINK("http://www.openstreetmap.org/?mlat=33.0966&amp;mlon=45.9589&amp;zoom=12#map=12/33.0966/45.9589","Maplink1")</f>
        <v>Maplink1</v>
      </c>
      <c r="AT3598" s="20" t="str">
        <f aca="false">HYPERLINK("https://www.google.iq/maps/search/+33.0966,45.9589/@33.0966,45.9589,14z?hl=en","Maplink2")</f>
        <v>Maplink2</v>
      </c>
      <c r="AU3598" s="20" t="str">
        <f aca="false">HYPERLINK("http://www.bing.com/maps/?lvl=14&amp;sty=h&amp;cp=33.0966~45.9589&amp;sp=point.33.0966_45.9589","Maplink3")</f>
        <v>Maplink3</v>
      </c>
    </row>
    <row r="3599" customFormat="false" ht="15" hidden="false" customHeight="false" outlineLevel="0" collapsed="false">
      <c r="A3599" s="15" t="n">
        <v>18459</v>
      </c>
      <c r="B3599" s="16" t="s">
        <v>32</v>
      </c>
      <c r="C3599" s="16" t="s">
        <v>6801</v>
      </c>
      <c r="D3599" s="16" t="s">
        <v>6808</v>
      </c>
      <c r="E3599" s="17" t="s">
        <v>6809</v>
      </c>
      <c r="F3599" s="16" t="n">
        <v>33.11781488</v>
      </c>
      <c r="G3599" s="16" t="n">
        <v>45.94021198</v>
      </c>
      <c r="H3599" s="18" t="n">
        <v>3</v>
      </c>
      <c r="I3599" s="18" t="n">
        <v>18</v>
      </c>
      <c r="J3599" s="19"/>
      <c r="K3599" s="19"/>
      <c r="L3599" s="19"/>
      <c r="M3599" s="19"/>
      <c r="N3599" s="19"/>
      <c r="O3599" s="19"/>
      <c r="P3599" s="19"/>
      <c r="Q3599" s="19"/>
      <c r="R3599" s="19"/>
      <c r="S3599" s="19"/>
      <c r="T3599" s="19"/>
      <c r="U3599" s="19"/>
      <c r="V3599" s="19" t="n">
        <v>3</v>
      </c>
      <c r="W3599" s="19"/>
      <c r="X3599" s="19"/>
      <c r="Y3599" s="19"/>
      <c r="Z3599" s="19"/>
      <c r="AA3599" s="19"/>
      <c r="AB3599" s="19"/>
      <c r="AC3599" s="19"/>
      <c r="AD3599" s="19"/>
      <c r="AE3599" s="19"/>
      <c r="AF3599" s="19"/>
      <c r="AG3599" s="19"/>
      <c r="AH3599" s="19" t="n">
        <v>3</v>
      </c>
      <c r="AI3599" s="19"/>
      <c r="AJ3599" s="19"/>
      <c r="AK3599" s="19"/>
      <c r="AL3599" s="19"/>
      <c r="AM3599" s="19" t="n">
        <v>3</v>
      </c>
      <c r="AN3599" s="19"/>
      <c r="AO3599" s="19"/>
      <c r="AP3599" s="19"/>
      <c r="AQ3599" s="19"/>
      <c r="AR3599" s="19"/>
      <c r="AS3599" s="20" t="str">
        <f aca="false">HYPERLINK("http://www.openstreetmap.org/?mlat=33.1178&amp;mlon=45.9402&amp;zoom=12#map=12/33.1178/45.9402","Maplink1")</f>
        <v>Maplink1</v>
      </c>
      <c r="AT3599" s="20" t="str">
        <f aca="false">HYPERLINK("https://www.google.iq/maps/search/+33.1178,45.9402/@33.1178,45.9402,14z?hl=en","Maplink2")</f>
        <v>Maplink2</v>
      </c>
      <c r="AU3599" s="20" t="str">
        <f aca="false">HYPERLINK("http://www.bing.com/maps/?lvl=14&amp;sty=h&amp;cp=33.1178~45.9402&amp;sp=point.33.1178_45.9402","Maplink3")</f>
        <v>Maplink3</v>
      </c>
    </row>
    <row r="3600" customFormat="false" ht="15" hidden="false" customHeight="false" outlineLevel="0" collapsed="false">
      <c r="A3600" s="15" t="n">
        <v>25313</v>
      </c>
      <c r="B3600" s="16" t="s">
        <v>32</v>
      </c>
      <c r="C3600" s="16" t="s">
        <v>6801</v>
      </c>
      <c r="D3600" s="16" t="s">
        <v>4094</v>
      </c>
      <c r="E3600" s="17" t="s">
        <v>442</v>
      </c>
      <c r="F3600" s="16" t="n">
        <v>33.11637589</v>
      </c>
      <c r="G3600" s="16" t="n">
        <v>45.93234432</v>
      </c>
      <c r="H3600" s="18" t="n">
        <v>8</v>
      </c>
      <c r="I3600" s="18" t="n">
        <v>48</v>
      </c>
      <c r="J3600" s="19"/>
      <c r="K3600" s="19"/>
      <c r="L3600" s="19"/>
      <c r="M3600" s="19"/>
      <c r="N3600" s="19"/>
      <c r="O3600" s="19"/>
      <c r="P3600" s="19"/>
      <c r="Q3600" s="19"/>
      <c r="R3600" s="19"/>
      <c r="S3600" s="19"/>
      <c r="T3600" s="19"/>
      <c r="U3600" s="19"/>
      <c r="V3600" s="19" t="n">
        <v>8</v>
      </c>
      <c r="W3600" s="19"/>
      <c r="X3600" s="19"/>
      <c r="Y3600" s="19"/>
      <c r="Z3600" s="19"/>
      <c r="AA3600" s="19"/>
      <c r="AB3600" s="19"/>
      <c r="AC3600" s="19"/>
      <c r="AD3600" s="19"/>
      <c r="AE3600" s="19"/>
      <c r="AF3600" s="19"/>
      <c r="AG3600" s="19"/>
      <c r="AH3600" s="19" t="n">
        <v>8</v>
      </c>
      <c r="AI3600" s="19"/>
      <c r="AJ3600" s="19"/>
      <c r="AK3600" s="19"/>
      <c r="AL3600" s="19"/>
      <c r="AM3600" s="19"/>
      <c r="AN3600" s="19" t="n">
        <v>8</v>
      </c>
      <c r="AO3600" s="19"/>
      <c r="AP3600" s="19"/>
      <c r="AQ3600" s="19"/>
      <c r="AR3600" s="19"/>
      <c r="AS3600" s="20" t="str">
        <f aca="false">HYPERLINK("http://www.openstreetmap.org/?mlat=33.1164&amp;mlon=45.9323&amp;zoom=12#map=12/33.1164/45.9323","Maplink1")</f>
        <v>Maplink1</v>
      </c>
      <c r="AT3600" s="20" t="str">
        <f aca="false">HYPERLINK("https://www.google.iq/maps/search/+33.1164,45.9323/@33.1164,45.9323,14z?hl=en","Maplink2")</f>
        <v>Maplink2</v>
      </c>
      <c r="AU3600" s="20" t="str">
        <f aca="false">HYPERLINK("http://www.bing.com/maps/?lvl=14&amp;sty=h&amp;cp=33.1164~45.9323&amp;sp=point.33.1164_45.9323","Maplink3")</f>
        <v>Maplink3</v>
      </c>
    </row>
    <row r="3601" customFormat="false" ht="15" hidden="false" customHeight="false" outlineLevel="0" collapsed="false">
      <c r="A3601" s="15" t="n">
        <v>25314</v>
      </c>
      <c r="B3601" s="16" t="s">
        <v>32</v>
      </c>
      <c r="C3601" s="16" t="s">
        <v>6801</v>
      </c>
      <c r="D3601" s="16" t="s">
        <v>729</v>
      </c>
      <c r="E3601" s="17" t="s">
        <v>2027</v>
      </c>
      <c r="F3601" s="16" t="n">
        <v>33.11453119</v>
      </c>
      <c r="G3601" s="16" t="n">
        <v>45.93516874</v>
      </c>
      <c r="H3601" s="18" t="n">
        <v>13</v>
      </c>
      <c r="I3601" s="18" t="n">
        <v>78</v>
      </c>
      <c r="J3601" s="19"/>
      <c r="K3601" s="19"/>
      <c r="L3601" s="19"/>
      <c r="M3601" s="19"/>
      <c r="N3601" s="19"/>
      <c r="O3601" s="19"/>
      <c r="P3601" s="19"/>
      <c r="Q3601" s="19"/>
      <c r="R3601" s="19"/>
      <c r="S3601" s="19"/>
      <c r="T3601" s="19"/>
      <c r="U3601" s="19"/>
      <c r="V3601" s="19" t="n">
        <v>13</v>
      </c>
      <c r="W3601" s="19"/>
      <c r="X3601" s="19"/>
      <c r="Y3601" s="19"/>
      <c r="Z3601" s="19"/>
      <c r="AA3601" s="19"/>
      <c r="AB3601" s="19"/>
      <c r="AC3601" s="19"/>
      <c r="AD3601" s="19"/>
      <c r="AE3601" s="19"/>
      <c r="AF3601" s="19"/>
      <c r="AG3601" s="19"/>
      <c r="AH3601" s="19"/>
      <c r="AI3601" s="19"/>
      <c r="AJ3601" s="19" t="n">
        <v>13</v>
      </c>
      <c r="AK3601" s="19"/>
      <c r="AL3601" s="19"/>
      <c r="AM3601" s="19" t="n">
        <v>13</v>
      </c>
      <c r="AN3601" s="19"/>
      <c r="AO3601" s="19"/>
      <c r="AP3601" s="19"/>
      <c r="AQ3601" s="19"/>
      <c r="AR3601" s="19"/>
      <c r="AS3601" s="20" t="str">
        <f aca="false">HYPERLINK("http://www.openstreetmap.org/?mlat=33.1145&amp;mlon=45.9352&amp;zoom=12#map=12/33.1145/45.9352","Maplink1")</f>
        <v>Maplink1</v>
      </c>
      <c r="AT3601" s="20" t="str">
        <f aca="false">HYPERLINK("https://www.google.iq/maps/search/+33.1145,45.9352/@33.1145,45.9352,14z?hl=en","Maplink2")</f>
        <v>Maplink2</v>
      </c>
      <c r="AU3601" s="20" t="str">
        <f aca="false">HYPERLINK("http://www.bing.com/maps/?lvl=14&amp;sty=h&amp;cp=33.1145~45.9352&amp;sp=point.33.1145_45.9352","Maplink3")</f>
        <v>Maplink3</v>
      </c>
    </row>
    <row r="3602" customFormat="false" ht="15" hidden="false" customHeight="false" outlineLevel="0" collapsed="false">
      <c r="A3602" s="15" t="n">
        <v>18438</v>
      </c>
      <c r="B3602" s="16" t="s">
        <v>32</v>
      </c>
      <c r="C3602" s="16" t="s">
        <v>6801</v>
      </c>
      <c r="D3602" s="16" t="s">
        <v>6810</v>
      </c>
      <c r="E3602" s="17" t="s">
        <v>6811</v>
      </c>
      <c r="F3602" s="16" t="n">
        <v>32.96819127</v>
      </c>
      <c r="G3602" s="16" t="n">
        <v>45.86825497</v>
      </c>
      <c r="H3602" s="18" t="n">
        <v>23</v>
      </c>
      <c r="I3602" s="18" t="n">
        <v>138</v>
      </c>
      <c r="J3602" s="19"/>
      <c r="K3602" s="19"/>
      <c r="L3602" s="19"/>
      <c r="M3602" s="19"/>
      <c r="N3602" s="19"/>
      <c r="O3602" s="19"/>
      <c r="P3602" s="19"/>
      <c r="Q3602" s="19"/>
      <c r="R3602" s="19"/>
      <c r="S3602" s="19"/>
      <c r="T3602" s="19"/>
      <c r="U3602" s="19"/>
      <c r="V3602" s="19" t="n">
        <v>23</v>
      </c>
      <c r="W3602" s="19"/>
      <c r="X3602" s="19"/>
      <c r="Y3602" s="19"/>
      <c r="Z3602" s="19"/>
      <c r="AA3602" s="19"/>
      <c r="AB3602" s="19"/>
      <c r="AC3602" s="19" t="n">
        <v>11</v>
      </c>
      <c r="AD3602" s="19"/>
      <c r="AE3602" s="19"/>
      <c r="AF3602" s="19"/>
      <c r="AG3602" s="19" t="n">
        <v>6</v>
      </c>
      <c r="AH3602" s="19" t="n">
        <v>6</v>
      </c>
      <c r="AI3602" s="19"/>
      <c r="AJ3602" s="19"/>
      <c r="AK3602" s="19"/>
      <c r="AL3602" s="19"/>
      <c r="AM3602" s="19" t="n">
        <v>23</v>
      </c>
      <c r="AN3602" s="19"/>
      <c r="AO3602" s="19"/>
      <c r="AP3602" s="19"/>
      <c r="AQ3602" s="19"/>
      <c r="AR3602" s="19"/>
      <c r="AS3602" s="20" t="str">
        <f aca="false">HYPERLINK("http://www.openstreetmap.org/?mlat=32.9682&amp;mlon=45.8683&amp;zoom=12#map=12/32.9682/45.8683","Maplink1")</f>
        <v>Maplink1</v>
      </c>
      <c r="AT3602" s="20" t="str">
        <f aca="false">HYPERLINK("https://www.google.iq/maps/search/+32.9682,45.8683/@32.9682,45.8683,14z?hl=en","Maplink2")</f>
        <v>Maplink2</v>
      </c>
      <c r="AU3602" s="20" t="str">
        <f aca="false">HYPERLINK("http://www.bing.com/maps/?lvl=14&amp;sty=h&amp;cp=32.9682~45.8683&amp;sp=point.32.9682_45.8683","Maplink3")</f>
        <v>Maplink3</v>
      </c>
    </row>
    <row r="3603" customFormat="false" ht="15" hidden="false" customHeight="false" outlineLevel="0" collapsed="false">
      <c r="A3603" s="15" t="n">
        <v>19548</v>
      </c>
      <c r="B3603" s="16" t="s">
        <v>32</v>
      </c>
      <c r="C3603" s="16" t="s">
        <v>6812</v>
      </c>
      <c r="D3603" s="16" t="s">
        <v>6813</v>
      </c>
      <c r="E3603" s="17" t="s">
        <v>6814</v>
      </c>
      <c r="F3603" s="16" t="n">
        <v>32.56400672</v>
      </c>
      <c r="G3603" s="16" t="n">
        <v>45.65935747</v>
      </c>
      <c r="H3603" s="18" t="n">
        <v>14</v>
      </c>
      <c r="I3603" s="18" t="n">
        <v>84</v>
      </c>
      <c r="J3603" s="19"/>
      <c r="K3603" s="19"/>
      <c r="L3603" s="19"/>
      <c r="M3603" s="19"/>
      <c r="N3603" s="19"/>
      <c r="O3603" s="19"/>
      <c r="P3603" s="19"/>
      <c r="Q3603" s="19"/>
      <c r="R3603" s="19"/>
      <c r="S3603" s="19"/>
      <c r="T3603" s="19"/>
      <c r="U3603" s="19"/>
      <c r="V3603" s="19" t="n">
        <v>14</v>
      </c>
      <c r="W3603" s="19"/>
      <c r="X3603" s="19"/>
      <c r="Y3603" s="19"/>
      <c r="Z3603" s="19"/>
      <c r="AA3603" s="19"/>
      <c r="AB3603" s="19"/>
      <c r="AC3603" s="19"/>
      <c r="AD3603" s="19"/>
      <c r="AE3603" s="19"/>
      <c r="AF3603" s="19"/>
      <c r="AG3603" s="19"/>
      <c r="AH3603" s="19" t="n">
        <v>14</v>
      </c>
      <c r="AI3603" s="19"/>
      <c r="AJ3603" s="19"/>
      <c r="AK3603" s="19"/>
      <c r="AL3603" s="19"/>
      <c r="AM3603" s="19" t="n">
        <v>14</v>
      </c>
      <c r="AN3603" s="19"/>
      <c r="AO3603" s="19"/>
      <c r="AP3603" s="19"/>
      <c r="AQ3603" s="19"/>
      <c r="AR3603" s="19"/>
      <c r="AS3603" s="20" t="str">
        <f aca="false">HYPERLINK("http://www.openstreetmap.org/?mlat=32.564&amp;mlon=45.6594&amp;zoom=12#map=12/32.564/45.6594","Maplink1")</f>
        <v>Maplink1</v>
      </c>
      <c r="AT3603" s="20" t="str">
        <f aca="false">HYPERLINK("https://www.google.iq/maps/search/+32.564,45.6594/@32.564,45.6594,14z?hl=en","Maplink2")</f>
        <v>Maplink2</v>
      </c>
      <c r="AU3603" s="20" t="str">
        <f aca="false">HYPERLINK("http://www.bing.com/maps/?lvl=14&amp;sty=h&amp;cp=32.564~45.6594&amp;sp=point.32.564_45.6594","Maplink3")</f>
        <v>Maplink3</v>
      </c>
    </row>
    <row r="3604" customFormat="false" ht="15" hidden="false" customHeight="false" outlineLevel="0" collapsed="false">
      <c r="A3604" s="15" t="n">
        <v>24220</v>
      </c>
      <c r="B3604" s="16" t="s">
        <v>32</v>
      </c>
      <c r="C3604" s="16" t="s">
        <v>6812</v>
      </c>
      <c r="D3604" s="16" t="s">
        <v>6815</v>
      </c>
      <c r="E3604" s="17" t="s">
        <v>6816</v>
      </c>
      <c r="F3604" s="16" t="n">
        <v>32.46216333</v>
      </c>
      <c r="G3604" s="16" t="n">
        <v>46.07983634</v>
      </c>
      <c r="H3604" s="18" t="n">
        <v>15</v>
      </c>
      <c r="I3604" s="18" t="n">
        <v>90</v>
      </c>
      <c r="J3604" s="19"/>
      <c r="K3604" s="19"/>
      <c r="L3604" s="19"/>
      <c r="M3604" s="19"/>
      <c r="N3604" s="19"/>
      <c r="O3604" s="19"/>
      <c r="P3604" s="19"/>
      <c r="Q3604" s="19"/>
      <c r="R3604" s="19"/>
      <c r="S3604" s="19"/>
      <c r="T3604" s="19"/>
      <c r="U3604" s="19"/>
      <c r="V3604" s="19" t="n">
        <v>15</v>
      </c>
      <c r="W3604" s="19"/>
      <c r="X3604" s="19"/>
      <c r="Y3604" s="19"/>
      <c r="Z3604" s="19"/>
      <c r="AA3604" s="19"/>
      <c r="AB3604" s="19"/>
      <c r="AC3604" s="19" t="n">
        <v>8</v>
      </c>
      <c r="AD3604" s="19"/>
      <c r="AE3604" s="19"/>
      <c r="AF3604" s="19"/>
      <c r="AG3604" s="19" t="n">
        <v>3</v>
      </c>
      <c r="AH3604" s="19" t="n">
        <v>4</v>
      </c>
      <c r="AI3604" s="19"/>
      <c r="AJ3604" s="19"/>
      <c r="AK3604" s="19"/>
      <c r="AL3604" s="19"/>
      <c r="AM3604" s="19" t="n">
        <v>13</v>
      </c>
      <c r="AN3604" s="19" t="n">
        <v>2</v>
      </c>
      <c r="AO3604" s="19"/>
      <c r="AP3604" s="19"/>
      <c r="AQ3604" s="19"/>
      <c r="AR3604" s="19"/>
      <c r="AS3604" s="20" t="str">
        <f aca="false">HYPERLINK("http://www.openstreetmap.org/?mlat=32.4622&amp;mlon=46.0798&amp;zoom=12#map=12/32.4622/46.0798","Maplink1")</f>
        <v>Maplink1</v>
      </c>
      <c r="AT3604" s="20" t="str">
        <f aca="false">HYPERLINK("https://www.google.iq/maps/search/+32.4622,46.0798/@32.4622,46.0798,14z?hl=en","Maplink2")</f>
        <v>Maplink2</v>
      </c>
      <c r="AU3604" s="20" t="str">
        <f aca="false">HYPERLINK("http://www.bing.com/maps/?lvl=14&amp;sty=h&amp;cp=32.4622~46.0798&amp;sp=point.32.4622_46.0798","Maplink3")</f>
        <v>Maplink3</v>
      </c>
    </row>
    <row r="3605" customFormat="false" ht="15" hidden="false" customHeight="false" outlineLevel="0" collapsed="false">
      <c r="A3605" s="15" t="n">
        <v>19524</v>
      </c>
      <c r="B3605" s="16" t="s">
        <v>32</v>
      </c>
      <c r="C3605" s="16" t="s">
        <v>6812</v>
      </c>
      <c r="D3605" s="16" t="s">
        <v>6817</v>
      </c>
      <c r="E3605" s="17" t="s">
        <v>6818</v>
      </c>
      <c r="F3605" s="16" t="n">
        <v>32.52831074</v>
      </c>
      <c r="G3605" s="16" t="n">
        <v>45.9075451</v>
      </c>
      <c r="H3605" s="18" t="n">
        <v>13</v>
      </c>
      <c r="I3605" s="18" t="n">
        <v>78</v>
      </c>
      <c r="J3605" s="19"/>
      <c r="K3605" s="19"/>
      <c r="L3605" s="19"/>
      <c r="M3605" s="19"/>
      <c r="N3605" s="19"/>
      <c r="O3605" s="19"/>
      <c r="P3605" s="19"/>
      <c r="Q3605" s="19"/>
      <c r="R3605" s="19"/>
      <c r="S3605" s="19"/>
      <c r="T3605" s="19"/>
      <c r="U3605" s="19"/>
      <c r="V3605" s="19" t="n">
        <v>13</v>
      </c>
      <c r="W3605" s="19"/>
      <c r="X3605" s="19"/>
      <c r="Y3605" s="19"/>
      <c r="Z3605" s="19"/>
      <c r="AA3605" s="19"/>
      <c r="AB3605" s="19"/>
      <c r="AC3605" s="19"/>
      <c r="AD3605" s="19"/>
      <c r="AE3605" s="19"/>
      <c r="AF3605" s="19"/>
      <c r="AG3605" s="19" t="n">
        <v>13</v>
      </c>
      <c r="AH3605" s="19"/>
      <c r="AI3605" s="19"/>
      <c r="AJ3605" s="19"/>
      <c r="AK3605" s="19"/>
      <c r="AL3605" s="19"/>
      <c r="AM3605" s="19" t="n">
        <v>13</v>
      </c>
      <c r="AN3605" s="19"/>
      <c r="AO3605" s="19"/>
      <c r="AP3605" s="19"/>
      <c r="AQ3605" s="19"/>
      <c r="AR3605" s="19"/>
      <c r="AS3605" s="20" t="str">
        <f aca="false">HYPERLINK("http://www.openstreetmap.org/?mlat=32.5283&amp;mlon=45.9075&amp;zoom=12#map=12/32.5283/45.9075","Maplink1")</f>
        <v>Maplink1</v>
      </c>
      <c r="AT3605" s="20" t="str">
        <f aca="false">HYPERLINK("https://www.google.iq/maps/search/+32.5283,45.9075/@32.5283,45.9075,14z?hl=en","Maplink2")</f>
        <v>Maplink2</v>
      </c>
      <c r="AU3605" s="20" t="str">
        <f aca="false">HYPERLINK("http://www.bing.com/maps/?lvl=14&amp;sty=h&amp;cp=32.5283~45.9075&amp;sp=point.32.5283_45.9075","Maplink3")</f>
        <v>Maplink3</v>
      </c>
    </row>
    <row r="3606" customFormat="false" ht="15" hidden="false" customHeight="false" outlineLevel="0" collapsed="false">
      <c r="A3606" s="15" t="n">
        <v>24786</v>
      </c>
      <c r="B3606" s="16" t="s">
        <v>32</v>
      </c>
      <c r="C3606" s="16" t="s">
        <v>6812</v>
      </c>
      <c r="D3606" s="16" t="s">
        <v>6819</v>
      </c>
      <c r="E3606" s="17" t="s">
        <v>6820</v>
      </c>
      <c r="F3606" s="16" t="n">
        <v>32.53828552</v>
      </c>
      <c r="G3606" s="16" t="n">
        <v>45.85158834</v>
      </c>
      <c r="H3606" s="18" t="n">
        <v>11</v>
      </c>
      <c r="I3606" s="18" t="n">
        <v>66</v>
      </c>
      <c r="J3606" s="19"/>
      <c r="K3606" s="19"/>
      <c r="L3606" s="19"/>
      <c r="M3606" s="19"/>
      <c r="N3606" s="19"/>
      <c r="O3606" s="19"/>
      <c r="P3606" s="19"/>
      <c r="Q3606" s="19"/>
      <c r="R3606" s="19"/>
      <c r="S3606" s="19"/>
      <c r="T3606" s="19"/>
      <c r="U3606" s="19"/>
      <c r="V3606" s="19" t="n">
        <v>5</v>
      </c>
      <c r="W3606" s="19"/>
      <c r="X3606" s="19" t="n">
        <v>6</v>
      </c>
      <c r="Y3606" s="19"/>
      <c r="Z3606" s="19"/>
      <c r="AA3606" s="19"/>
      <c r="AB3606" s="19"/>
      <c r="AC3606" s="19"/>
      <c r="AD3606" s="19"/>
      <c r="AE3606" s="19"/>
      <c r="AF3606" s="19"/>
      <c r="AG3606" s="19" t="n">
        <v>1</v>
      </c>
      <c r="AH3606" s="19" t="n">
        <v>10</v>
      </c>
      <c r="AI3606" s="19"/>
      <c r="AJ3606" s="19"/>
      <c r="AK3606" s="19"/>
      <c r="AL3606" s="19"/>
      <c r="AM3606" s="19" t="n">
        <v>11</v>
      </c>
      <c r="AN3606" s="19"/>
      <c r="AO3606" s="19"/>
      <c r="AP3606" s="19"/>
      <c r="AQ3606" s="19"/>
      <c r="AR3606" s="19"/>
      <c r="AS3606" s="20" t="str">
        <f aca="false">HYPERLINK("http://www.openstreetmap.org/?mlat=32.5383&amp;mlon=45.8516&amp;zoom=12#map=12/32.5383/45.8516","Maplink1")</f>
        <v>Maplink1</v>
      </c>
      <c r="AT3606" s="20" t="str">
        <f aca="false">HYPERLINK("https://www.google.iq/maps/search/+32.5383,45.8516/@32.5383,45.8516,14z?hl=en","Maplink2")</f>
        <v>Maplink2</v>
      </c>
      <c r="AU3606" s="20" t="str">
        <f aca="false">HYPERLINK("http://www.bing.com/maps/?lvl=14&amp;sty=h&amp;cp=32.5383~45.8516&amp;sp=point.32.5383_45.8516","Maplink3")</f>
        <v>Maplink3</v>
      </c>
    </row>
    <row r="3607" customFormat="false" ht="15" hidden="false" customHeight="false" outlineLevel="0" collapsed="false">
      <c r="A3607" s="15" t="n">
        <v>27278</v>
      </c>
      <c r="B3607" s="16" t="s">
        <v>32</v>
      </c>
      <c r="C3607" s="16" t="s">
        <v>6812</v>
      </c>
      <c r="D3607" s="16" t="s">
        <v>6821</v>
      </c>
      <c r="E3607" s="17" t="s">
        <v>6822</v>
      </c>
      <c r="F3607" s="16" t="n">
        <v>32.53669295</v>
      </c>
      <c r="G3607" s="16" t="n">
        <v>45.8537361</v>
      </c>
      <c r="H3607" s="18" t="n">
        <v>2</v>
      </c>
      <c r="I3607" s="18" t="n">
        <v>12</v>
      </c>
      <c r="J3607" s="19"/>
      <c r="K3607" s="19"/>
      <c r="L3607" s="19"/>
      <c r="M3607" s="19"/>
      <c r="N3607" s="19"/>
      <c r="O3607" s="19"/>
      <c r="P3607" s="19"/>
      <c r="Q3607" s="19"/>
      <c r="R3607" s="19"/>
      <c r="S3607" s="19"/>
      <c r="T3607" s="19"/>
      <c r="U3607" s="19"/>
      <c r="V3607" s="19" t="n">
        <v>2</v>
      </c>
      <c r="W3607" s="19"/>
      <c r="X3607" s="19"/>
      <c r="Y3607" s="19"/>
      <c r="Z3607" s="19"/>
      <c r="AA3607" s="19"/>
      <c r="AB3607" s="19"/>
      <c r="AC3607" s="19"/>
      <c r="AD3607" s="19"/>
      <c r="AE3607" s="19"/>
      <c r="AF3607" s="19"/>
      <c r="AG3607" s="19"/>
      <c r="AH3607" s="19" t="n">
        <v>2</v>
      </c>
      <c r="AI3607" s="19"/>
      <c r="AJ3607" s="19"/>
      <c r="AK3607" s="19"/>
      <c r="AL3607" s="19"/>
      <c r="AM3607" s="19" t="n">
        <v>2</v>
      </c>
      <c r="AN3607" s="19"/>
      <c r="AO3607" s="19"/>
      <c r="AP3607" s="19"/>
      <c r="AQ3607" s="19"/>
      <c r="AR3607" s="19"/>
      <c r="AS3607" s="20" t="str">
        <f aca="false">HYPERLINK("http://www.openstreetmap.org/?mlat=32.5367&amp;mlon=45.8537&amp;zoom=12#map=12/32.5367/45.8537","Maplink1")</f>
        <v>Maplink1</v>
      </c>
      <c r="AT3607" s="20" t="str">
        <f aca="false">HYPERLINK("https://www.google.iq/maps/search/+32.5367,45.8537/@32.5367,45.8537,14z?hl=en","Maplink2")</f>
        <v>Maplink2</v>
      </c>
      <c r="AU3607" s="20" t="str">
        <f aca="false">HYPERLINK("http://www.bing.com/maps/?lvl=14&amp;sty=h&amp;cp=32.5367~45.8537&amp;sp=point.32.5367_45.8537","Maplink3")</f>
        <v>Maplink3</v>
      </c>
    </row>
    <row r="3608" customFormat="false" ht="15" hidden="false" customHeight="false" outlineLevel="0" collapsed="false">
      <c r="A3608" s="15" t="n">
        <v>27277</v>
      </c>
      <c r="B3608" s="16" t="s">
        <v>32</v>
      </c>
      <c r="C3608" s="16" t="s">
        <v>6812</v>
      </c>
      <c r="D3608" s="16" t="s">
        <v>6823</v>
      </c>
      <c r="E3608" s="17" t="s">
        <v>6824</v>
      </c>
      <c r="F3608" s="16" t="n">
        <v>32.53013608</v>
      </c>
      <c r="G3608" s="16" t="n">
        <v>45.83961007</v>
      </c>
      <c r="H3608" s="18" t="n">
        <v>4</v>
      </c>
      <c r="I3608" s="18" t="n">
        <v>24</v>
      </c>
      <c r="J3608" s="19"/>
      <c r="K3608" s="19"/>
      <c r="L3608" s="19"/>
      <c r="M3608" s="19"/>
      <c r="N3608" s="19"/>
      <c r="O3608" s="19"/>
      <c r="P3608" s="19"/>
      <c r="Q3608" s="19"/>
      <c r="R3608" s="19"/>
      <c r="S3608" s="19"/>
      <c r="T3608" s="19"/>
      <c r="U3608" s="19"/>
      <c r="V3608" s="19" t="n">
        <v>4</v>
      </c>
      <c r="W3608" s="19"/>
      <c r="X3608" s="19"/>
      <c r="Y3608" s="19"/>
      <c r="Z3608" s="19"/>
      <c r="AA3608" s="19"/>
      <c r="AB3608" s="19"/>
      <c r="AC3608" s="19"/>
      <c r="AD3608" s="19"/>
      <c r="AE3608" s="19"/>
      <c r="AF3608" s="19"/>
      <c r="AG3608" s="19"/>
      <c r="AH3608" s="19" t="n">
        <v>4</v>
      </c>
      <c r="AI3608" s="19"/>
      <c r="AJ3608" s="19"/>
      <c r="AK3608" s="19"/>
      <c r="AL3608" s="19"/>
      <c r="AM3608" s="19" t="n">
        <v>4</v>
      </c>
      <c r="AN3608" s="19"/>
      <c r="AO3608" s="19"/>
      <c r="AP3608" s="19"/>
      <c r="AQ3608" s="19"/>
      <c r="AR3608" s="19"/>
      <c r="AS3608" s="20" t="str">
        <f aca="false">HYPERLINK("http://www.openstreetmap.org/?mlat=32.5301&amp;mlon=45.8396&amp;zoom=12#map=12/32.5301/45.8396","Maplink1")</f>
        <v>Maplink1</v>
      </c>
      <c r="AT3608" s="20" t="str">
        <f aca="false">HYPERLINK("https://www.google.iq/maps/search/+32.5301,45.8396/@32.5301,45.8396,14z?hl=en","Maplink2")</f>
        <v>Maplink2</v>
      </c>
      <c r="AU3608" s="20" t="str">
        <f aca="false">HYPERLINK("http://www.bing.com/maps/?lvl=14&amp;sty=h&amp;cp=32.5301~45.8396&amp;sp=point.32.5301_45.8396","Maplink3")</f>
        <v>Maplink3</v>
      </c>
    </row>
    <row r="3609" customFormat="false" ht="15" hidden="false" customHeight="false" outlineLevel="0" collapsed="false">
      <c r="A3609" s="15" t="n">
        <v>23256</v>
      </c>
      <c r="B3609" s="16" t="s">
        <v>32</v>
      </c>
      <c r="C3609" s="16" t="s">
        <v>6812</v>
      </c>
      <c r="D3609" s="16" t="s">
        <v>6825</v>
      </c>
      <c r="E3609" s="17" t="s">
        <v>6826</v>
      </c>
      <c r="F3609" s="16" t="n">
        <v>32.53585107</v>
      </c>
      <c r="G3609" s="16" t="n">
        <v>45.78996093</v>
      </c>
      <c r="H3609" s="18" t="n">
        <v>85</v>
      </c>
      <c r="I3609" s="18" t="n">
        <v>510</v>
      </c>
      <c r="J3609" s="19"/>
      <c r="K3609" s="19"/>
      <c r="L3609" s="19"/>
      <c r="M3609" s="19"/>
      <c r="N3609" s="19"/>
      <c r="O3609" s="19"/>
      <c r="P3609" s="19"/>
      <c r="Q3609" s="19"/>
      <c r="R3609" s="19" t="n">
        <v>27</v>
      </c>
      <c r="S3609" s="19"/>
      <c r="T3609" s="19"/>
      <c r="U3609" s="19"/>
      <c r="V3609" s="19" t="n">
        <v>58</v>
      </c>
      <c r="W3609" s="19"/>
      <c r="X3609" s="19"/>
      <c r="Y3609" s="19"/>
      <c r="Z3609" s="19"/>
      <c r="AA3609" s="19"/>
      <c r="AB3609" s="19"/>
      <c r="AC3609" s="19"/>
      <c r="AD3609" s="19"/>
      <c r="AE3609" s="19"/>
      <c r="AF3609" s="19"/>
      <c r="AG3609" s="19" t="n">
        <v>8</v>
      </c>
      <c r="AH3609" s="19" t="n">
        <v>77</v>
      </c>
      <c r="AI3609" s="19"/>
      <c r="AJ3609" s="19"/>
      <c r="AK3609" s="19"/>
      <c r="AL3609" s="19"/>
      <c r="AM3609" s="19" t="n">
        <v>48</v>
      </c>
      <c r="AN3609" s="19" t="n">
        <v>37</v>
      </c>
      <c r="AO3609" s="19"/>
      <c r="AP3609" s="19"/>
      <c r="AQ3609" s="19"/>
      <c r="AR3609" s="19"/>
      <c r="AS3609" s="20" t="str">
        <f aca="false">HYPERLINK("http://www.openstreetmap.org/?mlat=32.5359&amp;mlon=45.79&amp;zoom=12#map=12/32.5359/45.79","Maplink1")</f>
        <v>Maplink1</v>
      </c>
      <c r="AT3609" s="20" t="str">
        <f aca="false">HYPERLINK("https://www.google.iq/maps/search/+32.5359,45.79/@32.5359,45.79,14z?hl=en","Maplink2")</f>
        <v>Maplink2</v>
      </c>
      <c r="AU3609" s="20" t="str">
        <f aca="false">HYPERLINK("http://www.bing.com/maps/?lvl=14&amp;sty=h&amp;cp=32.5359~45.79&amp;sp=point.32.5359_45.79","Maplink3")</f>
        <v>Maplink3</v>
      </c>
    </row>
    <row r="3610" customFormat="false" ht="15" hidden="false" customHeight="false" outlineLevel="0" collapsed="false">
      <c r="A3610" s="15" t="n">
        <v>23395</v>
      </c>
      <c r="B3610" s="16" t="s">
        <v>32</v>
      </c>
      <c r="C3610" s="16" t="s">
        <v>6812</v>
      </c>
      <c r="D3610" s="16" t="s">
        <v>6827</v>
      </c>
      <c r="E3610" s="17" t="s">
        <v>6828</v>
      </c>
      <c r="F3610" s="16" t="n">
        <v>32.40202038</v>
      </c>
      <c r="G3610" s="16" t="n">
        <v>46.22965907</v>
      </c>
      <c r="H3610" s="18" t="n">
        <v>14</v>
      </c>
      <c r="I3610" s="18" t="n">
        <v>84</v>
      </c>
      <c r="J3610" s="19"/>
      <c r="K3610" s="19"/>
      <c r="L3610" s="19"/>
      <c r="M3610" s="19"/>
      <c r="N3610" s="19"/>
      <c r="O3610" s="19"/>
      <c r="P3610" s="19"/>
      <c r="Q3610" s="19"/>
      <c r="R3610" s="19"/>
      <c r="S3610" s="19"/>
      <c r="T3610" s="19"/>
      <c r="U3610" s="19"/>
      <c r="V3610" s="19" t="n">
        <v>14</v>
      </c>
      <c r="W3610" s="19"/>
      <c r="X3610" s="19"/>
      <c r="Y3610" s="19"/>
      <c r="Z3610" s="19"/>
      <c r="AA3610" s="19"/>
      <c r="AB3610" s="19"/>
      <c r="AC3610" s="19" t="n">
        <v>3</v>
      </c>
      <c r="AD3610" s="19"/>
      <c r="AE3610" s="19"/>
      <c r="AF3610" s="19"/>
      <c r="AG3610" s="19"/>
      <c r="AH3610" s="19" t="n">
        <v>11</v>
      </c>
      <c r="AI3610" s="19"/>
      <c r="AJ3610" s="19"/>
      <c r="AK3610" s="19"/>
      <c r="AL3610" s="19"/>
      <c r="AM3610" s="19" t="n">
        <v>14</v>
      </c>
      <c r="AN3610" s="19"/>
      <c r="AO3610" s="19"/>
      <c r="AP3610" s="19"/>
      <c r="AQ3610" s="19"/>
      <c r="AR3610" s="19"/>
      <c r="AS3610" s="20" t="str">
        <f aca="false">HYPERLINK("http://www.openstreetmap.org/?mlat=32.402&amp;mlon=46.2297&amp;zoom=12#map=12/32.402/46.2297","Maplink1")</f>
        <v>Maplink1</v>
      </c>
      <c r="AT3610" s="20" t="str">
        <f aca="false">HYPERLINK("https://www.google.iq/maps/search/+32.402,46.2297/@32.402,46.2297,14z?hl=en","Maplink2")</f>
        <v>Maplink2</v>
      </c>
      <c r="AU3610" s="20" t="str">
        <f aca="false">HYPERLINK("http://www.bing.com/maps/?lvl=14&amp;sty=h&amp;cp=32.402~46.2297&amp;sp=point.32.402_46.2297","Maplink3")</f>
        <v>Maplink3</v>
      </c>
    </row>
    <row r="3611" customFormat="false" ht="15" hidden="false" customHeight="false" outlineLevel="0" collapsed="false">
      <c r="A3611" s="15" t="n">
        <v>23703</v>
      </c>
      <c r="B3611" s="16" t="s">
        <v>32</v>
      </c>
      <c r="C3611" s="16" t="s">
        <v>6812</v>
      </c>
      <c r="D3611" s="16" t="s">
        <v>6829</v>
      </c>
      <c r="E3611" s="17" t="s">
        <v>6830</v>
      </c>
      <c r="F3611" s="16" t="n">
        <v>32.53818844</v>
      </c>
      <c r="G3611" s="16" t="n">
        <v>45.82636764</v>
      </c>
      <c r="H3611" s="18" t="n">
        <v>25</v>
      </c>
      <c r="I3611" s="18" t="n">
        <v>150</v>
      </c>
      <c r="J3611" s="19" t="n">
        <v>10</v>
      </c>
      <c r="K3611" s="19"/>
      <c r="L3611" s="19"/>
      <c r="M3611" s="19"/>
      <c r="N3611" s="19"/>
      <c r="O3611" s="19"/>
      <c r="P3611" s="19"/>
      <c r="Q3611" s="19"/>
      <c r="R3611" s="19"/>
      <c r="S3611" s="19"/>
      <c r="T3611" s="19"/>
      <c r="U3611" s="19"/>
      <c r="V3611" s="19" t="n">
        <v>15</v>
      </c>
      <c r="W3611" s="19"/>
      <c r="X3611" s="19"/>
      <c r="Y3611" s="19"/>
      <c r="Z3611" s="19"/>
      <c r="AA3611" s="19"/>
      <c r="AB3611" s="19"/>
      <c r="AC3611" s="19" t="n">
        <v>16</v>
      </c>
      <c r="AD3611" s="19"/>
      <c r="AE3611" s="19"/>
      <c r="AF3611" s="19"/>
      <c r="AG3611" s="19" t="n">
        <v>4</v>
      </c>
      <c r="AH3611" s="19" t="n">
        <v>5</v>
      </c>
      <c r="AI3611" s="19"/>
      <c r="AJ3611" s="19"/>
      <c r="AK3611" s="19"/>
      <c r="AL3611" s="19"/>
      <c r="AM3611" s="19"/>
      <c r="AN3611" s="19" t="n">
        <v>15</v>
      </c>
      <c r="AO3611" s="19"/>
      <c r="AP3611" s="19" t="n">
        <v>10</v>
      </c>
      <c r="AQ3611" s="19"/>
      <c r="AR3611" s="19"/>
      <c r="AS3611" s="20" t="str">
        <f aca="false">HYPERLINK("http://www.openstreetmap.org/?mlat=32.5382&amp;mlon=45.8264&amp;zoom=12#map=12/32.5382/45.8264","Maplink1")</f>
        <v>Maplink1</v>
      </c>
      <c r="AT3611" s="20" t="str">
        <f aca="false">HYPERLINK("https://www.google.iq/maps/search/+32.5382,45.8264/@32.5382,45.8264,14z?hl=en","Maplink2")</f>
        <v>Maplink2</v>
      </c>
      <c r="AU3611" s="20" t="str">
        <f aca="false">HYPERLINK("http://www.bing.com/maps/?lvl=14&amp;sty=h&amp;cp=32.5382~45.8264&amp;sp=point.32.5382_45.8264","Maplink3")</f>
        <v>Maplink3</v>
      </c>
    </row>
    <row r="3612" customFormat="false" ht="15" hidden="false" customHeight="false" outlineLevel="0" collapsed="false">
      <c r="A3612" s="15" t="n">
        <v>19546</v>
      </c>
      <c r="B3612" s="16" t="s">
        <v>32</v>
      </c>
      <c r="C3612" s="16" t="s">
        <v>6812</v>
      </c>
      <c r="D3612" s="16" t="s">
        <v>6831</v>
      </c>
      <c r="E3612" s="17" t="s">
        <v>6832</v>
      </c>
      <c r="F3612" s="16" t="n">
        <v>32.53824092</v>
      </c>
      <c r="G3612" s="16" t="n">
        <v>45.82024604</v>
      </c>
      <c r="H3612" s="18" t="n">
        <v>19</v>
      </c>
      <c r="I3612" s="18" t="n">
        <v>114</v>
      </c>
      <c r="J3612" s="19" t="n">
        <v>7</v>
      </c>
      <c r="K3612" s="19"/>
      <c r="L3612" s="19"/>
      <c r="M3612" s="19"/>
      <c r="N3612" s="19"/>
      <c r="O3612" s="19" t="n">
        <v>1</v>
      </c>
      <c r="P3612" s="19"/>
      <c r="Q3612" s="19"/>
      <c r="R3612" s="19"/>
      <c r="S3612" s="19"/>
      <c r="T3612" s="19"/>
      <c r="U3612" s="19"/>
      <c r="V3612" s="19" t="n">
        <v>10</v>
      </c>
      <c r="W3612" s="19"/>
      <c r="X3612" s="19" t="n">
        <v>1</v>
      </c>
      <c r="Y3612" s="19"/>
      <c r="Z3612" s="19"/>
      <c r="AA3612" s="19"/>
      <c r="AB3612" s="19"/>
      <c r="AC3612" s="19"/>
      <c r="AD3612" s="19"/>
      <c r="AE3612" s="19"/>
      <c r="AF3612" s="19"/>
      <c r="AG3612" s="19"/>
      <c r="AH3612" s="19" t="n">
        <v>19</v>
      </c>
      <c r="AI3612" s="19"/>
      <c r="AJ3612" s="19"/>
      <c r="AK3612" s="19"/>
      <c r="AL3612" s="19"/>
      <c r="AM3612" s="19" t="n">
        <v>19</v>
      </c>
      <c r="AN3612" s="19"/>
      <c r="AO3612" s="19"/>
      <c r="AP3612" s="19"/>
      <c r="AQ3612" s="19"/>
      <c r="AR3612" s="19"/>
      <c r="AS3612" s="20" t="str">
        <f aca="false">HYPERLINK("http://www.openstreetmap.org/?mlat=32.5382&amp;mlon=45.8202&amp;zoom=12#map=12/32.5382/45.8202","Maplink1")</f>
        <v>Maplink1</v>
      </c>
      <c r="AT3612" s="20" t="str">
        <f aca="false">HYPERLINK("https://www.google.iq/maps/search/+32.5382,45.8202/@32.5382,45.8202,14z?hl=en","Maplink2")</f>
        <v>Maplink2</v>
      </c>
      <c r="AU3612" s="20" t="str">
        <f aca="false">HYPERLINK("http://www.bing.com/maps/?lvl=14&amp;sty=h&amp;cp=32.5382~45.8202&amp;sp=point.32.5382_45.8202","Maplink3")</f>
        <v>Maplink3</v>
      </c>
    </row>
    <row r="3613" customFormat="false" ht="15" hidden="false" customHeight="false" outlineLevel="0" collapsed="false">
      <c r="A3613" s="15" t="n">
        <v>24869</v>
      </c>
      <c r="B3613" s="16" t="s">
        <v>32</v>
      </c>
      <c r="C3613" s="16" t="s">
        <v>6812</v>
      </c>
      <c r="D3613" s="16" t="s">
        <v>6833</v>
      </c>
      <c r="E3613" s="17" t="s">
        <v>6834</v>
      </c>
      <c r="F3613" s="16" t="n">
        <v>32.56161769</v>
      </c>
      <c r="G3613" s="16" t="n">
        <v>46.27384794</v>
      </c>
      <c r="H3613" s="18" t="n">
        <v>4</v>
      </c>
      <c r="I3613" s="18" t="n">
        <v>24</v>
      </c>
      <c r="J3613" s="19"/>
      <c r="K3613" s="19"/>
      <c r="L3613" s="19"/>
      <c r="M3613" s="19"/>
      <c r="N3613" s="19"/>
      <c r="O3613" s="19"/>
      <c r="P3613" s="19"/>
      <c r="Q3613" s="19"/>
      <c r="R3613" s="19"/>
      <c r="S3613" s="19"/>
      <c r="T3613" s="19"/>
      <c r="U3613" s="19"/>
      <c r="V3613" s="19" t="n">
        <v>4</v>
      </c>
      <c r="W3613" s="19"/>
      <c r="X3613" s="19"/>
      <c r="Y3613" s="19"/>
      <c r="Z3613" s="19"/>
      <c r="AA3613" s="19"/>
      <c r="AB3613" s="19"/>
      <c r="AC3613" s="19"/>
      <c r="AD3613" s="19"/>
      <c r="AE3613" s="19"/>
      <c r="AF3613" s="19"/>
      <c r="AG3613" s="19" t="n">
        <v>4</v>
      </c>
      <c r="AH3613" s="19"/>
      <c r="AI3613" s="19"/>
      <c r="AJ3613" s="19"/>
      <c r="AK3613" s="19"/>
      <c r="AL3613" s="19"/>
      <c r="AM3613" s="19" t="n">
        <v>4</v>
      </c>
      <c r="AN3613" s="19"/>
      <c r="AO3613" s="19"/>
      <c r="AP3613" s="19"/>
      <c r="AQ3613" s="19"/>
      <c r="AR3613" s="19"/>
      <c r="AS3613" s="20" t="str">
        <f aca="false">HYPERLINK("http://www.openstreetmap.org/?mlat=32.5616&amp;mlon=46.2738&amp;zoom=12#map=12/32.5616/46.2738","Maplink1")</f>
        <v>Maplink1</v>
      </c>
      <c r="AT3613" s="20" t="str">
        <f aca="false">HYPERLINK("https://www.google.iq/maps/search/+32.5616,46.2738/@32.5616,46.2738,14z?hl=en","Maplink2")</f>
        <v>Maplink2</v>
      </c>
      <c r="AU3613" s="20" t="str">
        <f aca="false">HYPERLINK("http://www.bing.com/maps/?lvl=14&amp;sty=h&amp;cp=32.5616~46.2738&amp;sp=point.32.5616_46.2738","Maplink3")</f>
        <v>Maplink3</v>
      </c>
    </row>
    <row r="3614" customFormat="false" ht="15" hidden="false" customHeight="false" outlineLevel="0" collapsed="false">
      <c r="A3614" s="15" t="n">
        <v>23967</v>
      </c>
      <c r="B3614" s="16" t="s">
        <v>32</v>
      </c>
      <c r="C3614" s="16" t="s">
        <v>6812</v>
      </c>
      <c r="D3614" s="16" t="s">
        <v>6835</v>
      </c>
      <c r="E3614" s="17" t="s">
        <v>6836</v>
      </c>
      <c r="F3614" s="16" t="n">
        <v>32.51388826</v>
      </c>
      <c r="G3614" s="16" t="n">
        <v>45.80994599</v>
      </c>
      <c r="H3614" s="18" t="n">
        <v>41</v>
      </c>
      <c r="I3614" s="18" t="n">
        <v>246</v>
      </c>
      <c r="J3614" s="19" t="n">
        <v>7</v>
      </c>
      <c r="K3614" s="19"/>
      <c r="L3614" s="19"/>
      <c r="M3614" s="19"/>
      <c r="N3614" s="19"/>
      <c r="O3614" s="19"/>
      <c r="P3614" s="19"/>
      <c r="Q3614" s="19"/>
      <c r="R3614" s="19"/>
      <c r="S3614" s="19"/>
      <c r="T3614" s="19"/>
      <c r="U3614" s="19"/>
      <c r="V3614" s="19" t="n">
        <v>34</v>
      </c>
      <c r="W3614" s="19"/>
      <c r="X3614" s="19"/>
      <c r="Y3614" s="19"/>
      <c r="Z3614" s="19"/>
      <c r="AA3614" s="19"/>
      <c r="AB3614" s="19"/>
      <c r="AC3614" s="19"/>
      <c r="AD3614" s="19"/>
      <c r="AE3614" s="19"/>
      <c r="AF3614" s="19"/>
      <c r="AG3614" s="19" t="n">
        <v>7</v>
      </c>
      <c r="AH3614" s="19" t="n">
        <v>34</v>
      </c>
      <c r="AI3614" s="19"/>
      <c r="AJ3614" s="19"/>
      <c r="AK3614" s="19"/>
      <c r="AL3614" s="19"/>
      <c r="AM3614" s="19" t="n">
        <v>26</v>
      </c>
      <c r="AN3614" s="19" t="n">
        <v>15</v>
      </c>
      <c r="AO3614" s="19"/>
      <c r="AP3614" s="19"/>
      <c r="AQ3614" s="19"/>
      <c r="AR3614" s="19"/>
      <c r="AS3614" s="20" t="str">
        <f aca="false">HYPERLINK("http://www.openstreetmap.org/?mlat=32.5139&amp;mlon=45.8099&amp;zoom=12#map=12/32.5139/45.8099","Maplink1")</f>
        <v>Maplink1</v>
      </c>
      <c r="AT3614" s="20" t="str">
        <f aca="false">HYPERLINK("https://www.google.iq/maps/search/+32.5139,45.8099/@32.5139,45.8099,14z?hl=en","Maplink2")</f>
        <v>Maplink2</v>
      </c>
      <c r="AU3614" s="20" t="str">
        <f aca="false">HYPERLINK("http://www.bing.com/maps/?lvl=14&amp;sty=h&amp;cp=32.5139~45.8099&amp;sp=point.32.5139_45.8099","Maplink3")</f>
        <v>Maplink3</v>
      </c>
    </row>
    <row r="3615" customFormat="false" ht="15" hidden="false" customHeight="false" outlineLevel="0" collapsed="false">
      <c r="A3615" s="15" t="n">
        <v>24868</v>
      </c>
      <c r="B3615" s="16" t="s">
        <v>32</v>
      </c>
      <c r="C3615" s="16" t="s">
        <v>6812</v>
      </c>
      <c r="D3615" s="16" t="s">
        <v>6837</v>
      </c>
      <c r="E3615" s="17" t="s">
        <v>6838</v>
      </c>
      <c r="F3615" s="16" t="n">
        <v>32.57302214</v>
      </c>
      <c r="G3615" s="16" t="n">
        <v>46.26961285</v>
      </c>
      <c r="H3615" s="18" t="n">
        <v>6</v>
      </c>
      <c r="I3615" s="18" t="n">
        <v>36</v>
      </c>
      <c r="J3615" s="19"/>
      <c r="K3615" s="19"/>
      <c r="L3615" s="19"/>
      <c r="M3615" s="19"/>
      <c r="N3615" s="19"/>
      <c r="O3615" s="19"/>
      <c r="P3615" s="19"/>
      <c r="Q3615" s="19"/>
      <c r="R3615" s="19"/>
      <c r="S3615" s="19"/>
      <c r="T3615" s="19"/>
      <c r="U3615" s="19"/>
      <c r="V3615" s="19" t="n">
        <v>6</v>
      </c>
      <c r="W3615" s="19"/>
      <c r="X3615" s="19"/>
      <c r="Y3615" s="19"/>
      <c r="Z3615" s="19"/>
      <c r="AA3615" s="19"/>
      <c r="AB3615" s="19"/>
      <c r="AC3615" s="19" t="n">
        <v>6</v>
      </c>
      <c r="AD3615" s="19"/>
      <c r="AE3615" s="19"/>
      <c r="AF3615" s="19"/>
      <c r="AG3615" s="19"/>
      <c r="AH3615" s="19"/>
      <c r="AI3615" s="19"/>
      <c r="AJ3615" s="19"/>
      <c r="AK3615" s="19"/>
      <c r="AL3615" s="19"/>
      <c r="AM3615" s="19" t="n">
        <v>6</v>
      </c>
      <c r="AN3615" s="19"/>
      <c r="AO3615" s="19"/>
      <c r="AP3615" s="19"/>
      <c r="AQ3615" s="19"/>
      <c r="AR3615" s="19"/>
      <c r="AS3615" s="20" t="str">
        <f aca="false">HYPERLINK("http://www.openstreetmap.org/?mlat=32.573&amp;mlon=46.2696&amp;zoom=12#map=12/32.573/46.2696","Maplink1")</f>
        <v>Maplink1</v>
      </c>
      <c r="AT3615" s="20" t="str">
        <f aca="false">HYPERLINK("https://www.google.iq/maps/search/+32.573,46.2696/@32.573,46.2696,14z?hl=en","Maplink2")</f>
        <v>Maplink2</v>
      </c>
      <c r="AU3615" s="20" t="str">
        <f aca="false">HYPERLINK("http://www.bing.com/maps/?lvl=14&amp;sty=h&amp;cp=32.573~46.2696&amp;sp=point.32.573_46.2696","Maplink3")</f>
        <v>Maplink3</v>
      </c>
    </row>
    <row r="3616" customFormat="false" ht="15" hidden="false" customHeight="false" outlineLevel="0" collapsed="false">
      <c r="A3616" s="15" t="n">
        <v>24883</v>
      </c>
      <c r="B3616" s="16" t="s">
        <v>32</v>
      </c>
      <c r="C3616" s="16" t="s">
        <v>6812</v>
      </c>
      <c r="D3616" s="16" t="s">
        <v>6839</v>
      </c>
      <c r="E3616" s="17" t="s">
        <v>6840</v>
      </c>
      <c r="F3616" s="16" t="n">
        <v>32.45600739</v>
      </c>
      <c r="G3616" s="16" t="n">
        <v>46.07168671</v>
      </c>
      <c r="H3616" s="18" t="n">
        <v>10</v>
      </c>
      <c r="I3616" s="18" t="n">
        <v>60</v>
      </c>
      <c r="J3616" s="19"/>
      <c r="K3616" s="19"/>
      <c r="L3616" s="19"/>
      <c r="M3616" s="19"/>
      <c r="N3616" s="19"/>
      <c r="O3616" s="19"/>
      <c r="P3616" s="19"/>
      <c r="Q3616" s="19"/>
      <c r="R3616" s="19"/>
      <c r="S3616" s="19"/>
      <c r="T3616" s="19"/>
      <c r="U3616" s="19"/>
      <c r="V3616" s="19" t="n">
        <v>10</v>
      </c>
      <c r="W3616" s="19"/>
      <c r="X3616" s="19"/>
      <c r="Y3616" s="19"/>
      <c r="Z3616" s="19"/>
      <c r="AA3616" s="19"/>
      <c r="AB3616" s="19"/>
      <c r="AC3616" s="19"/>
      <c r="AD3616" s="19"/>
      <c r="AE3616" s="19"/>
      <c r="AF3616" s="19"/>
      <c r="AG3616" s="19"/>
      <c r="AH3616" s="19" t="n">
        <v>10</v>
      </c>
      <c r="AI3616" s="19"/>
      <c r="AJ3616" s="19"/>
      <c r="AK3616" s="19"/>
      <c r="AL3616" s="19"/>
      <c r="AM3616" s="19" t="n">
        <v>10</v>
      </c>
      <c r="AN3616" s="19"/>
      <c r="AO3616" s="19"/>
      <c r="AP3616" s="19"/>
      <c r="AQ3616" s="19"/>
      <c r="AR3616" s="19"/>
      <c r="AS3616" s="20" t="str">
        <f aca="false">HYPERLINK("http://www.openstreetmap.org/?mlat=32.456&amp;mlon=46.0717&amp;zoom=12#map=12/32.456/46.0717","Maplink1")</f>
        <v>Maplink1</v>
      </c>
      <c r="AT3616" s="20" t="str">
        <f aca="false">HYPERLINK("https://www.google.iq/maps/search/+32.456,46.0717/@32.456,46.0717,14z?hl=en","Maplink2")</f>
        <v>Maplink2</v>
      </c>
      <c r="AU3616" s="20" t="str">
        <f aca="false">HYPERLINK("http://www.bing.com/maps/?lvl=14&amp;sty=h&amp;cp=32.456~46.0717&amp;sp=point.32.456_46.0717","Maplink3")</f>
        <v>Maplink3</v>
      </c>
    </row>
    <row r="3617" customFormat="false" ht="15" hidden="false" customHeight="false" outlineLevel="0" collapsed="false">
      <c r="A3617" s="15" t="n">
        <v>25586</v>
      </c>
      <c r="B3617" s="16" t="s">
        <v>32</v>
      </c>
      <c r="C3617" s="16" t="s">
        <v>6812</v>
      </c>
      <c r="D3617" s="16" t="s">
        <v>6841</v>
      </c>
      <c r="E3617" s="17" t="s">
        <v>6842</v>
      </c>
      <c r="F3617" s="16" t="n">
        <v>32.53561369</v>
      </c>
      <c r="G3617" s="16" t="n">
        <v>45.791152</v>
      </c>
      <c r="H3617" s="18" t="n">
        <v>9</v>
      </c>
      <c r="I3617" s="18" t="n">
        <v>54</v>
      </c>
      <c r="J3617" s="19"/>
      <c r="K3617" s="19"/>
      <c r="L3617" s="19"/>
      <c r="M3617" s="19"/>
      <c r="N3617" s="19"/>
      <c r="O3617" s="19"/>
      <c r="P3617" s="19"/>
      <c r="Q3617" s="19"/>
      <c r="R3617" s="19" t="n">
        <v>5</v>
      </c>
      <c r="S3617" s="19"/>
      <c r="T3617" s="19"/>
      <c r="U3617" s="19"/>
      <c r="V3617" s="19" t="n">
        <v>4</v>
      </c>
      <c r="W3617" s="19"/>
      <c r="X3617" s="19"/>
      <c r="Y3617" s="19"/>
      <c r="Z3617" s="19"/>
      <c r="AA3617" s="19"/>
      <c r="AB3617" s="19"/>
      <c r="AC3617" s="19" t="n">
        <v>1</v>
      </c>
      <c r="AD3617" s="19"/>
      <c r="AE3617" s="19"/>
      <c r="AF3617" s="19"/>
      <c r="AG3617" s="19"/>
      <c r="AH3617" s="19" t="n">
        <v>8</v>
      </c>
      <c r="AI3617" s="19"/>
      <c r="AJ3617" s="19"/>
      <c r="AK3617" s="19"/>
      <c r="AL3617" s="19"/>
      <c r="AM3617" s="19" t="n">
        <v>5</v>
      </c>
      <c r="AN3617" s="19" t="n">
        <v>4</v>
      </c>
      <c r="AO3617" s="19"/>
      <c r="AP3617" s="19"/>
      <c r="AQ3617" s="19"/>
      <c r="AR3617" s="19"/>
      <c r="AS3617" s="20" t="str">
        <f aca="false">HYPERLINK("http://www.openstreetmap.org/?mlat=32.5356&amp;mlon=45.7912&amp;zoom=12#map=12/32.5356/45.7912","Maplink1")</f>
        <v>Maplink1</v>
      </c>
      <c r="AT3617" s="20" t="str">
        <f aca="false">HYPERLINK("https://www.google.iq/maps/search/+32.5356,45.7912/@32.5356,45.7912,14z?hl=en","Maplink2")</f>
        <v>Maplink2</v>
      </c>
      <c r="AU3617" s="20" t="str">
        <f aca="false">HYPERLINK("http://www.bing.com/maps/?lvl=14&amp;sty=h&amp;cp=32.5356~45.7912&amp;sp=point.32.5356_45.7912","Maplink3")</f>
        <v>Maplink3</v>
      </c>
    </row>
    <row r="3618" customFormat="false" ht="15" hidden="false" customHeight="false" outlineLevel="0" collapsed="false">
      <c r="A3618" s="15" t="n">
        <v>24867</v>
      </c>
      <c r="B3618" s="16" t="s">
        <v>32</v>
      </c>
      <c r="C3618" s="16" t="s">
        <v>6812</v>
      </c>
      <c r="D3618" s="16" t="s">
        <v>6843</v>
      </c>
      <c r="E3618" s="17" t="s">
        <v>6844</v>
      </c>
      <c r="F3618" s="16" t="n">
        <v>32.45833038</v>
      </c>
      <c r="G3618" s="16" t="n">
        <v>45.7991666</v>
      </c>
      <c r="H3618" s="18" t="n">
        <v>27</v>
      </c>
      <c r="I3618" s="18" t="n">
        <v>162</v>
      </c>
      <c r="J3618" s="19"/>
      <c r="K3618" s="19"/>
      <c r="L3618" s="19"/>
      <c r="M3618" s="19"/>
      <c r="N3618" s="19"/>
      <c r="O3618" s="19"/>
      <c r="P3618" s="19"/>
      <c r="Q3618" s="19"/>
      <c r="R3618" s="19"/>
      <c r="S3618" s="19"/>
      <c r="T3618" s="19"/>
      <c r="U3618" s="19"/>
      <c r="V3618" s="19" t="n">
        <v>27</v>
      </c>
      <c r="W3618" s="19"/>
      <c r="X3618" s="19"/>
      <c r="Y3618" s="19"/>
      <c r="Z3618" s="19"/>
      <c r="AA3618" s="19"/>
      <c r="AB3618" s="19"/>
      <c r="AC3618" s="19" t="n">
        <v>14</v>
      </c>
      <c r="AD3618" s="19"/>
      <c r="AE3618" s="19"/>
      <c r="AF3618" s="19"/>
      <c r="AG3618" s="19" t="n">
        <v>13</v>
      </c>
      <c r="AH3618" s="19"/>
      <c r="AI3618" s="19"/>
      <c r="AJ3618" s="19"/>
      <c r="AK3618" s="19"/>
      <c r="AL3618" s="19"/>
      <c r="AM3618" s="19" t="n">
        <v>27</v>
      </c>
      <c r="AN3618" s="19"/>
      <c r="AO3618" s="19"/>
      <c r="AP3618" s="19"/>
      <c r="AQ3618" s="19"/>
      <c r="AR3618" s="19"/>
      <c r="AS3618" s="20" t="str">
        <f aca="false">HYPERLINK("http://www.openstreetmap.org/?mlat=32.4583&amp;mlon=45.7992&amp;zoom=12#map=12/32.4583/45.7992","Maplink1")</f>
        <v>Maplink1</v>
      </c>
      <c r="AT3618" s="20" t="str">
        <f aca="false">HYPERLINK("https://www.google.iq/maps/search/+32.4583,45.7992/@32.4583,45.7992,14z?hl=en","Maplink2")</f>
        <v>Maplink2</v>
      </c>
      <c r="AU3618" s="20" t="str">
        <f aca="false">HYPERLINK("http://www.bing.com/maps/?lvl=14&amp;sty=h&amp;cp=32.4583~45.7992&amp;sp=point.32.4583_45.7992","Maplink3")</f>
        <v>Maplink3</v>
      </c>
    </row>
    <row r="3619" customFormat="false" ht="15" hidden="false" customHeight="false" outlineLevel="0" collapsed="false">
      <c r="A3619" s="15" t="n">
        <v>19214</v>
      </c>
      <c r="B3619" s="16" t="s">
        <v>32</v>
      </c>
      <c r="C3619" s="16" t="s">
        <v>6812</v>
      </c>
      <c r="D3619" s="16" t="s">
        <v>6845</v>
      </c>
      <c r="E3619" s="17" t="s">
        <v>6846</v>
      </c>
      <c r="F3619" s="16" t="n">
        <v>32.63700213</v>
      </c>
      <c r="G3619" s="16" t="n">
        <v>46.17973531</v>
      </c>
      <c r="H3619" s="18" t="n">
        <v>6</v>
      </c>
      <c r="I3619" s="18" t="n">
        <v>36</v>
      </c>
      <c r="J3619" s="19"/>
      <c r="K3619" s="19"/>
      <c r="L3619" s="19"/>
      <c r="M3619" s="19"/>
      <c r="N3619" s="19"/>
      <c r="O3619" s="19"/>
      <c r="P3619" s="19"/>
      <c r="Q3619" s="19"/>
      <c r="R3619" s="19"/>
      <c r="S3619" s="19"/>
      <c r="T3619" s="19"/>
      <c r="U3619" s="19"/>
      <c r="V3619" s="19" t="n">
        <v>6</v>
      </c>
      <c r="W3619" s="19"/>
      <c r="X3619" s="19"/>
      <c r="Y3619" s="19"/>
      <c r="Z3619" s="19"/>
      <c r="AA3619" s="19"/>
      <c r="AB3619" s="19"/>
      <c r="AC3619" s="19"/>
      <c r="AD3619" s="19"/>
      <c r="AE3619" s="19"/>
      <c r="AF3619" s="19"/>
      <c r="AG3619" s="19" t="n">
        <v>6</v>
      </c>
      <c r="AH3619" s="19"/>
      <c r="AI3619" s="19"/>
      <c r="AJ3619" s="19"/>
      <c r="AK3619" s="19"/>
      <c r="AL3619" s="19"/>
      <c r="AM3619" s="19" t="n">
        <v>6</v>
      </c>
      <c r="AN3619" s="19"/>
      <c r="AO3619" s="19"/>
      <c r="AP3619" s="19"/>
      <c r="AQ3619" s="19"/>
      <c r="AR3619" s="19"/>
      <c r="AS3619" s="20" t="str">
        <f aca="false">HYPERLINK("http://www.openstreetmap.org/?mlat=32.637&amp;mlon=46.1797&amp;zoom=12#map=12/32.637/46.1797","Maplink1")</f>
        <v>Maplink1</v>
      </c>
      <c r="AT3619" s="20" t="str">
        <f aca="false">HYPERLINK("https://www.google.iq/maps/search/+32.637,46.1797/@32.637,46.1797,14z?hl=en","Maplink2")</f>
        <v>Maplink2</v>
      </c>
      <c r="AU3619" s="20" t="str">
        <f aca="false">HYPERLINK("http://www.bing.com/maps/?lvl=14&amp;sty=h&amp;cp=32.637~46.1797&amp;sp=point.32.637_46.1797","Maplink3")</f>
        <v>Maplink3</v>
      </c>
    </row>
    <row r="3620" customFormat="false" ht="15" hidden="false" customHeight="false" outlineLevel="0" collapsed="false">
      <c r="A3620" s="15" t="n">
        <v>25319</v>
      </c>
      <c r="B3620" s="16" t="s">
        <v>32</v>
      </c>
      <c r="C3620" s="16" t="s">
        <v>6812</v>
      </c>
      <c r="D3620" s="16" t="s">
        <v>6847</v>
      </c>
      <c r="E3620" s="17" t="s">
        <v>6848</v>
      </c>
      <c r="F3620" s="16" t="n">
        <v>32.46038996</v>
      </c>
      <c r="G3620" s="16" t="n">
        <v>46.07549358</v>
      </c>
      <c r="H3620" s="18" t="n">
        <v>7</v>
      </c>
      <c r="I3620" s="18" t="n">
        <v>42</v>
      </c>
      <c r="J3620" s="19"/>
      <c r="K3620" s="19"/>
      <c r="L3620" s="19"/>
      <c r="M3620" s="19"/>
      <c r="N3620" s="19"/>
      <c r="O3620" s="19"/>
      <c r="P3620" s="19"/>
      <c r="Q3620" s="19"/>
      <c r="R3620" s="19"/>
      <c r="S3620" s="19"/>
      <c r="T3620" s="19"/>
      <c r="U3620" s="19"/>
      <c r="V3620" s="19" t="n">
        <v>7</v>
      </c>
      <c r="W3620" s="19"/>
      <c r="X3620" s="19"/>
      <c r="Y3620" s="19"/>
      <c r="Z3620" s="19"/>
      <c r="AA3620" s="19"/>
      <c r="AB3620" s="19"/>
      <c r="AC3620" s="19"/>
      <c r="AD3620" s="19"/>
      <c r="AE3620" s="19"/>
      <c r="AF3620" s="19"/>
      <c r="AG3620" s="19"/>
      <c r="AH3620" s="19" t="n">
        <v>7</v>
      </c>
      <c r="AI3620" s="19"/>
      <c r="AJ3620" s="19"/>
      <c r="AK3620" s="19"/>
      <c r="AL3620" s="19"/>
      <c r="AM3620" s="19" t="n">
        <v>7</v>
      </c>
      <c r="AN3620" s="19"/>
      <c r="AO3620" s="19"/>
      <c r="AP3620" s="19"/>
      <c r="AQ3620" s="19"/>
      <c r="AR3620" s="19"/>
      <c r="AS3620" s="20" t="str">
        <f aca="false">HYPERLINK("http://www.openstreetmap.org/?mlat=32.4604&amp;mlon=46.0755&amp;zoom=12#map=12/32.4604/46.0755","Maplink1")</f>
        <v>Maplink1</v>
      </c>
      <c r="AT3620" s="20" t="str">
        <f aca="false">HYPERLINK("https://www.google.iq/maps/search/+32.4604,46.0755/@32.4604,46.0755,14z?hl=en","Maplink2")</f>
        <v>Maplink2</v>
      </c>
      <c r="AU3620" s="20" t="str">
        <f aca="false">HYPERLINK("http://www.bing.com/maps/?lvl=14&amp;sty=h&amp;cp=32.4604~46.0755&amp;sp=point.32.4604_46.0755","Maplink3")</f>
        <v>Maplink3</v>
      </c>
    </row>
    <row r="3621" customFormat="false" ht="15" hidden="false" customHeight="false" outlineLevel="0" collapsed="false">
      <c r="A3621" s="15" t="n">
        <v>25109</v>
      </c>
      <c r="B3621" s="16" t="s">
        <v>32</v>
      </c>
      <c r="C3621" s="16" t="s">
        <v>6812</v>
      </c>
      <c r="D3621" s="16" t="s">
        <v>6849</v>
      </c>
      <c r="E3621" s="17" t="s">
        <v>6850</v>
      </c>
      <c r="F3621" s="16" t="n">
        <v>32.48397707</v>
      </c>
      <c r="G3621" s="16" t="n">
        <v>45.82121498</v>
      </c>
      <c r="H3621" s="18" t="n">
        <v>13</v>
      </c>
      <c r="I3621" s="18" t="n">
        <v>78</v>
      </c>
      <c r="J3621" s="19" t="n">
        <v>3</v>
      </c>
      <c r="K3621" s="19"/>
      <c r="L3621" s="19"/>
      <c r="M3621" s="19"/>
      <c r="N3621" s="19"/>
      <c r="O3621" s="19"/>
      <c r="P3621" s="19"/>
      <c r="Q3621" s="19"/>
      <c r="R3621" s="19"/>
      <c r="S3621" s="19"/>
      <c r="T3621" s="19"/>
      <c r="U3621" s="19"/>
      <c r="V3621" s="19" t="n">
        <v>10</v>
      </c>
      <c r="W3621" s="19"/>
      <c r="X3621" s="19"/>
      <c r="Y3621" s="19"/>
      <c r="Z3621" s="19"/>
      <c r="AA3621" s="19"/>
      <c r="AB3621" s="19"/>
      <c r="AC3621" s="19"/>
      <c r="AD3621" s="19"/>
      <c r="AE3621" s="19"/>
      <c r="AF3621" s="19"/>
      <c r="AG3621" s="19"/>
      <c r="AH3621" s="19" t="n">
        <v>13</v>
      </c>
      <c r="AI3621" s="19"/>
      <c r="AJ3621" s="19"/>
      <c r="AK3621" s="19"/>
      <c r="AL3621" s="19"/>
      <c r="AM3621" s="19" t="n">
        <v>10</v>
      </c>
      <c r="AN3621" s="19" t="n">
        <v>3</v>
      </c>
      <c r="AO3621" s="19"/>
      <c r="AP3621" s="19"/>
      <c r="AQ3621" s="19"/>
      <c r="AR3621" s="19"/>
      <c r="AS3621" s="20" t="str">
        <f aca="false">HYPERLINK("http://www.openstreetmap.org/?mlat=32.484&amp;mlon=45.8212&amp;zoom=12#map=12/32.484/45.8212","Maplink1")</f>
        <v>Maplink1</v>
      </c>
      <c r="AT3621" s="20" t="str">
        <f aca="false">HYPERLINK("https://www.google.iq/maps/search/+32.484,45.8212/@32.484,45.8212,14z?hl=en","Maplink2")</f>
        <v>Maplink2</v>
      </c>
      <c r="AU3621" s="20" t="str">
        <f aca="false">HYPERLINK("http://www.bing.com/maps/?lvl=14&amp;sty=h&amp;cp=32.484~45.8212&amp;sp=point.32.484_45.8212","Maplink3")</f>
        <v>Maplink3</v>
      </c>
    </row>
    <row r="3622" customFormat="false" ht="15" hidden="false" customHeight="false" outlineLevel="0" collapsed="false">
      <c r="A3622" s="15" t="n">
        <v>25108</v>
      </c>
      <c r="B3622" s="16" t="s">
        <v>32</v>
      </c>
      <c r="C3622" s="16" t="s">
        <v>6812</v>
      </c>
      <c r="D3622" s="16" t="s">
        <v>6851</v>
      </c>
      <c r="E3622" s="17" t="s">
        <v>6852</v>
      </c>
      <c r="F3622" s="16" t="n">
        <v>32.48504655</v>
      </c>
      <c r="G3622" s="16" t="n">
        <v>45.8230445</v>
      </c>
      <c r="H3622" s="18" t="n">
        <v>27</v>
      </c>
      <c r="I3622" s="18" t="n">
        <v>162</v>
      </c>
      <c r="J3622" s="19" t="n">
        <v>12</v>
      </c>
      <c r="K3622" s="19"/>
      <c r="L3622" s="19"/>
      <c r="M3622" s="19"/>
      <c r="N3622" s="19"/>
      <c r="O3622" s="19"/>
      <c r="P3622" s="19"/>
      <c r="Q3622" s="19"/>
      <c r="R3622" s="19"/>
      <c r="S3622" s="19"/>
      <c r="T3622" s="19"/>
      <c r="U3622" s="19"/>
      <c r="V3622" s="19" t="n">
        <v>15</v>
      </c>
      <c r="W3622" s="19"/>
      <c r="X3622" s="19"/>
      <c r="Y3622" s="19"/>
      <c r="Z3622" s="19"/>
      <c r="AA3622" s="19"/>
      <c r="AB3622" s="19"/>
      <c r="AC3622" s="19" t="n">
        <v>3</v>
      </c>
      <c r="AD3622" s="19"/>
      <c r="AE3622" s="19"/>
      <c r="AF3622" s="19"/>
      <c r="AG3622" s="19"/>
      <c r="AH3622" s="19" t="n">
        <v>24</v>
      </c>
      <c r="AI3622" s="19"/>
      <c r="AJ3622" s="19"/>
      <c r="AK3622" s="19"/>
      <c r="AL3622" s="19"/>
      <c r="AM3622" s="19" t="n">
        <v>15</v>
      </c>
      <c r="AN3622" s="19" t="n">
        <v>10</v>
      </c>
      <c r="AO3622" s="19"/>
      <c r="AP3622" s="19" t="n">
        <v>2</v>
      </c>
      <c r="AQ3622" s="19"/>
      <c r="AR3622" s="19"/>
      <c r="AS3622" s="20" t="str">
        <f aca="false">HYPERLINK("http://www.openstreetmap.org/?mlat=32.485&amp;mlon=45.823&amp;zoom=12#map=12/32.485/45.823","Maplink1")</f>
        <v>Maplink1</v>
      </c>
      <c r="AT3622" s="20" t="str">
        <f aca="false">HYPERLINK("https://www.google.iq/maps/search/+32.485,45.823/@32.485,45.823,14z?hl=en","Maplink2")</f>
        <v>Maplink2</v>
      </c>
      <c r="AU3622" s="20" t="str">
        <f aca="false">HYPERLINK("http://www.bing.com/maps/?lvl=14&amp;sty=h&amp;cp=32.485~45.823&amp;sp=point.32.485_45.823","Maplink3")</f>
        <v>Maplink3</v>
      </c>
    </row>
    <row r="3623" customFormat="false" ht="15" hidden="false" customHeight="false" outlineLevel="0" collapsed="false">
      <c r="A3623" s="15" t="n">
        <v>27275</v>
      </c>
      <c r="B3623" s="16" t="s">
        <v>32</v>
      </c>
      <c r="C3623" s="16" t="s">
        <v>6812</v>
      </c>
      <c r="D3623" s="16" t="s">
        <v>6853</v>
      </c>
      <c r="E3623" s="17" t="s">
        <v>6854</v>
      </c>
      <c r="F3623" s="16" t="n">
        <v>32.53539234</v>
      </c>
      <c r="G3623" s="16" t="n">
        <v>45.79301731</v>
      </c>
      <c r="H3623" s="18" t="n">
        <v>40</v>
      </c>
      <c r="I3623" s="18" t="n">
        <v>240</v>
      </c>
      <c r="J3623" s="19"/>
      <c r="K3623" s="19"/>
      <c r="L3623" s="19"/>
      <c r="M3623" s="19"/>
      <c r="N3623" s="19"/>
      <c r="O3623" s="19"/>
      <c r="P3623" s="19"/>
      <c r="Q3623" s="19"/>
      <c r="R3623" s="19"/>
      <c r="S3623" s="19"/>
      <c r="T3623" s="19"/>
      <c r="U3623" s="19"/>
      <c r="V3623" s="19" t="n">
        <v>40</v>
      </c>
      <c r="W3623" s="19"/>
      <c r="X3623" s="19"/>
      <c r="Y3623" s="19"/>
      <c r="Z3623" s="19"/>
      <c r="AA3623" s="19"/>
      <c r="AB3623" s="19"/>
      <c r="AC3623" s="19"/>
      <c r="AD3623" s="19"/>
      <c r="AE3623" s="19"/>
      <c r="AF3623" s="19"/>
      <c r="AG3623" s="19" t="n">
        <v>15</v>
      </c>
      <c r="AH3623" s="19" t="n">
        <v>25</v>
      </c>
      <c r="AI3623" s="19"/>
      <c r="AJ3623" s="19"/>
      <c r="AK3623" s="19"/>
      <c r="AL3623" s="19"/>
      <c r="AM3623" s="19" t="n">
        <v>40</v>
      </c>
      <c r="AN3623" s="19"/>
      <c r="AO3623" s="19"/>
      <c r="AP3623" s="19"/>
      <c r="AQ3623" s="19"/>
      <c r="AR3623" s="19"/>
      <c r="AS3623" s="20" t="str">
        <f aca="false">HYPERLINK("http://www.openstreetmap.org/?mlat=32.5354&amp;mlon=45.793&amp;zoom=12#map=12/32.5354/45.793","Maplink1")</f>
        <v>Maplink1</v>
      </c>
      <c r="AT3623" s="20" t="str">
        <f aca="false">HYPERLINK("https://www.google.iq/maps/search/+32.5354,45.793/@32.5354,45.793,14z?hl=en","Maplink2")</f>
        <v>Maplink2</v>
      </c>
      <c r="AU3623" s="20" t="str">
        <f aca="false">HYPERLINK("http://www.bing.com/maps/?lvl=14&amp;sty=h&amp;cp=32.5354~45.793&amp;sp=point.32.5354_45.793","Maplink3")</f>
        <v>Maplink3</v>
      </c>
    </row>
    <row r="3624" customFormat="false" ht="15" hidden="false" customHeight="false" outlineLevel="0" collapsed="false">
      <c r="A3624" s="15" t="n">
        <v>25103</v>
      </c>
      <c r="B3624" s="16" t="s">
        <v>32</v>
      </c>
      <c r="C3624" s="16" t="s">
        <v>6812</v>
      </c>
      <c r="D3624" s="16" t="s">
        <v>6855</v>
      </c>
      <c r="E3624" s="17" t="s">
        <v>6856</v>
      </c>
      <c r="F3624" s="16" t="n">
        <v>32.48079512</v>
      </c>
      <c r="G3624" s="16" t="n">
        <v>45.81648129</v>
      </c>
      <c r="H3624" s="18" t="n">
        <v>19</v>
      </c>
      <c r="I3624" s="18" t="n">
        <v>114</v>
      </c>
      <c r="J3624" s="19"/>
      <c r="K3624" s="19"/>
      <c r="L3624" s="19"/>
      <c r="M3624" s="19"/>
      <c r="N3624" s="19"/>
      <c r="O3624" s="19"/>
      <c r="P3624" s="19"/>
      <c r="Q3624" s="19"/>
      <c r="R3624" s="19"/>
      <c r="S3624" s="19"/>
      <c r="T3624" s="19"/>
      <c r="U3624" s="19"/>
      <c r="V3624" s="19" t="n">
        <v>19</v>
      </c>
      <c r="W3624" s="19"/>
      <c r="X3624" s="19"/>
      <c r="Y3624" s="19"/>
      <c r="Z3624" s="19"/>
      <c r="AA3624" s="19"/>
      <c r="AB3624" s="19"/>
      <c r="AC3624" s="19"/>
      <c r="AD3624" s="19"/>
      <c r="AE3624" s="19"/>
      <c r="AF3624" s="19"/>
      <c r="AG3624" s="19"/>
      <c r="AH3624" s="19" t="n">
        <v>19</v>
      </c>
      <c r="AI3624" s="19"/>
      <c r="AJ3624" s="19"/>
      <c r="AK3624" s="19"/>
      <c r="AL3624" s="19"/>
      <c r="AM3624" s="19" t="n">
        <v>19</v>
      </c>
      <c r="AN3624" s="19"/>
      <c r="AO3624" s="19"/>
      <c r="AP3624" s="19"/>
      <c r="AQ3624" s="19"/>
      <c r="AR3624" s="19"/>
      <c r="AS3624" s="20" t="str">
        <f aca="false">HYPERLINK("http://www.openstreetmap.org/?mlat=32.4808&amp;mlon=45.8165&amp;zoom=12#map=12/32.4808/45.8165","Maplink1")</f>
        <v>Maplink1</v>
      </c>
      <c r="AT3624" s="20" t="str">
        <f aca="false">HYPERLINK("https://www.google.iq/maps/search/+32.4808,45.8165/@32.4808,45.8165,14z?hl=en","Maplink2")</f>
        <v>Maplink2</v>
      </c>
      <c r="AU3624" s="20" t="str">
        <f aca="false">HYPERLINK("http://www.bing.com/maps/?lvl=14&amp;sty=h&amp;cp=32.4808~45.8165&amp;sp=point.32.4808_45.8165","Maplink3")</f>
        <v>Maplink3</v>
      </c>
    </row>
    <row r="3625" customFormat="false" ht="15" hidden="false" customHeight="false" outlineLevel="0" collapsed="false">
      <c r="A3625" s="15" t="n">
        <v>22112</v>
      </c>
      <c r="B3625" s="16" t="s">
        <v>32</v>
      </c>
      <c r="C3625" s="16" t="s">
        <v>6812</v>
      </c>
      <c r="D3625" s="16" t="s">
        <v>6857</v>
      </c>
      <c r="E3625" s="17" t="s">
        <v>6858</v>
      </c>
      <c r="F3625" s="16" t="n">
        <v>32.47281092</v>
      </c>
      <c r="G3625" s="16" t="n">
        <v>45.82480269</v>
      </c>
      <c r="H3625" s="18" t="n">
        <v>70</v>
      </c>
      <c r="I3625" s="18" t="n">
        <v>420</v>
      </c>
      <c r="J3625" s="19" t="n">
        <v>9</v>
      </c>
      <c r="K3625" s="19"/>
      <c r="L3625" s="19"/>
      <c r="M3625" s="19"/>
      <c r="N3625" s="19"/>
      <c r="O3625" s="19"/>
      <c r="P3625" s="19"/>
      <c r="Q3625" s="19"/>
      <c r="R3625" s="19"/>
      <c r="S3625" s="19"/>
      <c r="T3625" s="19"/>
      <c r="U3625" s="19"/>
      <c r="V3625" s="19" t="n">
        <v>61</v>
      </c>
      <c r="W3625" s="19"/>
      <c r="X3625" s="19"/>
      <c r="Y3625" s="19"/>
      <c r="Z3625" s="19"/>
      <c r="AA3625" s="19"/>
      <c r="AB3625" s="19"/>
      <c r="AC3625" s="19"/>
      <c r="AD3625" s="19"/>
      <c r="AE3625" s="19"/>
      <c r="AF3625" s="19"/>
      <c r="AG3625" s="19"/>
      <c r="AH3625" s="19" t="n">
        <v>70</v>
      </c>
      <c r="AI3625" s="19"/>
      <c r="AJ3625" s="19"/>
      <c r="AK3625" s="19"/>
      <c r="AL3625" s="19"/>
      <c r="AM3625" s="19" t="n">
        <v>61</v>
      </c>
      <c r="AN3625" s="19"/>
      <c r="AO3625" s="19"/>
      <c r="AP3625" s="19" t="n">
        <v>9</v>
      </c>
      <c r="AQ3625" s="19"/>
      <c r="AR3625" s="19"/>
      <c r="AS3625" s="20" t="str">
        <f aca="false">HYPERLINK("http://www.openstreetmap.org/?mlat=32.4728&amp;mlon=45.8248&amp;zoom=12#map=12/32.4728/45.8248","Maplink1")</f>
        <v>Maplink1</v>
      </c>
      <c r="AT3625" s="20" t="str">
        <f aca="false">HYPERLINK("https://www.google.iq/maps/search/+32.4728,45.8248/@32.4728,45.8248,14z?hl=en","Maplink2")</f>
        <v>Maplink2</v>
      </c>
      <c r="AU3625" s="20" t="str">
        <f aca="false">HYPERLINK("http://www.bing.com/maps/?lvl=14&amp;sty=h&amp;cp=32.4728~45.8248&amp;sp=point.32.4728_45.8248","Maplink3")</f>
        <v>Maplink3</v>
      </c>
    </row>
    <row r="3626" customFormat="false" ht="15" hidden="false" customHeight="false" outlineLevel="0" collapsed="false">
      <c r="A3626" s="15" t="n">
        <v>22693</v>
      </c>
      <c r="B3626" s="16" t="s">
        <v>32</v>
      </c>
      <c r="C3626" s="16" t="s">
        <v>6812</v>
      </c>
      <c r="D3626" s="16" t="s">
        <v>6859</v>
      </c>
      <c r="E3626" s="17" t="s">
        <v>6860</v>
      </c>
      <c r="F3626" s="16" t="n">
        <v>32.4822641</v>
      </c>
      <c r="G3626" s="16" t="n">
        <v>45.81472253</v>
      </c>
      <c r="H3626" s="18" t="n">
        <v>11</v>
      </c>
      <c r="I3626" s="18" t="n">
        <v>66</v>
      </c>
      <c r="J3626" s="19" t="n">
        <v>2</v>
      </c>
      <c r="K3626" s="19"/>
      <c r="L3626" s="19"/>
      <c r="M3626" s="19"/>
      <c r="N3626" s="19"/>
      <c r="O3626" s="19"/>
      <c r="P3626" s="19"/>
      <c r="Q3626" s="19"/>
      <c r="R3626" s="19"/>
      <c r="S3626" s="19"/>
      <c r="T3626" s="19"/>
      <c r="U3626" s="19"/>
      <c r="V3626" s="19" t="n">
        <v>9</v>
      </c>
      <c r="W3626" s="19"/>
      <c r="X3626" s="19"/>
      <c r="Y3626" s="19"/>
      <c r="Z3626" s="19"/>
      <c r="AA3626" s="19"/>
      <c r="AB3626" s="19"/>
      <c r="AC3626" s="19"/>
      <c r="AD3626" s="19"/>
      <c r="AE3626" s="19"/>
      <c r="AF3626" s="19"/>
      <c r="AG3626" s="19" t="n">
        <v>9</v>
      </c>
      <c r="AH3626" s="19"/>
      <c r="AI3626" s="19"/>
      <c r="AJ3626" s="19"/>
      <c r="AK3626" s="19" t="n">
        <v>2</v>
      </c>
      <c r="AL3626" s="19"/>
      <c r="AM3626" s="19" t="n">
        <v>9</v>
      </c>
      <c r="AN3626" s="19" t="n">
        <v>2</v>
      </c>
      <c r="AO3626" s="19"/>
      <c r="AP3626" s="19"/>
      <c r="AQ3626" s="19"/>
      <c r="AR3626" s="19"/>
      <c r="AS3626" s="20" t="str">
        <f aca="false">HYPERLINK("http://www.openstreetmap.org/?mlat=32.4823&amp;mlon=45.8147&amp;zoom=12#map=12/32.4823/45.8147","Maplink1")</f>
        <v>Maplink1</v>
      </c>
      <c r="AT3626" s="20" t="str">
        <f aca="false">HYPERLINK("https://www.google.iq/maps/search/+32.4823,45.8147/@32.4823,45.8147,14z?hl=en","Maplink2")</f>
        <v>Maplink2</v>
      </c>
      <c r="AU3626" s="20" t="str">
        <f aca="false">HYPERLINK("http://www.bing.com/maps/?lvl=14&amp;sty=h&amp;cp=32.4823~45.8147&amp;sp=point.32.4823_45.8147","Maplink3")</f>
        <v>Maplink3</v>
      </c>
    </row>
    <row r="3627" customFormat="false" ht="15" hidden="false" customHeight="false" outlineLevel="0" collapsed="false">
      <c r="A3627" s="15" t="n">
        <v>25106</v>
      </c>
      <c r="B3627" s="16" t="s">
        <v>32</v>
      </c>
      <c r="C3627" s="16" t="s">
        <v>6812</v>
      </c>
      <c r="D3627" s="16" t="s">
        <v>6861</v>
      </c>
      <c r="E3627" s="17" t="s">
        <v>6862</v>
      </c>
      <c r="F3627" s="16" t="n">
        <v>32.47544496</v>
      </c>
      <c r="G3627" s="16" t="n">
        <v>45.82017358</v>
      </c>
      <c r="H3627" s="18" t="n">
        <v>33</v>
      </c>
      <c r="I3627" s="18" t="n">
        <v>198</v>
      </c>
      <c r="J3627" s="19"/>
      <c r="K3627" s="19"/>
      <c r="L3627" s="19"/>
      <c r="M3627" s="19"/>
      <c r="N3627" s="19"/>
      <c r="O3627" s="19"/>
      <c r="P3627" s="19"/>
      <c r="Q3627" s="19"/>
      <c r="R3627" s="19" t="n">
        <v>13</v>
      </c>
      <c r="S3627" s="19"/>
      <c r="T3627" s="19"/>
      <c r="U3627" s="19"/>
      <c r="V3627" s="19" t="n">
        <v>20</v>
      </c>
      <c r="W3627" s="19"/>
      <c r="X3627" s="19"/>
      <c r="Y3627" s="19"/>
      <c r="Z3627" s="19"/>
      <c r="AA3627" s="19"/>
      <c r="AB3627" s="19"/>
      <c r="AC3627" s="19" t="n">
        <v>33</v>
      </c>
      <c r="AD3627" s="19"/>
      <c r="AE3627" s="19"/>
      <c r="AF3627" s="19"/>
      <c r="AG3627" s="19"/>
      <c r="AH3627" s="19"/>
      <c r="AI3627" s="19"/>
      <c r="AJ3627" s="19"/>
      <c r="AK3627" s="19"/>
      <c r="AL3627" s="19"/>
      <c r="AM3627" s="19" t="n">
        <v>22</v>
      </c>
      <c r="AN3627" s="19" t="n">
        <v>11</v>
      </c>
      <c r="AO3627" s="19"/>
      <c r="AP3627" s="19"/>
      <c r="AQ3627" s="19"/>
      <c r="AR3627" s="19"/>
      <c r="AS3627" s="20" t="str">
        <f aca="false">HYPERLINK("http://www.openstreetmap.org/?mlat=32.4754&amp;mlon=45.8202&amp;zoom=12#map=12/32.4754/45.8202","Maplink1")</f>
        <v>Maplink1</v>
      </c>
      <c r="AT3627" s="20" t="str">
        <f aca="false">HYPERLINK("https://www.google.iq/maps/search/+32.4754,45.8202/@32.4754,45.8202,14z?hl=en","Maplink2")</f>
        <v>Maplink2</v>
      </c>
      <c r="AU3627" s="20" t="str">
        <f aca="false">HYPERLINK("http://www.bing.com/maps/?lvl=14&amp;sty=h&amp;cp=32.4754~45.8202&amp;sp=point.32.4754_45.8202","Maplink3")</f>
        <v>Maplink3</v>
      </c>
    </row>
    <row r="3628" customFormat="false" ht="15" hidden="false" customHeight="false" outlineLevel="0" collapsed="false">
      <c r="A3628" s="15" t="n">
        <v>24640</v>
      </c>
      <c r="B3628" s="16" t="s">
        <v>32</v>
      </c>
      <c r="C3628" s="16" t="s">
        <v>6812</v>
      </c>
      <c r="D3628" s="16" t="s">
        <v>6863</v>
      </c>
      <c r="E3628" s="17" t="s">
        <v>6864</v>
      </c>
      <c r="F3628" s="16" t="n">
        <v>32.47155458</v>
      </c>
      <c r="G3628" s="16" t="n">
        <v>45.81100857</v>
      </c>
      <c r="H3628" s="18" t="n">
        <v>16</v>
      </c>
      <c r="I3628" s="18" t="n">
        <v>96</v>
      </c>
      <c r="J3628" s="19"/>
      <c r="K3628" s="19"/>
      <c r="L3628" s="19"/>
      <c r="M3628" s="19"/>
      <c r="N3628" s="19"/>
      <c r="O3628" s="19"/>
      <c r="P3628" s="19"/>
      <c r="Q3628" s="19"/>
      <c r="R3628" s="19"/>
      <c r="S3628" s="19"/>
      <c r="T3628" s="19"/>
      <c r="U3628" s="19"/>
      <c r="V3628" s="19" t="n">
        <v>16</v>
      </c>
      <c r="W3628" s="19"/>
      <c r="X3628" s="19"/>
      <c r="Y3628" s="19"/>
      <c r="Z3628" s="19"/>
      <c r="AA3628" s="19"/>
      <c r="AB3628" s="19"/>
      <c r="AC3628" s="19"/>
      <c r="AD3628" s="19"/>
      <c r="AE3628" s="19"/>
      <c r="AF3628" s="19"/>
      <c r="AG3628" s="19"/>
      <c r="AH3628" s="19" t="n">
        <v>16</v>
      </c>
      <c r="AI3628" s="19"/>
      <c r="AJ3628" s="19"/>
      <c r="AK3628" s="19"/>
      <c r="AL3628" s="19"/>
      <c r="AM3628" s="19" t="n">
        <v>16</v>
      </c>
      <c r="AN3628" s="19"/>
      <c r="AO3628" s="19"/>
      <c r="AP3628" s="19"/>
      <c r="AQ3628" s="19"/>
      <c r="AR3628" s="19"/>
      <c r="AS3628" s="20" t="str">
        <f aca="false">HYPERLINK("http://www.openstreetmap.org/?mlat=32.4716&amp;mlon=45.811&amp;zoom=12#map=12/32.4716/45.811","Maplink1")</f>
        <v>Maplink1</v>
      </c>
      <c r="AT3628" s="20" t="str">
        <f aca="false">HYPERLINK("https://www.google.iq/maps/search/+32.4716,45.811/@32.4716,45.811,14z?hl=en","Maplink2")</f>
        <v>Maplink2</v>
      </c>
      <c r="AU3628" s="20" t="str">
        <f aca="false">HYPERLINK("http://www.bing.com/maps/?lvl=14&amp;sty=h&amp;cp=32.4716~45.811&amp;sp=point.32.4716_45.811","Maplink3")</f>
        <v>Maplink3</v>
      </c>
    </row>
    <row r="3629" customFormat="false" ht="15" hidden="false" customHeight="false" outlineLevel="0" collapsed="false">
      <c r="A3629" s="15" t="n">
        <v>24871</v>
      </c>
      <c r="B3629" s="16" t="s">
        <v>32</v>
      </c>
      <c r="C3629" s="16" t="s">
        <v>6812</v>
      </c>
      <c r="D3629" s="16" t="s">
        <v>6865</v>
      </c>
      <c r="E3629" s="17" t="s">
        <v>6866</v>
      </c>
      <c r="F3629" s="16" t="n">
        <v>32.45687495</v>
      </c>
      <c r="G3629" s="16" t="n">
        <v>46.06776672</v>
      </c>
      <c r="H3629" s="18" t="n">
        <v>6</v>
      </c>
      <c r="I3629" s="18" t="n">
        <v>36</v>
      </c>
      <c r="J3629" s="19"/>
      <c r="K3629" s="19"/>
      <c r="L3629" s="19"/>
      <c r="M3629" s="19"/>
      <c r="N3629" s="19"/>
      <c r="O3629" s="19"/>
      <c r="P3629" s="19"/>
      <c r="Q3629" s="19"/>
      <c r="R3629" s="19"/>
      <c r="S3629" s="19"/>
      <c r="T3629" s="19"/>
      <c r="U3629" s="19"/>
      <c r="V3629" s="19" t="n">
        <v>6</v>
      </c>
      <c r="W3629" s="19"/>
      <c r="X3629" s="19"/>
      <c r="Y3629" s="19"/>
      <c r="Z3629" s="19"/>
      <c r="AA3629" s="19"/>
      <c r="AB3629" s="19"/>
      <c r="AC3629" s="19"/>
      <c r="AD3629" s="19"/>
      <c r="AE3629" s="19"/>
      <c r="AF3629" s="19"/>
      <c r="AG3629" s="19"/>
      <c r="AH3629" s="19" t="n">
        <v>6</v>
      </c>
      <c r="AI3629" s="19"/>
      <c r="AJ3629" s="19"/>
      <c r="AK3629" s="19"/>
      <c r="AL3629" s="19"/>
      <c r="AM3629" s="19" t="n">
        <v>6</v>
      </c>
      <c r="AN3629" s="19"/>
      <c r="AO3629" s="19"/>
      <c r="AP3629" s="19"/>
      <c r="AQ3629" s="19"/>
      <c r="AR3629" s="19"/>
      <c r="AS3629" s="20" t="str">
        <f aca="false">HYPERLINK("http://www.openstreetmap.org/?mlat=32.4569&amp;mlon=46.0678&amp;zoom=12#map=12/32.4569/46.0678","Maplink1")</f>
        <v>Maplink1</v>
      </c>
      <c r="AT3629" s="20" t="str">
        <f aca="false">HYPERLINK("https://www.google.iq/maps/search/+32.4569,46.0678/@32.4569,46.0678,14z?hl=en","Maplink2")</f>
        <v>Maplink2</v>
      </c>
      <c r="AU3629" s="20" t="str">
        <f aca="false">HYPERLINK("http://www.bing.com/maps/?lvl=14&amp;sty=h&amp;cp=32.4569~46.0678&amp;sp=point.32.4569_46.0678","Maplink3")</f>
        <v>Maplink3</v>
      </c>
    </row>
    <row r="3630" customFormat="false" ht="15" hidden="false" customHeight="false" outlineLevel="0" collapsed="false">
      <c r="A3630" s="15" t="n">
        <v>24881</v>
      </c>
      <c r="B3630" s="16" t="s">
        <v>32</v>
      </c>
      <c r="C3630" s="16" t="s">
        <v>6812</v>
      </c>
      <c r="D3630" s="16" t="s">
        <v>6867</v>
      </c>
      <c r="E3630" s="17" t="s">
        <v>6868</v>
      </c>
      <c r="F3630" s="16" t="n">
        <v>32.45442656</v>
      </c>
      <c r="G3630" s="16" t="n">
        <v>46.06594682</v>
      </c>
      <c r="H3630" s="18" t="n">
        <v>6</v>
      </c>
      <c r="I3630" s="18" t="n">
        <v>36</v>
      </c>
      <c r="J3630" s="19"/>
      <c r="K3630" s="19"/>
      <c r="L3630" s="19"/>
      <c r="M3630" s="19"/>
      <c r="N3630" s="19"/>
      <c r="O3630" s="19"/>
      <c r="P3630" s="19"/>
      <c r="Q3630" s="19"/>
      <c r="R3630" s="19"/>
      <c r="S3630" s="19"/>
      <c r="T3630" s="19"/>
      <c r="U3630" s="19"/>
      <c r="V3630" s="19" t="n">
        <v>6</v>
      </c>
      <c r="W3630" s="19"/>
      <c r="X3630" s="19"/>
      <c r="Y3630" s="19"/>
      <c r="Z3630" s="19"/>
      <c r="AA3630" s="19"/>
      <c r="AB3630" s="19"/>
      <c r="AC3630" s="19"/>
      <c r="AD3630" s="19"/>
      <c r="AE3630" s="19"/>
      <c r="AF3630" s="19"/>
      <c r="AG3630" s="19"/>
      <c r="AH3630" s="19" t="n">
        <v>6</v>
      </c>
      <c r="AI3630" s="19"/>
      <c r="AJ3630" s="19"/>
      <c r="AK3630" s="19"/>
      <c r="AL3630" s="19"/>
      <c r="AM3630" s="19" t="n">
        <v>6</v>
      </c>
      <c r="AN3630" s="19"/>
      <c r="AO3630" s="19"/>
      <c r="AP3630" s="19"/>
      <c r="AQ3630" s="19"/>
      <c r="AR3630" s="19"/>
      <c r="AS3630" s="20" t="str">
        <f aca="false">HYPERLINK("http://www.openstreetmap.org/?mlat=32.4544&amp;mlon=46.0659&amp;zoom=12#map=12/32.4544/46.0659","Maplink1")</f>
        <v>Maplink1</v>
      </c>
      <c r="AT3630" s="20" t="str">
        <f aca="false">HYPERLINK("https://www.google.iq/maps/search/+32.4544,46.0659/@32.4544,46.0659,14z?hl=en","Maplink2")</f>
        <v>Maplink2</v>
      </c>
      <c r="AU3630" s="20" t="str">
        <f aca="false">HYPERLINK("http://www.bing.com/maps/?lvl=14&amp;sty=h&amp;cp=32.4544~46.0659&amp;sp=point.32.4544_46.0659","Maplink3")</f>
        <v>Maplink3</v>
      </c>
    </row>
    <row r="3631" customFormat="false" ht="15" hidden="false" customHeight="false" outlineLevel="0" collapsed="false">
      <c r="A3631" s="15" t="n">
        <v>24784</v>
      </c>
      <c r="B3631" s="16" t="s">
        <v>32</v>
      </c>
      <c r="C3631" s="16" t="s">
        <v>6812</v>
      </c>
      <c r="D3631" s="16" t="s">
        <v>6869</v>
      </c>
      <c r="E3631" s="17" t="s">
        <v>6870</v>
      </c>
      <c r="F3631" s="16" t="n">
        <v>32.5457729772</v>
      </c>
      <c r="G3631" s="16" t="n">
        <v>45.7230541483</v>
      </c>
      <c r="H3631" s="18" t="n">
        <v>9</v>
      </c>
      <c r="I3631" s="18" t="n">
        <v>54</v>
      </c>
      <c r="J3631" s="19"/>
      <c r="K3631" s="19"/>
      <c r="L3631" s="19"/>
      <c r="M3631" s="19"/>
      <c r="N3631" s="19"/>
      <c r="O3631" s="19"/>
      <c r="P3631" s="19"/>
      <c r="Q3631" s="19"/>
      <c r="R3631" s="19"/>
      <c r="S3631" s="19"/>
      <c r="T3631" s="19"/>
      <c r="U3631" s="19"/>
      <c r="V3631" s="19" t="n">
        <v>9</v>
      </c>
      <c r="W3631" s="19"/>
      <c r="X3631" s="19"/>
      <c r="Y3631" s="19"/>
      <c r="Z3631" s="19"/>
      <c r="AA3631" s="19"/>
      <c r="AB3631" s="19"/>
      <c r="AC3631" s="19"/>
      <c r="AD3631" s="19"/>
      <c r="AE3631" s="19"/>
      <c r="AF3631" s="19"/>
      <c r="AG3631" s="19" t="n">
        <v>9</v>
      </c>
      <c r="AH3631" s="19"/>
      <c r="AI3631" s="19"/>
      <c r="AJ3631" s="19"/>
      <c r="AK3631" s="19"/>
      <c r="AL3631" s="19"/>
      <c r="AM3631" s="19" t="n">
        <v>9</v>
      </c>
      <c r="AN3631" s="19"/>
      <c r="AO3631" s="19"/>
      <c r="AP3631" s="19"/>
      <c r="AQ3631" s="19"/>
      <c r="AR3631" s="19"/>
      <c r="AS3631" s="20" t="str">
        <f aca="false">HYPERLINK("http://www.openstreetmap.org/?mlat=32.5458&amp;mlon=45.7231&amp;zoom=12#map=12/32.5458/45.7231","Maplink1")</f>
        <v>Maplink1</v>
      </c>
      <c r="AT3631" s="20" t="str">
        <f aca="false">HYPERLINK("https://www.google.iq/maps/search/+32.5458,45.7231/@32.5458,45.7231,14z?hl=en","Maplink2")</f>
        <v>Maplink2</v>
      </c>
      <c r="AU3631" s="20" t="str">
        <f aca="false">HYPERLINK("http://www.bing.com/maps/?lvl=14&amp;sty=h&amp;cp=32.5458~45.7231&amp;sp=point.32.5458_45.7231","Maplink3")</f>
        <v>Maplink3</v>
      </c>
    </row>
    <row r="3632" customFormat="false" ht="15" hidden="false" customHeight="false" outlineLevel="0" collapsed="false">
      <c r="A3632" s="15" t="n">
        <v>25104</v>
      </c>
      <c r="B3632" s="16" t="s">
        <v>32</v>
      </c>
      <c r="C3632" s="16" t="s">
        <v>6812</v>
      </c>
      <c r="D3632" s="16" t="s">
        <v>6871</v>
      </c>
      <c r="E3632" s="17" t="s">
        <v>6872</v>
      </c>
      <c r="F3632" s="16" t="n">
        <v>32.54302787</v>
      </c>
      <c r="G3632" s="16" t="n">
        <v>45.83183638</v>
      </c>
      <c r="H3632" s="18" t="n">
        <v>20</v>
      </c>
      <c r="I3632" s="18" t="n">
        <v>120</v>
      </c>
      <c r="J3632" s="19" t="n">
        <v>18</v>
      </c>
      <c r="K3632" s="19"/>
      <c r="L3632" s="19"/>
      <c r="M3632" s="19"/>
      <c r="N3632" s="19"/>
      <c r="O3632" s="19"/>
      <c r="P3632" s="19"/>
      <c r="Q3632" s="19"/>
      <c r="R3632" s="19" t="n">
        <v>1</v>
      </c>
      <c r="S3632" s="19"/>
      <c r="T3632" s="19"/>
      <c r="U3632" s="19"/>
      <c r="V3632" s="19" t="n">
        <v>1</v>
      </c>
      <c r="W3632" s="19"/>
      <c r="X3632" s="19"/>
      <c r="Y3632" s="19"/>
      <c r="Z3632" s="19"/>
      <c r="AA3632" s="19"/>
      <c r="AB3632" s="19"/>
      <c r="AC3632" s="19"/>
      <c r="AD3632" s="19"/>
      <c r="AE3632" s="19"/>
      <c r="AF3632" s="19"/>
      <c r="AG3632" s="19"/>
      <c r="AH3632" s="19" t="n">
        <v>20</v>
      </c>
      <c r="AI3632" s="19"/>
      <c r="AJ3632" s="19"/>
      <c r="AK3632" s="19"/>
      <c r="AL3632" s="19"/>
      <c r="AM3632" s="19" t="n">
        <v>2</v>
      </c>
      <c r="AN3632" s="19"/>
      <c r="AO3632" s="19" t="n">
        <v>10</v>
      </c>
      <c r="AP3632" s="19" t="n">
        <v>8</v>
      </c>
      <c r="AQ3632" s="19"/>
      <c r="AR3632" s="19"/>
      <c r="AS3632" s="20" t="str">
        <f aca="false">HYPERLINK("http://www.openstreetmap.org/?mlat=32.543&amp;mlon=45.8318&amp;zoom=12#map=12/32.543/45.8318","Maplink1")</f>
        <v>Maplink1</v>
      </c>
      <c r="AT3632" s="20" t="str">
        <f aca="false">HYPERLINK("https://www.google.iq/maps/search/+32.543,45.8318/@32.543,45.8318,14z?hl=en","Maplink2")</f>
        <v>Maplink2</v>
      </c>
      <c r="AU3632" s="20" t="str">
        <f aca="false">HYPERLINK("http://www.bing.com/maps/?lvl=14&amp;sty=h&amp;cp=32.543~45.8318&amp;sp=point.32.543_45.8318","Maplink3")</f>
        <v>Maplink3</v>
      </c>
    </row>
    <row r="3633" customFormat="false" ht="15" hidden="false" customHeight="false" outlineLevel="0" collapsed="false">
      <c r="A3633" s="15" t="n">
        <v>25105</v>
      </c>
      <c r="B3633" s="16" t="s">
        <v>32</v>
      </c>
      <c r="C3633" s="16" t="s">
        <v>6812</v>
      </c>
      <c r="D3633" s="16" t="s">
        <v>6873</v>
      </c>
      <c r="E3633" s="17" t="s">
        <v>6874</v>
      </c>
      <c r="F3633" s="16" t="n">
        <v>32.54508099</v>
      </c>
      <c r="G3633" s="16" t="n">
        <v>45.83298564</v>
      </c>
      <c r="H3633" s="18" t="n">
        <v>26</v>
      </c>
      <c r="I3633" s="18" t="n">
        <v>156</v>
      </c>
      <c r="J3633" s="19" t="n">
        <v>20</v>
      </c>
      <c r="K3633" s="19"/>
      <c r="L3633" s="19"/>
      <c r="M3633" s="19"/>
      <c r="N3633" s="19"/>
      <c r="O3633" s="19"/>
      <c r="P3633" s="19"/>
      <c r="Q3633" s="19"/>
      <c r="R3633" s="19" t="n">
        <v>1</v>
      </c>
      <c r="S3633" s="19"/>
      <c r="T3633" s="19"/>
      <c r="U3633" s="19"/>
      <c r="V3633" s="19" t="n">
        <v>5</v>
      </c>
      <c r="W3633" s="19"/>
      <c r="X3633" s="19"/>
      <c r="Y3633" s="19"/>
      <c r="Z3633" s="19"/>
      <c r="AA3633" s="19"/>
      <c r="AB3633" s="19"/>
      <c r="AC3633" s="19" t="n">
        <v>6</v>
      </c>
      <c r="AD3633" s="19"/>
      <c r="AE3633" s="19"/>
      <c r="AF3633" s="19"/>
      <c r="AG3633" s="19"/>
      <c r="AH3633" s="19" t="n">
        <v>20</v>
      </c>
      <c r="AI3633" s="19"/>
      <c r="AJ3633" s="19"/>
      <c r="AK3633" s="19"/>
      <c r="AL3633" s="19" t="n">
        <v>12</v>
      </c>
      <c r="AM3633" s="19" t="n">
        <v>6</v>
      </c>
      <c r="AN3633" s="19"/>
      <c r="AO3633" s="19"/>
      <c r="AP3633" s="19" t="n">
        <v>8</v>
      </c>
      <c r="AQ3633" s="19"/>
      <c r="AR3633" s="19"/>
      <c r="AS3633" s="20" t="str">
        <f aca="false">HYPERLINK("http://www.openstreetmap.org/?mlat=32.5451&amp;mlon=45.833&amp;zoom=12#map=12/32.5451/45.833","Maplink1")</f>
        <v>Maplink1</v>
      </c>
      <c r="AT3633" s="20" t="str">
        <f aca="false">HYPERLINK("https://www.google.iq/maps/search/+32.5451,45.833/@32.5451,45.833,14z?hl=en","Maplink2")</f>
        <v>Maplink2</v>
      </c>
      <c r="AU3633" s="20" t="str">
        <f aca="false">HYPERLINK("http://www.bing.com/maps/?lvl=14&amp;sty=h&amp;cp=32.5451~45.833&amp;sp=point.32.5451_45.833","Maplink3")</f>
        <v>Maplink3</v>
      </c>
    </row>
    <row r="3634" customFormat="false" ht="15" hidden="false" customHeight="false" outlineLevel="0" collapsed="false">
      <c r="A3634" s="15" t="n">
        <v>27276</v>
      </c>
      <c r="B3634" s="16" t="s">
        <v>32</v>
      </c>
      <c r="C3634" s="16" t="s">
        <v>6812</v>
      </c>
      <c r="D3634" s="16" t="s">
        <v>6875</v>
      </c>
      <c r="E3634" s="17" t="s">
        <v>6876</v>
      </c>
      <c r="F3634" s="16" t="n">
        <v>32.51754792</v>
      </c>
      <c r="G3634" s="16" t="n">
        <v>45.80191839</v>
      </c>
      <c r="H3634" s="18" t="n">
        <v>68</v>
      </c>
      <c r="I3634" s="18" t="n">
        <v>408</v>
      </c>
      <c r="J3634" s="19" t="n">
        <v>15</v>
      </c>
      <c r="K3634" s="19"/>
      <c r="L3634" s="19"/>
      <c r="M3634" s="19"/>
      <c r="N3634" s="19"/>
      <c r="O3634" s="19"/>
      <c r="P3634" s="19"/>
      <c r="Q3634" s="19"/>
      <c r="R3634" s="19"/>
      <c r="S3634" s="19"/>
      <c r="T3634" s="19"/>
      <c r="U3634" s="19"/>
      <c r="V3634" s="19" t="n">
        <v>48</v>
      </c>
      <c r="W3634" s="19"/>
      <c r="X3634" s="19" t="n">
        <v>5</v>
      </c>
      <c r="Y3634" s="19"/>
      <c r="Z3634" s="19"/>
      <c r="AA3634" s="19"/>
      <c r="AB3634" s="19"/>
      <c r="AC3634" s="19"/>
      <c r="AD3634" s="19"/>
      <c r="AE3634" s="19"/>
      <c r="AF3634" s="19"/>
      <c r="AG3634" s="19"/>
      <c r="AH3634" s="19" t="n">
        <v>68</v>
      </c>
      <c r="AI3634" s="19"/>
      <c r="AJ3634" s="19"/>
      <c r="AK3634" s="19"/>
      <c r="AL3634" s="19"/>
      <c r="AM3634" s="19" t="n">
        <v>46</v>
      </c>
      <c r="AN3634" s="19" t="n">
        <v>7</v>
      </c>
      <c r="AO3634" s="19"/>
      <c r="AP3634" s="19" t="n">
        <v>15</v>
      </c>
      <c r="AQ3634" s="19"/>
      <c r="AR3634" s="19"/>
      <c r="AS3634" s="20" t="str">
        <f aca="false">HYPERLINK("http://www.openstreetmap.org/?mlat=32.5175&amp;mlon=45.8019&amp;zoom=12#map=12/32.5175/45.8019","Maplink1")</f>
        <v>Maplink1</v>
      </c>
      <c r="AT3634" s="20" t="str">
        <f aca="false">HYPERLINK("https://www.google.iq/maps/search/+32.5175,45.8019/@32.5175,45.8019,14z?hl=en","Maplink2")</f>
        <v>Maplink2</v>
      </c>
      <c r="AU3634" s="20" t="str">
        <f aca="false">HYPERLINK("http://www.bing.com/maps/?lvl=14&amp;sty=h&amp;cp=32.5175~45.8019&amp;sp=point.32.5175_45.8019","Maplink3")</f>
        <v>Maplink3</v>
      </c>
    </row>
    <row r="3635" customFormat="false" ht="15" hidden="false" customHeight="false" outlineLevel="0" collapsed="false">
      <c r="A3635" s="15" t="n">
        <v>24785</v>
      </c>
      <c r="B3635" s="16" t="s">
        <v>32</v>
      </c>
      <c r="C3635" s="16" t="s">
        <v>6812</v>
      </c>
      <c r="D3635" s="16" t="s">
        <v>6877</v>
      </c>
      <c r="E3635" s="17" t="s">
        <v>6878</v>
      </c>
      <c r="F3635" s="16" t="n">
        <v>32.48304888</v>
      </c>
      <c r="G3635" s="16" t="n">
        <v>45.9075651</v>
      </c>
      <c r="H3635" s="18" t="n">
        <v>23</v>
      </c>
      <c r="I3635" s="18" t="n">
        <v>138</v>
      </c>
      <c r="J3635" s="19"/>
      <c r="K3635" s="19"/>
      <c r="L3635" s="19"/>
      <c r="M3635" s="19"/>
      <c r="N3635" s="19"/>
      <c r="O3635" s="19" t="n">
        <v>2</v>
      </c>
      <c r="P3635" s="19"/>
      <c r="Q3635" s="19"/>
      <c r="R3635" s="19"/>
      <c r="S3635" s="19"/>
      <c r="T3635" s="19"/>
      <c r="U3635" s="19"/>
      <c r="V3635" s="19" t="n">
        <v>21</v>
      </c>
      <c r="W3635" s="19"/>
      <c r="X3635" s="19"/>
      <c r="Y3635" s="19"/>
      <c r="Z3635" s="19"/>
      <c r="AA3635" s="19"/>
      <c r="AB3635" s="19"/>
      <c r="AC3635" s="19" t="n">
        <v>4</v>
      </c>
      <c r="AD3635" s="19"/>
      <c r="AE3635" s="19"/>
      <c r="AF3635" s="19"/>
      <c r="AG3635" s="19" t="n">
        <v>4</v>
      </c>
      <c r="AH3635" s="19" t="n">
        <v>15</v>
      </c>
      <c r="AI3635" s="19"/>
      <c r="AJ3635" s="19"/>
      <c r="AK3635" s="19"/>
      <c r="AL3635" s="19"/>
      <c r="AM3635" s="19" t="n">
        <v>23</v>
      </c>
      <c r="AN3635" s="19"/>
      <c r="AO3635" s="19"/>
      <c r="AP3635" s="19"/>
      <c r="AQ3635" s="19"/>
      <c r="AR3635" s="19"/>
      <c r="AS3635" s="20" t="str">
        <f aca="false">HYPERLINK("http://www.openstreetmap.org/?mlat=32.483&amp;mlon=45.9076&amp;zoom=12#map=12/32.483/45.9076","Maplink1")</f>
        <v>Maplink1</v>
      </c>
      <c r="AT3635" s="20" t="str">
        <f aca="false">HYPERLINK("https://www.google.iq/maps/search/+32.483,45.9076/@32.483,45.9076,14z?hl=en","Maplink2")</f>
        <v>Maplink2</v>
      </c>
      <c r="AU3635" s="20" t="str">
        <f aca="false">HYPERLINK("http://www.bing.com/maps/?lvl=14&amp;sty=h&amp;cp=32.483~45.9076&amp;sp=point.32.483_45.9076","Maplink3")</f>
        <v>Maplink3</v>
      </c>
    </row>
    <row r="3636" customFormat="false" ht="15" hidden="false" customHeight="false" outlineLevel="0" collapsed="false">
      <c r="A3636" s="15" t="n">
        <v>24872</v>
      </c>
      <c r="B3636" s="16" t="s">
        <v>32</v>
      </c>
      <c r="C3636" s="16" t="s">
        <v>6812</v>
      </c>
      <c r="D3636" s="16" t="s">
        <v>6879</v>
      </c>
      <c r="E3636" s="17" t="s">
        <v>6880</v>
      </c>
      <c r="F3636" s="16" t="n">
        <v>32.46448233</v>
      </c>
      <c r="G3636" s="16" t="n">
        <v>46.08122471</v>
      </c>
      <c r="H3636" s="18" t="n">
        <v>9</v>
      </c>
      <c r="I3636" s="18" t="n">
        <v>54</v>
      </c>
      <c r="J3636" s="19"/>
      <c r="K3636" s="19"/>
      <c r="L3636" s="19"/>
      <c r="M3636" s="19"/>
      <c r="N3636" s="19"/>
      <c r="O3636" s="19"/>
      <c r="P3636" s="19"/>
      <c r="Q3636" s="19"/>
      <c r="R3636" s="19"/>
      <c r="S3636" s="19"/>
      <c r="T3636" s="19"/>
      <c r="U3636" s="19"/>
      <c r="V3636" s="19" t="n">
        <v>9</v>
      </c>
      <c r="W3636" s="19"/>
      <c r="X3636" s="19"/>
      <c r="Y3636" s="19"/>
      <c r="Z3636" s="19"/>
      <c r="AA3636" s="19"/>
      <c r="AB3636" s="19"/>
      <c r="AC3636" s="19"/>
      <c r="AD3636" s="19"/>
      <c r="AE3636" s="19"/>
      <c r="AF3636" s="19"/>
      <c r="AG3636" s="19"/>
      <c r="AH3636" s="19" t="n">
        <v>9</v>
      </c>
      <c r="AI3636" s="19"/>
      <c r="AJ3636" s="19"/>
      <c r="AK3636" s="19"/>
      <c r="AL3636" s="19"/>
      <c r="AM3636" s="19" t="n">
        <v>9</v>
      </c>
      <c r="AN3636" s="19"/>
      <c r="AO3636" s="19"/>
      <c r="AP3636" s="19"/>
      <c r="AQ3636" s="19"/>
      <c r="AR3636" s="19"/>
      <c r="AS3636" s="20" t="str">
        <f aca="false">HYPERLINK("http://www.openstreetmap.org/?mlat=32.4645&amp;mlon=46.0812&amp;zoom=12#map=12/32.4645/46.0812","Maplink1")</f>
        <v>Maplink1</v>
      </c>
      <c r="AT3636" s="20" t="str">
        <f aca="false">HYPERLINK("https://www.google.iq/maps/search/+32.4645,46.0812/@32.4645,46.0812,14z?hl=en","Maplink2")</f>
        <v>Maplink2</v>
      </c>
      <c r="AU3636" s="20" t="str">
        <f aca="false">HYPERLINK("http://www.bing.com/maps/?lvl=14&amp;sty=h&amp;cp=32.4645~46.0812&amp;sp=point.32.4645_46.0812","Maplink3")</f>
        <v>Maplink3</v>
      </c>
    </row>
    <row r="3637" customFormat="false" ht="15" hidden="false" customHeight="false" outlineLevel="0" collapsed="false">
      <c r="A3637" s="15" t="n">
        <v>24882</v>
      </c>
      <c r="B3637" s="16" t="s">
        <v>32</v>
      </c>
      <c r="C3637" s="16" t="s">
        <v>6812</v>
      </c>
      <c r="D3637" s="16" t="s">
        <v>6881</v>
      </c>
      <c r="E3637" s="17" t="s">
        <v>6882</v>
      </c>
      <c r="F3637" s="16" t="n">
        <v>32.46007311</v>
      </c>
      <c r="G3637" s="16" t="n">
        <v>46.07984</v>
      </c>
      <c r="H3637" s="18" t="n">
        <v>8</v>
      </c>
      <c r="I3637" s="18" t="n">
        <v>48</v>
      </c>
      <c r="J3637" s="19"/>
      <c r="K3637" s="19"/>
      <c r="L3637" s="19"/>
      <c r="M3637" s="19"/>
      <c r="N3637" s="19"/>
      <c r="O3637" s="19"/>
      <c r="P3637" s="19"/>
      <c r="Q3637" s="19"/>
      <c r="R3637" s="19"/>
      <c r="S3637" s="19"/>
      <c r="T3637" s="19"/>
      <c r="U3637" s="19"/>
      <c r="V3637" s="19" t="n">
        <v>8</v>
      </c>
      <c r="W3637" s="19"/>
      <c r="X3637" s="19"/>
      <c r="Y3637" s="19"/>
      <c r="Z3637" s="19"/>
      <c r="AA3637" s="19"/>
      <c r="AB3637" s="19"/>
      <c r="AC3637" s="19" t="n">
        <v>8</v>
      </c>
      <c r="AD3637" s="19"/>
      <c r="AE3637" s="19"/>
      <c r="AF3637" s="19"/>
      <c r="AG3637" s="19"/>
      <c r="AH3637" s="19"/>
      <c r="AI3637" s="19"/>
      <c r="AJ3637" s="19"/>
      <c r="AK3637" s="19"/>
      <c r="AL3637" s="19"/>
      <c r="AM3637" s="19" t="n">
        <v>8</v>
      </c>
      <c r="AN3637" s="19"/>
      <c r="AO3637" s="19"/>
      <c r="AP3637" s="19"/>
      <c r="AQ3637" s="19"/>
      <c r="AR3637" s="19"/>
      <c r="AS3637" s="20" t="str">
        <f aca="false">HYPERLINK("http://www.openstreetmap.org/?mlat=32.4601&amp;mlon=46.0798&amp;zoom=12#map=12/32.4601/46.0798","Maplink1")</f>
        <v>Maplink1</v>
      </c>
      <c r="AT3637" s="20" t="str">
        <f aca="false">HYPERLINK("https://www.google.iq/maps/search/+32.4601,46.0798/@32.4601,46.0798,14z?hl=en","Maplink2")</f>
        <v>Maplink2</v>
      </c>
      <c r="AU3637" s="20" t="str">
        <f aca="false">HYPERLINK("http://www.bing.com/maps/?lvl=14&amp;sty=h&amp;cp=32.4601~46.0798&amp;sp=point.32.4601_46.0798","Maplink3")</f>
        <v>Maplink3</v>
      </c>
    </row>
    <row r="3638" customFormat="false" ht="15" hidden="false" customHeight="false" outlineLevel="0" collapsed="false">
      <c r="A3638" s="15" t="n">
        <v>21868</v>
      </c>
      <c r="B3638" s="16" t="s">
        <v>32</v>
      </c>
      <c r="C3638" s="16" t="s">
        <v>6812</v>
      </c>
      <c r="D3638" s="16" t="s">
        <v>6883</v>
      </c>
      <c r="E3638" s="17" t="s">
        <v>6884</v>
      </c>
      <c r="F3638" s="16" t="n">
        <v>32.52345488</v>
      </c>
      <c r="G3638" s="16" t="n">
        <v>45.84741828</v>
      </c>
      <c r="H3638" s="18" t="n">
        <v>21</v>
      </c>
      <c r="I3638" s="18" t="n">
        <v>126</v>
      </c>
      <c r="J3638" s="19" t="n">
        <v>8</v>
      </c>
      <c r="K3638" s="19"/>
      <c r="L3638" s="19"/>
      <c r="M3638" s="19"/>
      <c r="N3638" s="19"/>
      <c r="O3638" s="19"/>
      <c r="P3638" s="19"/>
      <c r="Q3638" s="19"/>
      <c r="R3638" s="19"/>
      <c r="S3638" s="19"/>
      <c r="T3638" s="19"/>
      <c r="U3638" s="19"/>
      <c r="V3638" s="19" t="n">
        <v>13</v>
      </c>
      <c r="W3638" s="19"/>
      <c r="X3638" s="19"/>
      <c r="Y3638" s="19"/>
      <c r="Z3638" s="19"/>
      <c r="AA3638" s="19"/>
      <c r="AB3638" s="19"/>
      <c r="AC3638" s="19"/>
      <c r="AD3638" s="19"/>
      <c r="AE3638" s="19"/>
      <c r="AF3638" s="19"/>
      <c r="AG3638" s="19"/>
      <c r="AH3638" s="19" t="n">
        <v>21</v>
      </c>
      <c r="AI3638" s="19"/>
      <c r="AJ3638" s="19"/>
      <c r="AK3638" s="19"/>
      <c r="AL3638" s="19"/>
      <c r="AM3638" s="19" t="n">
        <v>8</v>
      </c>
      <c r="AN3638" s="19" t="n">
        <v>13</v>
      </c>
      <c r="AO3638" s="19"/>
      <c r="AP3638" s="19"/>
      <c r="AQ3638" s="19"/>
      <c r="AR3638" s="19"/>
      <c r="AS3638" s="20" t="str">
        <f aca="false">HYPERLINK("http://www.openstreetmap.org/?mlat=32.5235&amp;mlon=45.8474&amp;zoom=12#map=12/32.5235/45.8474","Maplink1")</f>
        <v>Maplink1</v>
      </c>
      <c r="AT3638" s="20" t="str">
        <f aca="false">HYPERLINK("https://www.google.iq/maps/search/+32.5235,45.8474/@32.5235,45.8474,14z?hl=en","Maplink2")</f>
        <v>Maplink2</v>
      </c>
      <c r="AU3638" s="20" t="str">
        <f aca="false">HYPERLINK("http://www.bing.com/maps/?lvl=14&amp;sty=h&amp;cp=32.5235~45.8474&amp;sp=point.32.5235_45.8474","Maplink3")</f>
        <v>Maplink3</v>
      </c>
    </row>
    <row r="3639" customFormat="false" ht="15" hidden="false" customHeight="false" outlineLevel="0" collapsed="false">
      <c r="A3639" s="15" t="n">
        <v>25322</v>
      </c>
      <c r="B3639" s="16" t="s">
        <v>32</v>
      </c>
      <c r="C3639" s="16" t="s">
        <v>6812</v>
      </c>
      <c r="D3639" s="16" t="s">
        <v>6885</v>
      </c>
      <c r="E3639" s="17" t="s">
        <v>6886</v>
      </c>
      <c r="F3639" s="16" t="n">
        <v>32.51431883</v>
      </c>
      <c r="G3639" s="16" t="n">
        <v>45.83939568</v>
      </c>
      <c r="H3639" s="18" t="n">
        <v>13</v>
      </c>
      <c r="I3639" s="18" t="n">
        <v>78</v>
      </c>
      <c r="J3639" s="19"/>
      <c r="K3639" s="19"/>
      <c r="L3639" s="19"/>
      <c r="M3639" s="19"/>
      <c r="N3639" s="19"/>
      <c r="O3639" s="19"/>
      <c r="P3639" s="19"/>
      <c r="Q3639" s="19"/>
      <c r="R3639" s="19"/>
      <c r="S3639" s="19"/>
      <c r="T3639" s="19"/>
      <c r="U3639" s="19"/>
      <c r="V3639" s="19" t="n">
        <v>13</v>
      </c>
      <c r="W3639" s="19"/>
      <c r="X3639" s="19"/>
      <c r="Y3639" s="19"/>
      <c r="Z3639" s="19"/>
      <c r="AA3639" s="19"/>
      <c r="AB3639" s="19"/>
      <c r="AC3639" s="19"/>
      <c r="AD3639" s="19"/>
      <c r="AE3639" s="19"/>
      <c r="AF3639" s="19"/>
      <c r="AG3639" s="19"/>
      <c r="AH3639" s="19" t="n">
        <v>13</v>
      </c>
      <c r="AI3639" s="19"/>
      <c r="AJ3639" s="19"/>
      <c r="AK3639" s="19"/>
      <c r="AL3639" s="19"/>
      <c r="AM3639" s="19" t="n">
        <v>10</v>
      </c>
      <c r="AN3639" s="19"/>
      <c r="AO3639" s="19" t="n">
        <v>3</v>
      </c>
      <c r="AP3639" s="19"/>
      <c r="AQ3639" s="19"/>
      <c r="AR3639" s="19"/>
      <c r="AS3639" s="20" t="str">
        <f aca="false">HYPERLINK("http://www.openstreetmap.org/?mlat=32.5143&amp;mlon=45.8394&amp;zoom=12#map=12/32.5143/45.8394","Maplink1")</f>
        <v>Maplink1</v>
      </c>
      <c r="AT3639" s="20" t="str">
        <f aca="false">HYPERLINK("https://www.google.iq/maps/search/+32.5143,45.8394/@32.5143,45.8394,14z?hl=en","Maplink2")</f>
        <v>Maplink2</v>
      </c>
      <c r="AU3639" s="20" t="str">
        <f aca="false">HYPERLINK("http://www.bing.com/maps/?lvl=14&amp;sty=h&amp;cp=32.5143~45.8394&amp;sp=point.32.5143_45.8394","Maplink3")</f>
        <v>Maplink3</v>
      </c>
    </row>
    <row r="3640" customFormat="false" ht="15" hidden="false" customHeight="false" outlineLevel="0" collapsed="false">
      <c r="A3640" s="15" t="n">
        <v>19555</v>
      </c>
      <c r="B3640" s="16" t="s">
        <v>32</v>
      </c>
      <c r="C3640" s="16" t="s">
        <v>6812</v>
      </c>
      <c r="D3640" s="16" t="s">
        <v>6887</v>
      </c>
      <c r="E3640" s="17" t="s">
        <v>6888</v>
      </c>
      <c r="F3640" s="16" t="n">
        <v>32.53565518</v>
      </c>
      <c r="G3640" s="16" t="n">
        <v>45.82150488</v>
      </c>
      <c r="H3640" s="18" t="n">
        <v>116</v>
      </c>
      <c r="I3640" s="18" t="n">
        <v>696</v>
      </c>
      <c r="J3640" s="19"/>
      <c r="K3640" s="19"/>
      <c r="L3640" s="19"/>
      <c r="M3640" s="19"/>
      <c r="N3640" s="19"/>
      <c r="O3640" s="19"/>
      <c r="P3640" s="19"/>
      <c r="Q3640" s="19"/>
      <c r="R3640" s="19"/>
      <c r="S3640" s="19"/>
      <c r="T3640" s="19"/>
      <c r="U3640" s="19"/>
      <c r="V3640" s="19" t="n">
        <v>106</v>
      </c>
      <c r="W3640" s="19"/>
      <c r="X3640" s="19" t="n">
        <v>10</v>
      </c>
      <c r="Y3640" s="19"/>
      <c r="Z3640" s="19"/>
      <c r="AA3640" s="19"/>
      <c r="AB3640" s="19"/>
      <c r="AC3640" s="19" t="n">
        <v>10</v>
      </c>
      <c r="AD3640" s="19"/>
      <c r="AE3640" s="19"/>
      <c r="AF3640" s="19"/>
      <c r="AG3640" s="19" t="n">
        <v>37</v>
      </c>
      <c r="AH3640" s="19" t="n">
        <v>69</v>
      </c>
      <c r="AI3640" s="19"/>
      <c r="AJ3640" s="19"/>
      <c r="AK3640" s="19"/>
      <c r="AL3640" s="19"/>
      <c r="AM3640" s="19" t="n">
        <v>116</v>
      </c>
      <c r="AN3640" s="19"/>
      <c r="AO3640" s="19"/>
      <c r="AP3640" s="19"/>
      <c r="AQ3640" s="19"/>
      <c r="AR3640" s="19"/>
      <c r="AS3640" s="20" t="str">
        <f aca="false">HYPERLINK("http://www.openstreetmap.org/?mlat=32.5357&amp;mlon=45.8215&amp;zoom=12#map=12/32.5357/45.8215","Maplink1")</f>
        <v>Maplink1</v>
      </c>
      <c r="AT3640" s="20" t="str">
        <f aca="false">HYPERLINK("https://www.google.iq/maps/search/+32.5357,45.8215/@32.5357,45.8215,14z?hl=en","Maplink2")</f>
        <v>Maplink2</v>
      </c>
      <c r="AU3640" s="20" t="str">
        <f aca="false">HYPERLINK("http://www.bing.com/maps/?lvl=14&amp;sty=h&amp;cp=32.5357~45.8215&amp;sp=point.32.5357_45.8215","Maplink3")</f>
        <v>Maplink3</v>
      </c>
    </row>
    <row r="3641" customFormat="false" ht="15" hidden="false" customHeight="false" outlineLevel="0" collapsed="false">
      <c r="A3641" s="15" t="n">
        <v>24758</v>
      </c>
      <c r="B3641" s="16" t="s">
        <v>32</v>
      </c>
      <c r="C3641" s="16" t="s">
        <v>6812</v>
      </c>
      <c r="D3641" s="16" t="s">
        <v>6889</v>
      </c>
      <c r="E3641" s="17" t="s">
        <v>6890</v>
      </c>
      <c r="F3641" s="16" t="n">
        <v>32.529921</v>
      </c>
      <c r="G3641" s="16" t="n">
        <v>45.83274392</v>
      </c>
      <c r="H3641" s="18" t="n">
        <v>63</v>
      </c>
      <c r="I3641" s="18" t="n">
        <v>378</v>
      </c>
      <c r="J3641" s="19" t="n">
        <v>10</v>
      </c>
      <c r="K3641" s="19"/>
      <c r="L3641" s="19"/>
      <c r="M3641" s="19"/>
      <c r="N3641" s="19"/>
      <c r="O3641" s="19"/>
      <c r="P3641" s="19"/>
      <c r="Q3641" s="19"/>
      <c r="R3641" s="19"/>
      <c r="S3641" s="19"/>
      <c r="T3641" s="19"/>
      <c r="U3641" s="19"/>
      <c r="V3641" s="19" t="n">
        <v>53</v>
      </c>
      <c r="W3641" s="19"/>
      <c r="X3641" s="19"/>
      <c r="Y3641" s="19"/>
      <c r="Z3641" s="19"/>
      <c r="AA3641" s="19"/>
      <c r="AB3641" s="19"/>
      <c r="AC3641" s="19"/>
      <c r="AD3641" s="19"/>
      <c r="AE3641" s="19"/>
      <c r="AF3641" s="19"/>
      <c r="AG3641" s="19"/>
      <c r="AH3641" s="19" t="n">
        <v>63</v>
      </c>
      <c r="AI3641" s="19"/>
      <c r="AJ3641" s="19"/>
      <c r="AK3641" s="19"/>
      <c r="AL3641" s="19"/>
      <c r="AM3641" s="19" t="n">
        <v>53</v>
      </c>
      <c r="AN3641" s="19"/>
      <c r="AO3641" s="19"/>
      <c r="AP3641" s="19" t="n">
        <v>10</v>
      </c>
      <c r="AQ3641" s="19"/>
      <c r="AR3641" s="19"/>
      <c r="AS3641" s="20" t="str">
        <f aca="false">HYPERLINK("http://www.openstreetmap.org/?mlat=32.5299&amp;mlon=45.8327&amp;zoom=12#map=12/32.5299/45.8327","Maplink1")</f>
        <v>Maplink1</v>
      </c>
      <c r="AT3641" s="20" t="str">
        <f aca="false">HYPERLINK("https://www.google.iq/maps/search/+32.5299,45.8327/@32.5299,45.8327,14z?hl=en","Maplink2")</f>
        <v>Maplink2</v>
      </c>
      <c r="AU3641" s="20" t="str">
        <f aca="false">HYPERLINK("http://www.bing.com/maps/?lvl=14&amp;sty=h&amp;cp=32.5299~45.8327&amp;sp=point.32.5299_45.8327","Maplink3")</f>
        <v>Maplink3</v>
      </c>
    </row>
    <row r="3642" customFormat="false" ht="15" hidden="false" customHeight="false" outlineLevel="0" collapsed="false">
      <c r="A3642" s="15" t="n">
        <v>19554</v>
      </c>
      <c r="B3642" s="16" t="s">
        <v>32</v>
      </c>
      <c r="C3642" s="16" t="s">
        <v>6812</v>
      </c>
      <c r="D3642" s="16" t="s">
        <v>6891</v>
      </c>
      <c r="E3642" s="17" t="s">
        <v>6892</v>
      </c>
      <c r="F3642" s="16" t="n">
        <v>32.53688988</v>
      </c>
      <c r="G3642" s="16" t="n">
        <v>45.82994428</v>
      </c>
      <c r="H3642" s="18" t="n">
        <v>22</v>
      </c>
      <c r="I3642" s="18" t="n">
        <v>132</v>
      </c>
      <c r="J3642" s="19" t="n">
        <v>8</v>
      </c>
      <c r="K3642" s="19"/>
      <c r="L3642" s="19"/>
      <c r="M3642" s="19"/>
      <c r="N3642" s="19"/>
      <c r="O3642" s="19"/>
      <c r="P3642" s="19"/>
      <c r="Q3642" s="19"/>
      <c r="R3642" s="19" t="n">
        <v>2</v>
      </c>
      <c r="S3642" s="19"/>
      <c r="T3642" s="19"/>
      <c r="U3642" s="19"/>
      <c r="V3642" s="19" t="n">
        <v>12</v>
      </c>
      <c r="W3642" s="19"/>
      <c r="X3642" s="19"/>
      <c r="Y3642" s="19"/>
      <c r="Z3642" s="19"/>
      <c r="AA3642" s="19"/>
      <c r="AB3642" s="19"/>
      <c r="AC3642" s="19"/>
      <c r="AD3642" s="19"/>
      <c r="AE3642" s="19"/>
      <c r="AF3642" s="19"/>
      <c r="AG3642" s="19" t="n">
        <v>6</v>
      </c>
      <c r="AH3642" s="19" t="n">
        <v>16</v>
      </c>
      <c r="AI3642" s="19"/>
      <c r="AJ3642" s="19"/>
      <c r="AK3642" s="19"/>
      <c r="AL3642" s="19"/>
      <c r="AM3642" s="19" t="n">
        <v>14</v>
      </c>
      <c r="AN3642" s="19"/>
      <c r="AO3642" s="19"/>
      <c r="AP3642" s="19" t="n">
        <v>8</v>
      </c>
      <c r="AQ3642" s="19"/>
      <c r="AR3642" s="19"/>
      <c r="AS3642" s="20" t="str">
        <f aca="false">HYPERLINK("http://www.openstreetmap.org/?mlat=32.5369&amp;mlon=45.8299&amp;zoom=12#map=12/32.5369/45.8299","Maplink1")</f>
        <v>Maplink1</v>
      </c>
      <c r="AT3642" s="20" t="str">
        <f aca="false">HYPERLINK("https://www.google.iq/maps/search/+32.5369,45.8299/@32.5369,45.8299,14z?hl=en","Maplink2")</f>
        <v>Maplink2</v>
      </c>
      <c r="AU3642" s="20" t="str">
        <f aca="false">HYPERLINK("http://www.bing.com/maps/?lvl=14&amp;sty=h&amp;cp=32.5369~45.8299&amp;sp=point.32.5369_45.8299","Maplink3")</f>
        <v>Maplink3</v>
      </c>
    </row>
    <row r="3643" customFormat="false" ht="15" hidden="false" customHeight="false" outlineLevel="0" collapsed="false">
      <c r="A3643" s="15" t="n">
        <v>19064</v>
      </c>
      <c r="B3643" s="16" t="s">
        <v>32</v>
      </c>
      <c r="C3643" s="16" t="s">
        <v>6812</v>
      </c>
      <c r="D3643" s="16" t="s">
        <v>6893</v>
      </c>
      <c r="E3643" s="17" t="s">
        <v>6894</v>
      </c>
      <c r="F3643" s="16" t="n">
        <v>32.52969712</v>
      </c>
      <c r="G3643" s="16" t="n">
        <v>45.82145258</v>
      </c>
      <c r="H3643" s="18" t="n">
        <v>30</v>
      </c>
      <c r="I3643" s="18" t="n">
        <v>180</v>
      </c>
      <c r="J3643" s="19"/>
      <c r="K3643" s="19"/>
      <c r="L3643" s="19"/>
      <c r="M3643" s="19"/>
      <c r="N3643" s="19"/>
      <c r="O3643" s="19"/>
      <c r="P3643" s="19"/>
      <c r="Q3643" s="19"/>
      <c r="R3643" s="19"/>
      <c r="S3643" s="19"/>
      <c r="T3643" s="19"/>
      <c r="U3643" s="19"/>
      <c r="V3643" s="19" t="n">
        <v>30</v>
      </c>
      <c r="W3643" s="19"/>
      <c r="X3643" s="19"/>
      <c r="Y3643" s="19"/>
      <c r="Z3643" s="19"/>
      <c r="AA3643" s="19"/>
      <c r="AB3643" s="19"/>
      <c r="AC3643" s="19"/>
      <c r="AD3643" s="19"/>
      <c r="AE3643" s="19"/>
      <c r="AF3643" s="19"/>
      <c r="AG3643" s="19" t="n">
        <v>14</v>
      </c>
      <c r="AH3643" s="19" t="n">
        <v>16</v>
      </c>
      <c r="AI3643" s="19"/>
      <c r="AJ3643" s="19"/>
      <c r="AK3643" s="19"/>
      <c r="AL3643" s="19"/>
      <c r="AM3643" s="19" t="n">
        <v>30</v>
      </c>
      <c r="AN3643" s="19"/>
      <c r="AO3643" s="19"/>
      <c r="AP3643" s="19"/>
      <c r="AQ3643" s="19"/>
      <c r="AR3643" s="19"/>
      <c r="AS3643" s="20" t="str">
        <f aca="false">HYPERLINK("http://www.openstreetmap.org/?mlat=32.5297&amp;mlon=45.8215&amp;zoom=12#map=12/32.5297/45.8215","Maplink1")</f>
        <v>Maplink1</v>
      </c>
      <c r="AT3643" s="20" t="str">
        <f aca="false">HYPERLINK("https://www.google.iq/maps/search/+32.5297,45.8215/@32.5297,45.8215,14z?hl=en","Maplink2")</f>
        <v>Maplink2</v>
      </c>
      <c r="AU3643" s="20" t="str">
        <f aca="false">HYPERLINK("http://www.bing.com/maps/?lvl=14&amp;sty=h&amp;cp=32.5297~45.8215&amp;sp=point.32.5297_45.8215","Maplink3")</f>
        <v>Maplink3</v>
      </c>
    </row>
    <row r="3644" customFormat="false" ht="15" hidden="false" customHeight="false" outlineLevel="0" collapsed="false">
      <c r="A3644" s="15" t="n">
        <v>27383</v>
      </c>
      <c r="B3644" s="16" t="s">
        <v>32</v>
      </c>
      <c r="C3644" s="16" t="s">
        <v>6812</v>
      </c>
      <c r="D3644" s="16" t="s">
        <v>6895</v>
      </c>
      <c r="E3644" s="17" t="s">
        <v>6896</v>
      </c>
      <c r="F3644" s="16" t="n">
        <v>32.51493036</v>
      </c>
      <c r="G3644" s="16" t="n">
        <v>45.84578579</v>
      </c>
      <c r="H3644" s="18" t="n">
        <v>24</v>
      </c>
      <c r="I3644" s="18" t="n">
        <v>144</v>
      </c>
      <c r="J3644" s="19" t="n">
        <v>7</v>
      </c>
      <c r="K3644" s="19"/>
      <c r="L3644" s="19"/>
      <c r="M3644" s="19"/>
      <c r="N3644" s="19"/>
      <c r="O3644" s="19"/>
      <c r="P3644" s="19"/>
      <c r="Q3644" s="19"/>
      <c r="R3644" s="19" t="n">
        <v>7</v>
      </c>
      <c r="S3644" s="19"/>
      <c r="T3644" s="19"/>
      <c r="U3644" s="19"/>
      <c r="V3644" s="19" t="n">
        <v>10</v>
      </c>
      <c r="W3644" s="19"/>
      <c r="X3644" s="19"/>
      <c r="Y3644" s="19"/>
      <c r="Z3644" s="19"/>
      <c r="AA3644" s="19"/>
      <c r="AB3644" s="19"/>
      <c r="AC3644" s="19"/>
      <c r="AD3644" s="19"/>
      <c r="AE3644" s="19"/>
      <c r="AF3644" s="19"/>
      <c r="AG3644" s="19"/>
      <c r="AH3644" s="19" t="n">
        <v>24</v>
      </c>
      <c r="AI3644" s="19"/>
      <c r="AJ3644" s="19"/>
      <c r="AK3644" s="19"/>
      <c r="AL3644" s="19" t="n">
        <v>7</v>
      </c>
      <c r="AM3644" s="19" t="n">
        <v>10</v>
      </c>
      <c r="AN3644" s="19"/>
      <c r="AO3644" s="19"/>
      <c r="AP3644" s="19" t="n">
        <v>7</v>
      </c>
      <c r="AQ3644" s="19"/>
      <c r="AR3644" s="19"/>
      <c r="AS3644" s="20" t="str">
        <f aca="false">HYPERLINK("http://www.openstreetmap.org/?mlat=32.5149&amp;mlon=45.8458&amp;zoom=12#map=12/32.5149/45.8458","Maplink1")</f>
        <v>Maplink1</v>
      </c>
      <c r="AT3644" s="20" t="str">
        <f aca="false">HYPERLINK("https://www.google.iq/maps/search/+32.5149,45.8458/@32.5149,45.8458,14z?hl=en","Maplink2")</f>
        <v>Maplink2</v>
      </c>
      <c r="AU3644" s="20" t="str">
        <f aca="false">HYPERLINK("http://www.bing.com/maps/?lvl=14&amp;sty=h&amp;cp=32.5149~45.8458&amp;sp=point.32.5149_45.8458","Maplink3")</f>
        <v>Maplink3</v>
      </c>
    </row>
    <row r="3645" customFormat="false" ht="15" hidden="false" customHeight="false" outlineLevel="0" collapsed="false">
      <c r="A3645" s="15" t="n">
        <v>24262</v>
      </c>
      <c r="B3645" s="16" t="s">
        <v>32</v>
      </c>
      <c r="C3645" s="16" t="s">
        <v>6812</v>
      </c>
      <c r="D3645" s="16" t="s">
        <v>6897</v>
      </c>
      <c r="E3645" s="17" t="s">
        <v>6898</v>
      </c>
      <c r="F3645" s="16" t="n">
        <v>32.51194272</v>
      </c>
      <c r="G3645" s="16" t="n">
        <v>45.86969261</v>
      </c>
      <c r="H3645" s="18" t="n">
        <v>17</v>
      </c>
      <c r="I3645" s="18" t="n">
        <v>102</v>
      </c>
      <c r="J3645" s="19" t="n">
        <v>4</v>
      </c>
      <c r="K3645" s="19"/>
      <c r="L3645" s="19"/>
      <c r="M3645" s="19"/>
      <c r="N3645" s="19"/>
      <c r="O3645" s="19"/>
      <c r="P3645" s="19"/>
      <c r="Q3645" s="19"/>
      <c r="R3645" s="19"/>
      <c r="S3645" s="19"/>
      <c r="T3645" s="19"/>
      <c r="U3645" s="19"/>
      <c r="V3645" s="19" t="n">
        <v>13</v>
      </c>
      <c r="W3645" s="19"/>
      <c r="X3645" s="19"/>
      <c r="Y3645" s="19"/>
      <c r="Z3645" s="19"/>
      <c r="AA3645" s="19"/>
      <c r="AB3645" s="19"/>
      <c r="AC3645" s="19" t="n">
        <v>6</v>
      </c>
      <c r="AD3645" s="19"/>
      <c r="AE3645" s="19"/>
      <c r="AF3645" s="19"/>
      <c r="AG3645" s="19"/>
      <c r="AH3645" s="19" t="n">
        <v>8</v>
      </c>
      <c r="AI3645" s="19"/>
      <c r="AJ3645" s="19" t="n">
        <v>3</v>
      </c>
      <c r="AK3645" s="19"/>
      <c r="AL3645" s="19"/>
      <c r="AM3645" s="19" t="n">
        <v>13</v>
      </c>
      <c r="AN3645" s="19"/>
      <c r="AO3645" s="19"/>
      <c r="AP3645" s="19" t="n">
        <v>4</v>
      </c>
      <c r="AQ3645" s="19"/>
      <c r="AR3645" s="19"/>
      <c r="AS3645" s="20" t="str">
        <f aca="false">HYPERLINK("http://www.openstreetmap.org/?mlat=32.5119&amp;mlon=45.8697&amp;zoom=12#map=12/32.5119/45.8697","Maplink1")</f>
        <v>Maplink1</v>
      </c>
      <c r="AT3645" s="20" t="str">
        <f aca="false">HYPERLINK("https://www.google.iq/maps/search/+32.5119,45.8697/@32.5119,45.8697,14z?hl=en","Maplink2")</f>
        <v>Maplink2</v>
      </c>
      <c r="AU3645" s="20" t="str">
        <f aca="false">HYPERLINK("http://www.bing.com/maps/?lvl=14&amp;sty=h&amp;cp=32.5119~45.8697&amp;sp=point.32.5119_45.8697","Maplink3")</f>
        <v>Maplink3</v>
      </c>
    </row>
    <row r="3646" customFormat="false" ht="15" hidden="false" customHeight="false" outlineLevel="0" collapsed="false">
      <c r="A3646" s="15" t="n">
        <v>23968</v>
      </c>
      <c r="B3646" s="16" t="s">
        <v>32</v>
      </c>
      <c r="C3646" s="16" t="s">
        <v>6812</v>
      </c>
      <c r="D3646" s="16" t="s">
        <v>6899</v>
      </c>
      <c r="E3646" s="17" t="s">
        <v>2156</v>
      </c>
      <c r="F3646" s="16" t="n">
        <v>32.50388261</v>
      </c>
      <c r="G3646" s="16" t="n">
        <v>45.83006892</v>
      </c>
      <c r="H3646" s="18" t="n">
        <v>16</v>
      </c>
      <c r="I3646" s="18" t="n">
        <v>96</v>
      </c>
      <c r="J3646" s="19"/>
      <c r="K3646" s="19"/>
      <c r="L3646" s="19"/>
      <c r="M3646" s="19"/>
      <c r="N3646" s="19"/>
      <c r="O3646" s="19"/>
      <c r="P3646" s="19"/>
      <c r="Q3646" s="19"/>
      <c r="R3646" s="19"/>
      <c r="S3646" s="19"/>
      <c r="T3646" s="19"/>
      <c r="U3646" s="19"/>
      <c r="V3646" s="19" t="n">
        <v>16</v>
      </c>
      <c r="W3646" s="19"/>
      <c r="X3646" s="19"/>
      <c r="Y3646" s="19"/>
      <c r="Z3646" s="19"/>
      <c r="AA3646" s="19"/>
      <c r="AB3646" s="19"/>
      <c r="AC3646" s="19"/>
      <c r="AD3646" s="19"/>
      <c r="AE3646" s="19"/>
      <c r="AF3646" s="19"/>
      <c r="AG3646" s="19" t="n">
        <v>16</v>
      </c>
      <c r="AH3646" s="19"/>
      <c r="AI3646" s="19"/>
      <c r="AJ3646" s="19"/>
      <c r="AK3646" s="19"/>
      <c r="AL3646" s="19"/>
      <c r="AM3646" s="19"/>
      <c r="AN3646" s="19" t="n">
        <v>16</v>
      </c>
      <c r="AO3646" s="19"/>
      <c r="AP3646" s="19"/>
      <c r="AQ3646" s="19"/>
      <c r="AR3646" s="19"/>
      <c r="AS3646" s="20" t="str">
        <f aca="false">HYPERLINK("http://www.openstreetmap.org/?mlat=32.5039&amp;mlon=45.8301&amp;zoom=12#map=12/32.5039/45.8301","Maplink1")</f>
        <v>Maplink1</v>
      </c>
      <c r="AT3646" s="20" t="str">
        <f aca="false">HYPERLINK("https://www.google.iq/maps/search/+32.5039,45.8301/@32.5039,45.8301,14z?hl=en","Maplink2")</f>
        <v>Maplink2</v>
      </c>
      <c r="AU3646" s="20" t="str">
        <f aca="false">HYPERLINK("http://www.bing.com/maps/?lvl=14&amp;sty=h&amp;cp=32.5039~45.8301&amp;sp=point.32.5039_45.8301","Maplink3")</f>
        <v>Maplink3</v>
      </c>
    </row>
    <row r="3647" customFormat="false" ht="15" hidden="false" customHeight="false" outlineLevel="0" collapsed="false">
      <c r="A3647" s="15" t="n">
        <v>24825</v>
      </c>
      <c r="B3647" s="16" t="s">
        <v>32</v>
      </c>
      <c r="C3647" s="16" t="s">
        <v>6812</v>
      </c>
      <c r="D3647" s="16" t="s">
        <v>6900</v>
      </c>
      <c r="E3647" s="17" t="s">
        <v>6901</v>
      </c>
      <c r="F3647" s="16" t="n">
        <v>32.46201532</v>
      </c>
      <c r="G3647" s="16" t="n">
        <v>46.07485922</v>
      </c>
      <c r="H3647" s="18" t="n">
        <v>12</v>
      </c>
      <c r="I3647" s="18" t="n">
        <v>72</v>
      </c>
      <c r="J3647" s="19"/>
      <c r="K3647" s="19"/>
      <c r="L3647" s="19"/>
      <c r="M3647" s="19"/>
      <c r="N3647" s="19"/>
      <c r="O3647" s="19"/>
      <c r="P3647" s="19"/>
      <c r="Q3647" s="19"/>
      <c r="R3647" s="19"/>
      <c r="S3647" s="19"/>
      <c r="T3647" s="19"/>
      <c r="U3647" s="19"/>
      <c r="V3647" s="19" t="n">
        <v>12</v>
      </c>
      <c r="W3647" s="19"/>
      <c r="X3647" s="19"/>
      <c r="Y3647" s="19"/>
      <c r="Z3647" s="19"/>
      <c r="AA3647" s="19"/>
      <c r="AB3647" s="19"/>
      <c r="AC3647" s="19"/>
      <c r="AD3647" s="19"/>
      <c r="AE3647" s="19"/>
      <c r="AF3647" s="19"/>
      <c r="AG3647" s="19" t="n">
        <v>4</v>
      </c>
      <c r="AH3647" s="19" t="n">
        <v>8</v>
      </c>
      <c r="AI3647" s="19"/>
      <c r="AJ3647" s="19"/>
      <c r="AK3647" s="19"/>
      <c r="AL3647" s="19"/>
      <c r="AM3647" s="19" t="n">
        <v>12</v>
      </c>
      <c r="AN3647" s="19"/>
      <c r="AO3647" s="19"/>
      <c r="AP3647" s="19"/>
      <c r="AQ3647" s="19"/>
      <c r="AR3647" s="19"/>
      <c r="AS3647" s="20" t="str">
        <f aca="false">HYPERLINK("http://www.openstreetmap.org/?mlat=32.462&amp;mlon=46.0749&amp;zoom=12#map=12/32.462/46.0749","Maplink1")</f>
        <v>Maplink1</v>
      </c>
      <c r="AT3647" s="20" t="str">
        <f aca="false">HYPERLINK("https://www.google.iq/maps/search/+32.462,46.0749/@32.462,46.0749,14z?hl=en","Maplink2")</f>
        <v>Maplink2</v>
      </c>
      <c r="AU3647" s="20" t="str">
        <f aca="false">HYPERLINK("http://www.bing.com/maps/?lvl=14&amp;sty=h&amp;cp=32.462~46.0749&amp;sp=point.32.462_46.0749","Maplink3")</f>
        <v>Maplink3</v>
      </c>
    </row>
    <row r="3648" customFormat="false" ht="15" hidden="false" customHeight="false" outlineLevel="0" collapsed="false">
      <c r="A3648" s="15" t="n">
        <v>25587</v>
      </c>
      <c r="B3648" s="16" t="s">
        <v>32</v>
      </c>
      <c r="C3648" s="16" t="s">
        <v>6812</v>
      </c>
      <c r="D3648" s="16" t="s">
        <v>6902</v>
      </c>
      <c r="E3648" s="17" t="s">
        <v>6903</v>
      </c>
      <c r="F3648" s="16" t="n">
        <v>32.49959251</v>
      </c>
      <c r="G3648" s="16" t="n">
        <v>45.82724671</v>
      </c>
      <c r="H3648" s="18" t="n">
        <v>9</v>
      </c>
      <c r="I3648" s="18" t="n">
        <v>54</v>
      </c>
      <c r="J3648" s="19"/>
      <c r="K3648" s="19"/>
      <c r="L3648" s="19"/>
      <c r="M3648" s="19"/>
      <c r="N3648" s="19"/>
      <c r="O3648" s="19"/>
      <c r="P3648" s="19"/>
      <c r="Q3648" s="19"/>
      <c r="R3648" s="19"/>
      <c r="S3648" s="19"/>
      <c r="T3648" s="19"/>
      <c r="U3648" s="19"/>
      <c r="V3648" s="19" t="n">
        <v>9</v>
      </c>
      <c r="W3648" s="19"/>
      <c r="X3648" s="19"/>
      <c r="Y3648" s="19"/>
      <c r="Z3648" s="19"/>
      <c r="AA3648" s="19"/>
      <c r="AB3648" s="19"/>
      <c r="AC3648" s="19"/>
      <c r="AD3648" s="19"/>
      <c r="AE3648" s="19"/>
      <c r="AF3648" s="19"/>
      <c r="AG3648" s="19"/>
      <c r="AH3648" s="19" t="n">
        <v>9</v>
      </c>
      <c r="AI3648" s="19"/>
      <c r="AJ3648" s="19"/>
      <c r="AK3648" s="19"/>
      <c r="AL3648" s="19"/>
      <c r="AM3648" s="19" t="n">
        <v>9</v>
      </c>
      <c r="AN3648" s="19"/>
      <c r="AO3648" s="19"/>
      <c r="AP3648" s="19"/>
      <c r="AQ3648" s="19"/>
      <c r="AR3648" s="19"/>
      <c r="AS3648" s="20" t="str">
        <f aca="false">HYPERLINK("http://www.openstreetmap.org/?mlat=32.4996&amp;mlon=45.8272&amp;zoom=12#map=12/32.4996/45.8272","Maplink1")</f>
        <v>Maplink1</v>
      </c>
      <c r="AT3648" s="20" t="str">
        <f aca="false">HYPERLINK("https://www.google.iq/maps/search/+32.4996,45.8272/@32.4996,45.8272,14z?hl=en","Maplink2")</f>
        <v>Maplink2</v>
      </c>
      <c r="AU3648" s="20" t="str">
        <f aca="false">HYPERLINK("http://www.bing.com/maps/?lvl=14&amp;sty=h&amp;cp=32.4996~45.8272&amp;sp=point.32.4996_45.8272","Maplink3")</f>
        <v>Maplink3</v>
      </c>
    </row>
    <row r="3649" customFormat="false" ht="15" hidden="false" customHeight="false" outlineLevel="0" collapsed="false">
      <c r="A3649" s="15" t="n">
        <v>25317</v>
      </c>
      <c r="B3649" s="16" t="s">
        <v>32</v>
      </c>
      <c r="C3649" s="16" t="s">
        <v>6812</v>
      </c>
      <c r="D3649" s="16" t="s">
        <v>6904</v>
      </c>
      <c r="E3649" s="17" t="s">
        <v>6905</v>
      </c>
      <c r="F3649" s="16" t="n">
        <v>32.51525627</v>
      </c>
      <c r="G3649" s="16" t="n">
        <v>45.81546509</v>
      </c>
      <c r="H3649" s="18" t="n">
        <v>5</v>
      </c>
      <c r="I3649" s="18" t="n">
        <v>30</v>
      </c>
      <c r="J3649" s="19" t="n">
        <v>1</v>
      </c>
      <c r="K3649" s="19"/>
      <c r="L3649" s="19"/>
      <c r="M3649" s="19"/>
      <c r="N3649" s="19"/>
      <c r="O3649" s="19" t="n">
        <v>2</v>
      </c>
      <c r="P3649" s="19"/>
      <c r="Q3649" s="19"/>
      <c r="R3649" s="19" t="n">
        <v>1</v>
      </c>
      <c r="S3649" s="19"/>
      <c r="T3649" s="19"/>
      <c r="U3649" s="19"/>
      <c r="V3649" s="19" t="n">
        <v>1</v>
      </c>
      <c r="W3649" s="19"/>
      <c r="X3649" s="19"/>
      <c r="Y3649" s="19"/>
      <c r="Z3649" s="19"/>
      <c r="AA3649" s="19"/>
      <c r="AB3649" s="19"/>
      <c r="AC3649" s="19"/>
      <c r="AD3649" s="19"/>
      <c r="AE3649" s="19"/>
      <c r="AF3649" s="19"/>
      <c r="AG3649" s="19"/>
      <c r="AH3649" s="19" t="n">
        <v>5</v>
      </c>
      <c r="AI3649" s="19"/>
      <c r="AJ3649" s="19"/>
      <c r="AK3649" s="19"/>
      <c r="AL3649" s="19"/>
      <c r="AM3649" s="19" t="n">
        <v>3</v>
      </c>
      <c r="AN3649" s="19" t="n">
        <v>2</v>
      </c>
      <c r="AO3649" s="19"/>
      <c r="AP3649" s="19"/>
      <c r="AQ3649" s="19"/>
      <c r="AR3649" s="19"/>
      <c r="AS3649" s="20" t="str">
        <f aca="false">HYPERLINK("http://www.openstreetmap.org/?mlat=32.5153&amp;mlon=45.8155&amp;zoom=12#map=12/32.5153/45.8155","Maplink1")</f>
        <v>Maplink1</v>
      </c>
      <c r="AT3649" s="20" t="str">
        <f aca="false">HYPERLINK("https://www.google.iq/maps/search/+32.5153,45.8155/@32.5153,45.8155,14z?hl=en","Maplink2")</f>
        <v>Maplink2</v>
      </c>
      <c r="AU3649" s="20" t="str">
        <f aca="false">HYPERLINK("http://www.bing.com/maps/?lvl=14&amp;sty=h&amp;cp=32.5153~45.8155&amp;sp=point.32.5153_45.8155","Maplink3")</f>
        <v>Maplink3</v>
      </c>
    </row>
    <row r="3650" customFormat="false" ht="15" hidden="false" customHeight="false" outlineLevel="0" collapsed="false">
      <c r="A3650" s="15" t="n">
        <v>20872</v>
      </c>
      <c r="B3650" s="16" t="s">
        <v>32</v>
      </c>
      <c r="C3650" s="16" t="s">
        <v>6812</v>
      </c>
      <c r="D3650" s="16" t="s">
        <v>5451</v>
      </c>
      <c r="E3650" s="17" t="s">
        <v>4618</v>
      </c>
      <c r="F3650" s="16" t="n">
        <v>32.53884805</v>
      </c>
      <c r="G3650" s="16" t="n">
        <v>45.85651652</v>
      </c>
      <c r="H3650" s="18" t="n">
        <v>67</v>
      </c>
      <c r="I3650" s="18" t="n">
        <v>402</v>
      </c>
      <c r="J3650" s="19"/>
      <c r="K3650" s="19"/>
      <c r="L3650" s="19"/>
      <c r="M3650" s="19"/>
      <c r="N3650" s="19"/>
      <c r="O3650" s="19"/>
      <c r="P3650" s="19"/>
      <c r="Q3650" s="19"/>
      <c r="R3650" s="19"/>
      <c r="S3650" s="19"/>
      <c r="T3650" s="19"/>
      <c r="U3650" s="19"/>
      <c r="V3650" s="19" t="n">
        <v>67</v>
      </c>
      <c r="W3650" s="19"/>
      <c r="X3650" s="19"/>
      <c r="Y3650" s="19"/>
      <c r="Z3650" s="19"/>
      <c r="AA3650" s="19"/>
      <c r="AB3650" s="19"/>
      <c r="AC3650" s="19"/>
      <c r="AD3650" s="19"/>
      <c r="AE3650" s="19"/>
      <c r="AF3650" s="19"/>
      <c r="AG3650" s="19" t="n">
        <v>23</v>
      </c>
      <c r="AH3650" s="19" t="n">
        <v>38</v>
      </c>
      <c r="AI3650" s="19"/>
      <c r="AJ3650" s="19" t="n">
        <v>6</v>
      </c>
      <c r="AK3650" s="19"/>
      <c r="AL3650" s="19"/>
      <c r="AM3650" s="19" t="n">
        <v>17</v>
      </c>
      <c r="AN3650" s="19" t="n">
        <v>50</v>
      </c>
      <c r="AO3650" s="19"/>
      <c r="AP3650" s="19"/>
      <c r="AQ3650" s="19"/>
      <c r="AR3650" s="19"/>
      <c r="AS3650" s="20" t="str">
        <f aca="false">HYPERLINK("http://www.openstreetmap.org/?mlat=32.5388&amp;mlon=45.8565&amp;zoom=12#map=12/32.5388/45.8565","Maplink1")</f>
        <v>Maplink1</v>
      </c>
      <c r="AT3650" s="20" t="str">
        <f aca="false">HYPERLINK("https://www.google.iq/maps/search/+32.5388,45.8565/@32.5388,45.8565,14z?hl=en","Maplink2")</f>
        <v>Maplink2</v>
      </c>
      <c r="AU3650" s="20" t="str">
        <f aca="false">HYPERLINK("http://www.bing.com/maps/?lvl=14&amp;sty=h&amp;cp=32.5388~45.8565&amp;sp=point.32.5388_45.8565","Maplink3")</f>
        <v>Maplink3</v>
      </c>
    </row>
    <row r="3651" customFormat="false" ht="15" hidden="false" customHeight="false" outlineLevel="0" collapsed="false">
      <c r="A3651" s="15" t="n">
        <v>24261</v>
      </c>
      <c r="B3651" s="16" t="s">
        <v>32</v>
      </c>
      <c r="C3651" s="16" t="s">
        <v>6812</v>
      </c>
      <c r="D3651" s="16" t="s">
        <v>6906</v>
      </c>
      <c r="E3651" s="17" t="s">
        <v>6907</v>
      </c>
      <c r="F3651" s="16" t="n">
        <v>32.48825495</v>
      </c>
      <c r="G3651" s="16" t="n">
        <v>45.85071425</v>
      </c>
      <c r="H3651" s="18" t="n">
        <v>356</v>
      </c>
      <c r="I3651" s="18" t="n">
        <v>2136</v>
      </c>
      <c r="J3651" s="19" t="n">
        <v>7</v>
      </c>
      <c r="K3651" s="19"/>
      <c r="L3651" s="19" t="n">
        <v>3</v>
      </c>
      <c r="M3651" s="19"/>
      <c r="N3651" s="19"/>
      <c r="O3651" s="19"/>
      <c r="P3651" s="19"/>
      <c r="Q3651" s="19"/>
      <c r="R3651" s="19" t="n">
        <v>21</v>
      </c>
      <c r="S3651" s="19"/>
      <c r="T3651" s="19"/>
      <c r="U3651" s="19"/>
      <c r="V3651" s="19" t="n">
        <v>325</v>
      </c>
      <c r="W3651" s="19"/>
      <c r="X3651" s="19"/>
      <c r="Y3651" s="19"/>
      <c r="Z3651" s="19"/>
      <c r="AA3651" s="19"/>
      <c r="AB3651" s="19"/>
      <c r="AC3651" s="19"/>
      <c r="AD3651" s="19"/>
      <c r="AE3651" s="19"/>
      <c r="AF3651" s="19"/>
      <c r="AG3651" s="19" t="n">
        <v>13</v>
      </c>
      <c r="AH3651" s="19" t="n">
        <v>313</v>
      </c>
      <c r="AI3651" s="19"/>
      <c r="AJ3651" s="19" t="n">
        <v>30</v>
      </c>
      <c r="AK3651" s="19"/>
      <c r="AL3651" s="19"/>
      <c r="AM3651" s="19" t="n">
        <v>338</v>
      </c>
      <c r="AN3651" s="19"/>
      <c r="AO3651" s="19" t="n">
        <v>13</v>
      </c>
      <c r="AP3651" s="19" t="n">
        <v>5</v>
      </c>
      <c r="AQ3651" s="19"/>
      <c r="AR3651" s="19"/>
      <c r="AS3651" s="20" t="str">
        <f aca="false">HYPERLINK("http://www.openstreetmap.org/?mlat=32.4883&amp;mlon=45.8507&amp;zoom=12#map=12/32.4883/45.8507","Maplink1")</f>
        <v>Maplink1</v>
      </c>
      <c r="AT3651" s="20" t="str">
        <f aca="false">HYPERLINK("https://www.google.iq/maps/search/+32.4883,45.8507/@32.4883,45.8507,14z?hl=en","Maplink2")</f>
        <v>Maplink2</v>
      </c>
      <c r="AU3651" s="20" t="str">
        <f aca="false">HYPERLINK("http://www.bing.com/maps/?lvl=14&amp;sty=h&amp;cp=32.4883~45.8507&amp;sp=point.32.4883_45.8507","Maplink3")</f>
        <v>Maplink3</v>
      </c>
    </row>
    <row r="3652" customFormat="false" ht="15" hidden="false" customHeight="false" outlineLevel="0" collapsed="false">
      <c r="A3652" s="15" t="n">
        <v>24866</v>
      </c>
      <c r="B3652" s="16" t="s">
        <v>32</v>
      </c>
      <c r="C3652" s="16" t="s">
        <v>6812</v>
      </c>
      <c r="D3652" s="16" t="s">
        <v>6908</v>
      </c>
      <c r="E3652" s="17" t="s">
        <v>2581</v>
      </c>
      <c r="F3652" s="16" t="n">
        <v>32.53489802</v>
      </c>
      <c r="G3652" s="16" t="n">
        <v>45.78553089</v>
      </c>
      <c r="H3652" s="18" t="n">
        <v>11</v>
      </c>
      <c r="I3652" s="18" t="n">
        <v>66</v>
      </c>
      <c r="J3652" s="19"/>
      <c r="K3652" s="19"/>
      <c r="L3652" s="19"/>
      <c r="M3652" s="19"/>
      <c r="N3652" s="19"/>
      <c r="O3652" s="19"/>
      <c r="P3652" s="19"/>
      <c r="Q3652" s="19"/>
      <c r="R3652" s="19" t="n">
        <v>2</v>
      </c>
      <c r="S3652" s="19"/>
      <c r="T3652" s="19"/>
      <c r="U3652" s="19"/>
      <c r="V3652" s="19" t="n">
        <v>8</v>
      </c>
      <c r="W3652" s="19"/>
      <c r="X3652" s="19" t="n">
        <v>1</v>
      </c>
      <c r="Y3652" s="19"/>
      <c r="Z3652" s="19"/>
      <c r="AA3652" s="19"/>
      <c r="AB3652" s="19"/>
      <c r="AC3652" s="19"/>
      <c r="AD3652" s="19"/>
      <c r="AE3652" s="19"/>
      <c r="AF3652" s="19"/>
      <c r="AG3652" s="19"/>
      <c r="AH3652" s="19" t="n">
        <v>11</v>
      </c>
      <c r="AI3652" s="19"/>
      <c r="AJ3652" s="19"/>
      <c r="AK3652" s="19"/>
      <c r="AL3652" s="19"/>
      <c r="AM3652" s="19" t="n">
        <v>11</v>
      </c>
      <c r="AN3652" s="19"/>
      <c r="AO3652" s="19"/>
      <c r="AP3652" s="19"/>
      <c r="AQ3652" s="19"/>
      <c r="AR3652" s="19"/>
      <c r="AS3652" s="20" t="str">
        <f aca="false">HYPERLINK("http://www.openstreetmap.org/?mlat=32.5349&amp;mlon=45.7855&amp;zoom=12#map=12/32.5349/45.7855","Maplink1")</f>
        <v>Maplink1</v>
      </c>
      <c r="AT3652" s="20" t="str">
        <f aca="false">HYPERLINK("https://www.google.iq/maps/search/+32.5349,45.7855/@32.5349,45.7855,14z?hl=en","Maplink2")</f>
        <v>Maplink2</v>
      </c>
      <c r="AU3652" s="20" t="str">
        <f aca="false">HYPERLINK("http://www.bing.com/maps/?lvl=14&amp;sty=h&amp;cp=32.5349~45.7855&amp;sp=point.32.5349_45.7855","Maplink3")</f>
        <v>Maplink3</v>
      </c>
    </row>
    <row r="3653" customFormat="false" ht="15" hidden="false" customHeight="false" outlineLevel="0" collapsed="false">
      <c r="A3653" s="15" t="n">
        <v>24826</v>
      </c>
      <c r="B3653" s="16" t="s">
        <v>32</v>
      </c>
      <c r="C3653" s="16" t="s">
        <v>6812</v>
      </c>
      <c r="D3653" s="16" t="s">
        <v>5652</v>
      </c>
      <c r="E3653" s="17" t="s">
        <v>2668</v>
      </c>
      <c r="F3653" s="16" t="n">
        <v>32.52550315</v>
      </c>
      <c r="G3653" s="16" t="n">
        <v>45.82326578</v>
      </c>
      <c r="H3653" s="18" t="n">
        <v>52</v>
      </c>
      <c r="I3653" s="18" t="n">
        <v>312</v>
      </c>
      <c r="J3653" s="19" t="n">
        <v>3</v>
      </c>
      <c r="K3653" s="19"/>
      <c r="L3653" s="19"/>
      <c r="M3653" s="19"/>
      <c r="N3653" s="19"/>
      <c r="O3653" s="19"/>
      <c r="P3653" s="19"/>
      <c r="Q3653" s="19"/>
      <c r="R3653" s="19"/>
      <c r="S3653" s="19"/>
      <c r="T3653" s="19"/>
      <c r="U3653" s="19"/>
      <c r="V3653" s="19" t="n">
        <v>49</v>
      </c>
      <c r="W3653" s="19"/>
      <c r="X3653" s="19"/>
      <c r="Y3653" s="19"/>
      <c r="Z3653" s="19"/>
      <c r="AA3653" s="19"/>
      <c r="AB3653" s="19"/>
      <c r="AC3653" s="19"/>
      <c r="AD3653" s="19"/>
      <c r="AE3653" s="19"/>
      <c r="AF3653" s="19"/>
      <c r="AG3653" s="19"/>
      <c r="AH3653" s="19" t="n">
        <v>52</v>
      </c>
      <c r="AI3653" s="19"/>
      <c r="AJ3653" s="19"/>
      <c r="AK3653" s="19"/>
      <c r="AL3653" s="19"/>
      <c r="AM3653" s="19" t="n">
        <v>49</v>
      </c>
      <c r="AN3653" s="19"/>
      <c r="AO3653" s="19"/>
      <c r="AP3653" s="19" t="n">
        <v>3</v>
      </c>
      <c r="AQ3653" s="19"/>
      <c r="AR3653" s="19"/>
      <c r="AS3653" s="20" t="str">
        <f aca="false">HYPERLINK("http://www.openstreetmap.org/?mlat=32.5255&amp;mlon=45.8233&amp;zoom=12#map=12/32.5255/45.8233","Maplink1")</f>
        <v>Maplink1</v>
      </c>
      <c r="AT3653" s="20" t="str">
        <f aca="false">HYPERLINK("https://www.google.iq/maps/search/+32.5255,45.8233/@32.5255,45.8233,14z?hl=en","Maplink2")</f>
        <v>Maplink2</v>
      </c>
      <c r="AU3653" s="20" t="str">
        <f aca="false">HYPERLINK("http://www.bing.com/maps/?lvl=14&amp;sty=h&amp;cp=32.5255~45.8233&amp;sp=point.32.5255_45.8233","Maplink3")</f>
        <v>Maplink3</v>
      </c>
    </row>
    <row r="3654" customFormat="false" ht="15" hidden="false" customHeight="false" outlineLevel="0" collapsed="false">
      <c r="A3654" s="15" t="n">
        <v>19170</v>
      </c>
      <c r="B3654" s="16" t="s">
        <v>32</v>
      </c>
      <c r="C3654" s="16" t="s">
        <v>6812</v>
      </c>
      <c r="D3654" s="16" t="s">
        <v>6909</v>
      </c>
      <c r="E3654" s="17" t="s">
        <v>6910</v>
      </c>
      <c r="F3654" s="16" t="n">
        <v>32.55653865</v>
      </c>
      <c r="G3654" s="16" t="n">
        <v>45.68901993</v>
      </c>
      <c r="H3654" s="18" t="n">
        <v>15</v>
      </c>
      <c r="I3654" s="18" t="n">
        <v>90</v>
      </c>
      <c r="J3654" s="19"/>
      <c r="K3654" s="19"/>
      <c r="L3654" s="19"/>
      <c r="M3654" s="19"/>
      <c r="N3654" s="19"/>
      <c r="O3654" s="19"/>
      <c r="P3654" s="19"/>
      <c r="Q3654" s="19"/>
      <c r="R3654" s="19"/>
      <c r="S3654" s="19"/>
      <c r="T3654" s="19"/>
      <c r="U3654" s="19"/>
      <c r="V3654" s="19" t="n">
        <v>15</v>
      </c>
      <c r="W3654" s="19"/>
      <c r="X3654" s="19"/>
      <c r="Y3654" s="19"/>
      <c r="Z3654" s="19"/>
      <c r="AA3654" s="19"/>
      <c r="AB3654" s="19"/>
      <c r="AC3654" s="19"/>
      <c r="AD3654" s="19"/>
      <c r="AE3654" s="19"/>
      <c r="AF3654" s="19"/>
      <c r="AG3654" s="19" t="n">
        <v>15</v>
      </c>
      <c r="AH3654" s="19"/>
      <c r="AI3654" s="19"/>
      <c r="AJ3654" s="19"/>
      <c r="AK3654" s="19"/>
      <c r="AL3654" s="19"/>
      <c r="AM3654" s="19" t="n">
        <v>15</v>
      </c>
      <c r="AN3654" s="19"/>
      <c r="AO3654" s="19"/>
      <c r="AP3654" s="19"/>
      <c r="AQ3654" s="19"/>
      <c r="AR3654" s="19"/>
      <c r="AS3654" s="20" t="str">
        <f aca="false">HYPERLINK("http://www.openstreetmap.org/?mlat=32.5565&amp;mlon=45.689&amp;zoom=12#map=12/32.5565/45.689","Maplink1")</f>
        <v>Maplink1</v>
      </c>
      <c r="AT3654" s="20" t="str">
        <f aca="false">HYPERLINK("https://www.google.iq/maps/search/+32.5565,45.689/@32.5565,45.689,14z?hl=en","Maplink2")</f>
        <v>Maplink2</v>
      </c>
      <c r="AU3654" s="20" t="str">
        <f aca="false">HYPERLINK("http://www.bing.com/maps/?lvl=14&amp;sty=h&amp;cp=32.5565~45.689&amp;sp=point.32.5565_45.689","Maplink3")</f>
        <v>Maplink3</v>
      </c>
    </row>
    <row r="3655" customFormat="false" ht="15" hidden="false" customHeight="false" outlineLevel="0" collapsed="false">
      <c r="A3655" s="15" t="n">
        <v>19033</v>
      </c>
      <c r="B3655" s="16" t="s">
        <v>32</v>
      </c>
      <c r="C3655" s="16" t="s">
        <v>6812</v>
      </c>
      <c r="D3655" s="16" t="s">
        <v>6911</v>
      </c>
      <c r="E3655" s="17" t="s">
        <v>241</v>
      </c>
      <c r="F3655" s="16" t="n">
        <v>32.508786887</v>
      </c>
      <c r="G3655" s="16" t="n">
        <v>45.8130699808</v>
      </c>
      <c r="H3655" s="18" t="n">
        <v>44</v>
      </c>
      <c r="I3655" s="18" t="n">
        <v>264</v>
      </c>
      <c r="J3655" s="19"/>
      <c r="K3655" s="19"/>
      <c r="L3655" s="19"/>
      <c r="M3655" s="19"/>
      <c r="N3655" s="19"/>
      <c r="O3655" s="19"/>
      <c r="P3655" s="19"/>
      <c r="Q3655" s="19"/>
      <c r="R3655" s="19"/>
      <c r="S3655" s="19"/>
      <c r="T3655" s="19"/>
      <c r="U3655" s="19"/>
      <c r="V3655" s="19" t="n">
        <v>44</v>
      </c>
      <c r="W3655" s="19"/>
      <c r="X3655" s="19"/>
      <c r="Y3655" s="19"/>
      <c r="Z3655" s="19"/>
      <c r="AA3655" s="19"/>
      <c r="AB3655" s="19"/>
      <c r="AC3655" s="19"/>
      <c r="AD3655" s="19" t="n">
        <v>44</v>
      </c>
      <c r="AE3655" s="19"/>
      <c r="AF3655" s="19"/>
      <c r="AG3655" s="19"/>
      <c r="AH3655" s="19"/>
      <c r="AI3655" s="19"/>
      <c r="AJ3655" s="19"/>
      <c r="AK3655" s="19"/>
      <c r="AL3655" s="19"/>
      <c r="AM3655" s="19" t="n">
        <v>40</v>
      </c>
      <c r="AN3655" s="19" t="n">
        <v>4</v>
      </c>
      <c r="AO3655" s="19"/>
      <c r="AP3655" s="19"/>
      <c r="AQ3655" s="19"/>
      <c r="AR3655" s="19"/>
      <c r="AS3655" s="20" t="str">
        <f aca="false">HYPERLINK("http://www.openstreetmap.org/?mlat=32.5088&amp;mlon=45.8131&amp;zoom=12#map=12/32.5088/45.8131","Maplink1")</f>
        <v>Maplink1</v>
      </c>
      <c r="AT3655" s="20" t="str">
        <f aca="false">HYPERLINK("https://www.google.iq/maps/search/+32.5088,45.8131/@32.5088,45.8131,14z?hl=en","Maplink2")</f>
        <v>Maplink2</v>
      </c>
      <c r="AU3655" s="20" t="str">
        <f aca="false">HYPERLINK("http://www.bing.com/maps/?lvl=14&amp;sty=h&amp;cp=32.5088~45.8131&amp;sp=point.32.5088_45.8131","Maplink3")</f>
        <v>Maplink3</v>
      </c>
    </row>
    <row r="3656" customFormat="false" ht="15" hidden="false" customHeight="false" outlineLevel="0" collapsed="false">
      <c r="A3656" s="15" t="n">
        <v>19531</v>
      </c>
      <c r="B3656" s="16" t="s">
        <v>32</v>
      </c>
      <c r="C3656" s="16" t="s">
        <v>6812</v>
      </c>
      <c r="D3656" s="16" t="s">
        <v>582</v>
      </c>
      <c r="E3656" s="17" t="s">
        <v>85</v>
      </c>
      <c r="F3656" s="16" t="n">
        <v>32.53961158</v>
      </c>
      <c r="G3656" s="16" t="n">
        <v>45.81868232</v>
      </c>
      <c r="H3656" s="18" t="n">
        <v>23</v>
      </c>
      <c r="I3656" s="18" t="n">
        <v>138</v>
      </c>
      <c r="J3656" s="19" t="n">
        <v>3</v>
      </c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  <c r="U3656" s="19"/>
      <c r="V3656" s="19" t="n">
        <v>20</v>
      </c>
      <c r="W3656" s="19"/>
      <c r="X3656" s="19"/>
      <c r="Y3656" s="19"/>
      <c r="Z3656" s="19"/>
      <c r="AA3656" s="19"/>
      <c r="AB3656" s="19"/>
      <c r="AC3656" s="19" t="n">
        <v>3</v>
      </c>
      <c r="AD3656" s="19"/>
      <c r="AE3656" s="19"/>
      <c r="AF3656" s="19"/>
      <c r="AG3656" s="19" t="n">
        <v>20</v>
      </c>
      <c r="AH3656" s="19"/>
      <c r="AI3656" s="19"/>
      <c r="AJ3656" s="19"/>
      <c r="AK3656" s="19"/>
      <c r="AL3656" s="19" t="n">
        <v>3</v>
      </c>
      <c r="AM3656" s="19"/>
      <c r="AN3656" s="19" t="n">
        <v>4</v>
      </c>
      <c r="AO3656" s="19" t="n">
        <v>16</v>
      </c>
      <c r="AP3656" s="19"/>
      <c r="AQ3656" s="19"/>
      <c r="AR3656" s="19"/>
      <c r="AS3656" s="20" t="str">
        <f aca="false">HYPERLINK("http://www.openstreetmap.org/?mlat=32.5396&amp;mlon=45.8187&amp;zoom=12#map=12/32.5396/45.8187","Maplink1")</f>
        <v>Maplink1</v>
      </c>
      <c r="AT3656" s="20" t="str">
        <f aca="false">HYPERLINK("https://www.google.iq/maps/search/+32.5396,45.8187/@32.5396,45.8187,14z?hl=en","Maplink2")</f>
        <v>Maplink2</v>
      </c>
      <c r="AU3656" s="20" t="str">
        <f aca="false">HYPERLINK("http://www.bing.com/maps/?lvl=14&amp;sty=h&amp;cp=32.5396~45.8187&amp;sp=point.32.5396_45.8187","Maplink3")</f>
        <v>Maplink3</v>
      </c>
    </row>
    <row r="3657" customFormat="false" ht="15" hidden="false" customHeight="false" outlineLevel="0" collapsed="false">
      <c r="A3657" s="15" t="n">
        <v>19070</v>
      </c>
      <c r="B3657" s="16" t="s">
        <v>32</v>
      </c>
      <c r="C3657" s="16" t="s">
        <v>6812</v>
      </c>
      <c r="D3657" s="16" t="s">
        <v>6912</v>
      </c>
      <c r="E3657" s="17" t="s">
        <v>2027</v>
      </c>
      <c r="F3657" s="16" t="n">
        <v>32.5249206</v>
      </c>
      <c r="G3657" s="16" t="n">
        <v>45.8177</v>
      </c>
      <c r="H3657" s="18" t="n">
        <v>116</v>
      </c>
      <c r="I3657" s="18" t="n">
        <v>696</v>
      </c>
      <c r="J3657" s="19" t="n">
        <v>10</v>
      </c>
      <c r="K3657" s="19"/>
      <c r="L3657" s="19"/>
      <c r="M3657" s="19"/>
      <c r="N3657" s="19"/>
      <c r="O3657" s="19"/>
      <c r="P3657" s="19"/>
      <c r="Q3657" s="19"/>
      <c r="R3657" s="19"/>
      <c r="S3657" s="19"/>
      <c r="T3657" s="19"/>
      <c r="U3657" s="19"/>
      <c r="V3657" s="19" t="n">
        <v>106</v>
      </c>
      <c r="W3657" s="19"/>
      <c r="X3657" s="19"/>
      <c r="Y3657" s="19"/>
      <c r="Z3657" s="19"/>
      <c r="AA3657" s="19"/>
      <c r="AB3657" s="19"/>
      <c r="AC3657" s="19" t="n">
        <v>25</v>
      </c>
      <c r="AD3657" s="19"/>
      <c r="AE3657" s="19"/>
      <c r="AF3657" s="19"/>
      <c r="AG3657" s="19" t="n">
        <v>15</v>
      </c>
      <c r="AH3657" s="19" t="n">
        <v>76</v>
      </c>
      <c r="AI3657" s="19"/>
      <c r="AJ3657" s="19"/>
      <c r="AK3657" s="19"/>
      <c r="AL3657" s="19" t="n">
        <v>10</v>
      </c>
      <c r="AM3657" s="19" t="n">
        <v>55</v>
      </c>
      <c r="AN3657" s="19" t="n">
        <v>51</v>
      </c>
      <c r="AO3657" s="19"/>
      <c r="AP3657" s="19"/>
      <c r="AQ3657" s="19"/>
      <c r="AR3657" s="19"/>
      <c r="AS3657" s="20" t="str">
        <f aca="false">HYPERLINK("http://www.openstreetmap.org/?mlat=32.5249&amp;mlon=45.8177&amp;zoom=12#map=12/32.5249/45.8177","Maplink1")</f>
        <v>Maplink1</v>
      </c>
      <c r="AT3657" s="20" t="str">
        <f aca="false">HYPERLINK("https://www.google.iq/maps/search/+32.5249,45.8177/@32.5249,45.8177,14z?hl=en","Maplink2")</f>
        <v>Maplink2</v>
      </c>
      <c r="AU3657" s="20" t="str">
        <f aca="false">HYPERLINK("http://www.bing.com/maps/?lvl=14&amp;sty=h&amp;cp=32.5249~45.8177&amp;sp=point.32.5249_45.8177","Maplink3")</f>
        <v>Maplink3</v>
      </c>
    </row>
    <row r="3658" customFormat="false" ht="15" hidden="false" customHeight="false" outlineLevel="0" collapsed="false">
      <c r="A3658" s="15" t="n">
        <v>24824</v>
      </c>
      <c r="B3658" s="16" t="s">
        <v>32</v>
      </c>
      <c r="C3658" s="16" t="s">
        <v>6812</v>
      </c>
      <c r="D3658" s="16" t="s">
        <v>6913</v>
      </c>
      <c r="E3658" s="17" t="s">
        <v>6729</v>
      </c>
      <c r="F3658" s="16" t="n">
        <v>32.53343998</v>
      </c>
      <c r="G3658" s="16" t="n">
        <v>45.76457659</v>
      </c>
      <c r="H3658" s="18" t="n">
        <v>40</v>
      </c>
      <c r="I3658" s="18" t="n">
        <v>240</v>
      </c>
      <c r="J3658" s="19"/>
      <c r="K3658" s="19"/>
      <c r="L3658" s="19"/>
      <c r="M3658" s="19"/>
      <c r="N3658" s="19"/>
      <c r="O3658" s="19"/>
      <c r="P3658" s="19"/>
      <c r="Q3658" s="19"/>
      <c r="R3658" s="19"/>
      <c r="S3658" s="19"/>
      <c r="T3658" s="19"/>
      <c r="U3658" s="19"/>
      <c r="V3658" s="19" t="n">
        <v>40</v>
      </c>
      <c r="W3658" s="19"/>
      <c r="X3658" s="19"/>
      <c r="Y3658" s="19"/>
      <c r="Z3658" s="19"/>
      <c r="AA3658" s="19"/>
      <c r="AB3658" s="19"/>
      <c r="AC3658" s="19"/>
      <c r="AD3658" s="19"/>
      <c r="AE3658" s="19"/>
      <c r="AF3658" s="19"/>
      <c r="AG3658" s="19"/>
      <c r="AH3658" s="19" t="n">
        <v>40</v>
      </c>
      <c r="AI3658" s="19"/>
      <c r="AJ3658" s="19"/>
      <c r="AK3658" s="19"/>
      <c r="AL3658" s="19"/>
      <c r="AM3658" s="19" t="n">
        <v>40</v>
      </c>
      <c r="AN3658" s="19"/>
      <c r="AO3658" s="19"/>
      <c r="AP3658" s="19"/>
      <c r="AQ3658" s="19"/>
      <c r="AR3658" s="19"/>
      <c r="AS3658" s="20" t="str">
        <f aca="false">HYPERLINK("http://www.openstreetmap.org/?mlat=32.5334&amp;mlon=45.7646&amp;zoom=12#map=12/32.5334/45.7646","Maplink1")</f>
        <v>Maplink1</v>
      </c>
      <c r="AT3658" s="20" t="str">
        <f aca="false">HYPERLINK("https://www.google.iq/maps/search/+32.5334,45.7646/@32.5334,45.7646,14z?hl=en","Maplink2")</f>
        <v>Maplink2</v>
      </c>
      <c r="AU3658" s="20" t="str">
        <f aca="false">HYPERLINK("http://www.bing.com/maps/?lvl=14&amp;sty=h&amp;cp=32.5334~45.7646&amp;sp=point.32.5334_45.7646","Maplink3")</f>
        <v>Maplink3</v>
      </c>
    </row>
    <row r="3659" customFormat="false" ht="15" hidden="false" customHeight="false" outlineLevel="0" collapsed="false">
      <c r="A3659" s="15" t="n">
        <v>19541</v>
      </c>
      <c r="B3659" s="16" t="s">
        <v>32</v>
      </c>
      <c r="C3659" s="16" t="s">
        <v>6812</v>
      </c>
      <c r="D3659" s="16" t="s">
        <v>6914</v>
      </c>
      <c r="E3659" s="17" t="s">
        <v>6915</v>
      </c>
      <c r="F3659" s="16" t="n">
        <v>32.53454254</v>
      </c>
      <c r="G3659" s="16" t="n">
        <v>45.81069641</v>
      </c>
      <c r="H3659" s="18" t="n">
        <v>35</v>
      </c>
      <c r="I3659" s="18" t="n">
        <v>210</v>
      </c>
      <c r="J3659" s="19" t="n">
        <v>21</v>
      </c>
      <c r="K3659" s="19"/>
      <c r="L3659" s="19" t="n">
        <v>2</v>
      </c>
      <c r="M3659" s="19"/>
      <c r="N3659" s="19"/>
      <c r="O3659" s="19" t="n">
        <v>1</v>
      </c>
      <c r="P3659" s="19"/>
      <c r="Q3659" s="19"/>
      <c r="R3659" s="19" t="n">
        <v>1</v>
      </c>
      <c r="S3659" s="19"/>
      <c r="T3659" s="19"/>
      <c r="U3659" s="19"/>
      <c r="V3659" s="19" t="n">
        <v>10</v>
      </c>
      <c r="W3659" s="19"/>
      <c r="X3659" s="19"/>
      <c r="Y3659" s="19"/>
      <c r="Z3659" s="19"/>
      <c r="AA3659" s="19"/>
      <c r="AB3659" s="19"/>
      <c r="AC3659" s="19"/>
      <c r="AD3659" s="19"/>
      <c r="AE3659" s="19"/>
      <c r="AF3659" s="19"/>
      <c r="AG3659" s="19"/>
      <c r="AH3659" s="19" t="n">
        <v>35</v>
      </c>
      <c r="AI3659" s="19"/>
      <c r="AJ3659" s="19"/>
      <c r="AK3659" s="19"/>
      <c r="AL3659" s="19"/>
      <c r="AM3659" s="19" t="n">
        <v>14</v>
      </c>
      <c r="AN3659" s="19" t="n">
        <v>10</v>
      </c>
      <c r="AO3659" s="19" t="n">
        <v>10</v>
      </c>
      <c r="AP3659" s="19" t="n">
        <v>1</v>
      </c>
      <c r="AQ3659" s="19"/>
      <c r="AR3659" s="19"/>
      <c r="AS3659" s="20" t="str">
        <f aca="false">HYPERLINK("http://www.openstreetmap.org/?mlat=32.5345&amp;mlon=45.8107&amp;zoom=12#map=12/32.5345/45.8107","Maplink1")</f>
        <v>Maplink1</v>
      </c>
      <c r="AT3659" s="20" t="str">
        <f aca="false">HYPERLINK("https://www.google.iq/maps/search/+32.5345,45.8107/@32.5345,45.8107,14z?hl=en","Maplink2")</f>
        <v>Maplink2</v>
      </c>
      <c r="AU3659" s="20" t="str">
        <f aca="false">HYPERLINK("http://www.bing.com/maps/?lvl=14&amp;sty=h&amp;cp=32.5345~45.8107&amp;sp=point.32.5345_45.8107","Maplink3")</f>
        <v>Maplink3</v>
      </c>
    </row>
    <row r="3660" customFormat="false" ht="15" hidden="false" customHeight="false" outlineLevel="0" collapsed="false">
      <c r="A3660" s="15" t="n">
        <v>24870</v>
      </c>
      <c r="B3660" s="16" t="s">
        <v>32</v>
      </c>
      <c r="C3660" s="16" t="s">
        <v>6812</v>
      </c>
      <c r="D3660" s="16" t="s">
        <v>6916</v>
      </c>
      <c r="E3660" s="17" t="s">
        <v>6917</v>
      </c>
      <c r="F3660" s="16" t="n">
        <v>32.5473714899</v>
      </c>
      <c r="G3660" s="16" t="n">
        <v>45.7170445751</v>
      </c>
      <c r="H3660" s="18" t="n">
        <v>7</v>
      </c>
      <c r="I3660" s="18" t="n">
        <v>42</v>
      </c>
      <c r="J3660" s="19"/>
      <c r="K3660" s="19"/>
      <c r="L3660" s="19"/>
      <c r="M3660" s="19"/>
      <c r="N3660" s="19"/>
      <c r="O3660" s="19"/>
      <c r="P3660" s="19"/>
      <c r="Q3660" s="19"/>
      <c r="R3660" s="19"/>
      <c r="S3660" s="19"/>
      <c r="T3660" s="19"/>
      <c r="U3660" s="19"/>
      <c r="V3660" s="19" t="n">
        <v>7</v>
      </c>
      <c r="W3660" s="19"/>
      <c r="X3660" s="19"/>
      <c r="Y3660" s="19"/>
      <c r="Z3660" s="19"/>
      <c r="AA3660" s="19"/>
      <c r="AB3660" s="19"/>
      <c r="AC3660" s="19" t="n">
        <v>7</v>
      </c>
      <c r="AD3660" s="19"/>
      <c r="AE3660" s="19"/>
      <c r="AF3660" s="19"/>
      <c r="AG3660" s="19"/>
      <c r="AH3660" s="19"/>
      <c r="AI3660" s="19"/>
      <c r="AJ3660" s="19"/>
      <c r="AK3660" s="19"/>
      <c r="AL3660" s="19"/>
      <c r="AM3660" s="19" t="n">
        <v>7</v>
      </c>
      <c r="AN3660" s="19"/>
      <c r="AO3660" s="19"/>
      <c r="AP3660" s="19"/>
      <c r="AQ3660" s="19"/>
      <c r="AR3660" s="19"/>
      <c r="AS3660" s="20" t="str">
        <f aca="false">HYPERLINK("http://www.openstreetmap.org/?mlat=32.5474&amp;mlon=45.717&amp;zoom=12#map=12/32.5474/45.717","Maplink1")</f>
        <v>Maplink1</v>
      </c>
      <c r="AT3660" s="20" t="str">
        <f aca="false">HYPERLINK("https://www.google.iq/maps/search/+32.5474,45.717/@32.5474,45.717,14z?hl=en","Maplink2")</f>
        <v>Maplink2</v>
      </c>
      <c r="AU3660" s="20" t="str">
        <f aca="false">HYPERLINK("http://www.bing.com/maps/?lvl=14&amp;sty=h&amp;cp=32.5474~45.717&amp;sp=point.32.5474_45.717","Maplink3")</f>
        <v>Maplink3</v>
      </c>
    </row>
    <row r="3661" customFormat="false" ht="15" hidden="false" customHeight="false" outlineLevel="0" collapsed="false">
      <c r="A3661" s="15" t="n">
        <v>24787</v>
      </c>
      <c r="B3661" s="16" t="s">
        <v>32</v>
      </c>
      <c r="C3661" s="16" t="s">
        <v>6812</v>
      </c>
      <c r="D3661" s="16" t="s">
        <v>6918</v>
      </c>
      <c r="E3661" s="17" t="s">
        <v>6919</v>
      </c>
      <c r="F3661" s="16" t="n">
        <v>32.54022218</v>
      </c>
      <c r="G3661" s="16" t="n">
        <v>45.85551216</v>
      </c>
      <c r="H3661" s="18" t="n">
        <v>29</v>
      </c>
      <c r="I3661" s="18" t="n">
        <v>174</v>
      </c>
      <c r="J3661" s="19"/>
      <c r="K3661" s="19"/>
      <c r="L3661" s="19"/>
      <c r="M3661" s="19"/>
      <c r="N3661" s="19"/>
      <c r="O3661" s="19"/>
      <c r="P3661" s="19"/>
      <c r="Q3661" s="19"/>
      <c r="R3661" s="19"/>
      <c r="S3661" s="19"/>
      <c r="T3661" s="19"/>
      <c r="U3661" s="19"/>
      <c r="V3661" s="19" t="n">
        <v>29</v>
      </c>
      <c r="W3661" s="19"/>
      <c r="X3661" s="19"/>
      <c r="Y3661" s="19"/>
      <c r="Z3661" s="19"/>
      <c r="AA3661" s="19"/>
      <c r="AB3661" s="19"/>
      <c r="AC3661" s="19" t="n">
        <v>14</v>
      </c>
      <c r="AD3661" s="19"/>
      <c r="AE3661" s="19"/>
      <c r="AF3661" s="19"/>
      <c r="AG3661" s="19" t="n">
        <v>3</v>
      </c>
      <c r="AH3661" s="19" t="n">
        <v>12</v>
      </c>
      <c r="AI3661" s="19"/>
      <c r="AJ3661" s="19"/>
      <c r="AK3661" s="19"/>
      <c r="AL3661" s="19"/>
      <c r="AM3661" s="19" t="n">
        <v>29</v>
      </c>
      <c r="AN3661" s="19"/>
      <c r="AO3661" s="19"/>
      <c r="AP3661" s="19"/>
      <c r="AQ3661" s="19"/>
      <c r="AR3661" s="19"/>
      <c r="AS3661" s="20" t="str">
        <f aca="false">HYPERLINK("http://www.openstreetmap.org/?mlat=32.5402&amp;mlon=45.8555&amp;zoom=12#map=12/32.5402/45.8555","Maplink1")</f>
        <v>Maplink1</v>
      </c>
      <c r="AT3661" s="20" t="str">
        <f aca="false">HYPERLINK("https://www.google.iq/maps/search/+32.5402,45.8555/@32.5402,45.8555,14z?hl=en","Maplink2")</f>
        <v>Maplink2</v>
      </c>
      <c r="AU3661" s="20" t="str">
        <f aca="false">HYPERLINK("http://www.bing.com/maps/?lvl=14&amp;sty=h&amp;cp=32.5402~45.8555&amp;sp=point.32.5402_45.8555","Maplink3")</f>
        <v>Maplink3</v>
      </c>
    </row>
    <row r="3662" customFormat="false" ht="15" hidden="false" customHeight="false" outlineLevel="0" collapsed="false">
      <c r="A3662" s="15" t="n">
        <v>25107</v>
      </c>
      <c r="B3662" s="16" t="s">
        <v>32</v>
      </c>
      <c r="C3662" s="16" t="s">
        <v>6812</v>
      </c>
      <c r="D3662" s="16" t="s">
        <v>6920</v>
      </c>
      <c r="E3662" s="17" t="s">
        <v>6921</v>
      </c>
      <c r="F3662" s="16" t="n">
        <v>32.65308541</v>
      </c>
      <c r="G3662" s="16" t="n">
        <v>46.07765029</v>
      </c>
      <c r="H3662" s="18" t="n">
        <v>12</v>
      </c>
      <c r="I3662" s="18" t="n">
        <v>72</v>
      </c>
      <c r="J3662" s="19"/>
      <c r="K3662" s="19"/>
      <c r="L3662" s="19"/>
      <c r="M3662" s="19"/>
      <c r="N3662" s="19"/>
      <c r="O3662" s="19"/>
      <c r="P3662" s="19"/>
      <c r="Q3662" s="19"/>
      <c r="R3662" s="19"/>
      <c r="S3662" s="19"/>
      <c r="T3662" s="19"/>
      <c r="U3662" s="19"/>
      <c r="V3662" s="19" t="n">
        <v>12</v>
      </c>
      <c r="W3662" s="19"/>
      <c r="X3662" s="19"/>
      <c r="Y3662" s="19"/>
      <c r="Z3662" s="19"/>
      <c r="AA3662" s="19"/>
      <c r="AB3662" s="19"/>
      <c r="AC3662" s="19"/>
      <c r="AD3662" s="19"/>
      <c r="AE3662" s="19"/>
      <c r="AF3662" s="19"/>
      <c r="AG3662" s="19" t="n">
        <v>4</v>
      </c>
      <c r="AH3662" s="19" t="n">
        <v>8</v>
      </c>
      <c r="AI3662" s="19"/>
      <c r="AJ3662" s="19"/>
      <c r="AK3662" s="19"/>
      <c r="AL3662" s="19"/>
      <c r="AM3662" s="19" t="n">
        <v>12</v>
      </c>
      <c r="AN3662" s="19"/>
      <c r="AO3662" s="19"/>
      <c r="AP3662" s="19"/>
      <c r="AQ3662" s="19"/>
      <c r="AR3662" s="19"/>
      <c r="AS3662" s="20" t="str">
        <f aca="false">HYPERLINK("http://www.openstreetmap.org/?mlat=32.6531&amp;mlon=46.0777&amp;zoom=12#map=12/32.6531/46.0777","Maplink1")</f>
        <v>Maplink1</v>
      </c>
      <c r="AT3662" s="20" t="str">
        <f aca="false">HYPERLINK("https://www.google.iq/maps/search/+32.6531,46.0777/@32.6531,46.0777,14z?hl=en","Maplink2")</f>
        <v>Maplink2</v>
      </c>
      <c r="AU3662" s="20" t="str">
        <f aca="false">HYPERLINK("http://www.bing.com/maps/?lvl=14&amp;sty=h&amp;cp=32.6531~46.0777&amp;sp=point.32.6531_46.0777","Maplink3")</f>
        <v>Maplink3</v>
      </c>
    </row>
    <row r="3663" customFormat="false" ht="15" hidden="false" customHeight="false" outlineLevel="0" collapsed="false">
      <c r="A3663" s="15" t="n">
        <v>18435</v>
      </c>
      <c r="B3663" s="16" t="s">
        <v>32</v>
      </c>
      <c r="C3663" s="16" t="s">
        <v>6812</v>
      </c>
      <c r="D3663" s="16" t="s">
        <v>6922</v>
      </c>
      <c r="E3663" s="17" t="s">
        <v>6923</v>
      </c>
      <c r="F3663" s="16" t="n">
        <v>32.5658559</v>
      </c>
      <c r="G3663" s="16" t="n">
        <v>46.27468225</v>
      </c>
      <c r="H3663" s="18" t="n">
        <v>14</v>
      </c>
      <c r="I3663" s="18" t="n">
        <v>84</v>
      </c>
      <c r="J3663" s="19"/>
      <c r="K3663" s="19"/>
      <c r="L3663" s="19"/>
      <c r="M3663" s="19"/>
      <c r="N3663" s="19"/>
      <c r="O3663" s="19"/>
      <c r="P3663" s="19"/>
      <c r="Q3663" s="19"/>
      <c r="R3663" s="19"/>
      <c r="S3663" s="19"/>
      <c r="T3663" s="19"/>
      <c r="U3663" s="19"/>
      <c r="V3663" s="19" t="n">
        <v>14</v>
      </c>
      <c r="W3663" s="19"/>
      <c r="X3663" s="19"/>
      <c r="Y3663" s="19"/>
      <c r="Z3663" s="19"/>
      <c r="AA3663" s="19"/>
      <c r="AB3663" s="19"/>
      <c r="AC3663" s="19" t="n">
        <v>6</v>
      </c>
      <c r="AD3663" s="19"/>
      <c r="AE3663" s="19"/>
      <c r="AF3663" s="19"/>
      <c r="AG3663" s="19" t="n">
        <v>8</v>
      </c>
      <c r="AH3663" s="19"/>
      <c r="AI3663" s="19"/>
      <c r="AJ3663" s="19"/>
      <c r="AK3663" s="19"/>
      <c r="AL3663" s="19"/>
      <c r="AM3663" s="19"/>
      <c r="AN3663" s="19" t="n">
        <v>14</v>
      </c>
      <c r="AO3663" s="19"/>
      <c r="AP3663" s="19"/>
      <c r="AQ3663" s="19"/>
      <c r="AR3663" s="19"/>
      <c r="AS3663" s="20" t="str">
        <f aca="false">HYPERLINK("http://www.openstreetmap.org/?mlat=32.5659&amp;mlon=46.2747&amp;zoom=12#map=12/32.5659/46.2747","Maplink1")</f>
        <v>Maplink1</v>
      </c>
      <c r="AT3663" s="20" t="str">
        <f aca="false">HYPERLINK("https://www.google.iq/maps/search/+32.5659,46.2747/@32.5659,46.2747,14z?hl=en","Maplink2")</f>
        <v>Maplink2</v>
      </c>
      <c r="AU3663" s="20" t="str">
        <f aca="false">HYPERLINK("http://www.bing.com/maps/?lvl=14&amp;sty=h&amp;cp=32.5659~46.2747&amp;sp=point.32.5659_46.2747","Maplink3")</f>
        <v>Maplink3</v>
      </c>
    </row>
    <row r="3664" customFormat="false" ht="15" hidden="false" customHeight="false" outlineLevel="0" collapsed="false">
      <c r="A3664" s="15" t="n">
        <v>19551</v>
      </c>
      <c r="B3664" s="16" t="s">
        <v>32</v>
      </c>
      <c r="C3664" s="16" t="s">
        <v>6812</v>
      </c>
      <c r="D3664" s="16" t="s">
        <v>6924</v>
      </c>
      <c r="E3664" s="17" t="s">
        <v>6925</v>
      </c>
      <c r="F3664" s="16" t="n">
        <v>32.44842922</v>
      </c>
      <c r="G3664" s="16" t="n">
        <v>45.90024218</v>
      </c>
      <c r="H3664" s="18" t="n">
        <v>35</v>
      </c>
      <c r="I3664" s="18" t="n">
        <v>210</v>
      </c>
      <c r="J3664" s="19" t="n">
        <v>4</v>
      </c>
      <c r="K3664" s="19"/>
      <c r="L3664" s="19"/>
      <c r="M3664" s="19"/>
      <c r="N3664" s="19"/>
      <c r="O3664" s="19"/>
      <c r="P3664" s="19"/>
      <c r="Q3664" s="19"/>
      <c r="R3664" s="19"/>
      <c r="S3664" s="19"/>
      <c r="T3664" s="19"/>
      <c r="U3664" s="19"/>
      <c r="V3664" s="19" t="n">
        <v>25</v>
      </c>
      <c r="W3664" s="19"/>
      <c r="X3664" s="19" t="n">
        <v>6</v>
      </c>
      <c r="Y3664" s="19"/>
      <c r="Z3664" s="19"/>
      <c r="AA3664" s="19"/>
      <c r="AB3664" s="19"/>
      <c r="AC3664" s="19"/>
      <c r="AD3664" s="19"/>
      <c r="AE3664" s="19"/>
      <c r="AF3664" s="19"/>
      <c r="AG3664" s="19" t="n">
        <v>12</v>
      </c>
      <c r="AH3664" s="19" t="n">
        <v>23</v>
      </c>
      <c r="AI3664" s="19"/>
      <c r="AJ3664" s="19"/>
      <c r="AK3664" s="19"/>
      <c r="AL3664" s="19"/>
      <c r="AM3664" s="19" t="n">
        <v>25</v>
      </c>
      <c r="AN3664" s="19" t="n">
        <v>6</v>
      </c>
      <c r="AO3664" s="19"/>
      <c r="AP3664" s="19" t="n">
        <v>4</v>
      </c>
      <c r="AQ3664" s="19"/>
      <c r="AR3664" s="19"/>
      <c r="AS3664" s="20" t="str">
        <f aca="false">HYPERLINK("http://www.openstreetmap.org/?mlat=32.4484&amp;mlon=45.9002&amp;zoom=12#map=12/32.4484/45.9002","Maplink1")</f>
        <v>Maplink1</v>
      </c>
      <c r="AT3664" s="20" t="str">
        <f aca="false">HYPERLINK("https://www.google.iq/maps/search/+32.4484,45.9002/@32.4484,45.9002,14z?hl=en","Maplink2")</f>
        <v>Maplink2</v>
      </c>
      <c r="AU3664" s="20" t="str">
        <f aca="false">HYPERLINK("http://www.bing.com/maps/?lvl=14&amp;sty=h&amp;cp=32.4484~45.9002&amp;sp=point.32.4484_45.9002","Maplink3")</f>
        <v>Maplink3</v>
      </c>
    </row>
    <row r="3665" customFormat="false" ht="15" hidden="false" customHeight="false" outlineLevel="0" collapsed="false">
      <c r="A3665" s="15" t="n">
        <v>20948</v>
      </c>
      <c r="B3665" s="16" t="s">
        <v>32</v>
      </c>
      <c r="C3665" s="16" t="s">
        <v>6812</v>
      </c>
      <c r="D3665" s="16" t="s">
        <v>6926</v>
      </c>
      <c r="E3665" s="17" t="s">
        <v>6927</v>
      </c>
      <c r="F3665" s="16" t="n">
        <v>32.53170806</v>
      </c>
      <c r="G3665" s="16" t="n">
        <v>45.76458589</v>
      </c>
      <c r="H3665" s="18" t="n">
        <v>43</v>
      </c>
      <c r="I3665" s="18" t="n">
        <v>258</v>
      </c>
      <c r="J3665" s="19" t="n">
        <v>3</v>
      </c>
      <c r="K3665" s="19"/>
      <c r="L3665" s="19"/>
      <c r="M3665" s="19"/>
      <c r="N3665" s="19"/>
      <c r="O3665" s="19"/>
      <c r="P3665" s="19"/>
      <c r="Q3665" s="19"/>
      <c r="R3665" s="19"/>
      <c r="S3665" s="19"/>
      <c r="T3665" s="19"/>
      <c r="U3665" s="19"/>
      <c r="V3665" s="19" t="n">
        <v>40</v>
      </c>
      <c r="W3665" s="19"/>
      <c r="X3665" s="19"/>
      <c r="Y3665" s="19"/>
      <c r="Z3665" s="19"/>
      <c r="AA3665" s="19"/>
      <c r="AB3665" s="19"/>
      <c r="AC3665" s="19"/>
      <c r="AD3665" s="19"/>
      <c r="AE3665" s="19"/>
      <c r="AF3665" s="19"/>
      <c r="AG3665" s="19" t="n">
        <v>43</v>
      </c>
      <c r="AH3665" s="19"/>
      <c r="AI3665" s="19"/>
      <c r="AJ3665" s="19"/>
      <c r="AK3665" s="19"/>
      <c r="AL3665" s="19" t="n">
        <v>3</v>
      </c>
      <c r="AM3665" s="19" t="n">
        <v>20</v>
      </c>
      <c r="AN3665" s="19"/>
      <c r="AO3665" s="19" t="n">
        <v>20</v>
      </c>
      <c r="AP3665" s="19"/>
      <c r="AQ3665" s="19"/>
      <c r="AR3665" s="19"/>
      <c r="AS3665" s="20" t="str">
        <f aca="false">HYPERLINK("http://www.openstreetmap.org/?mlat=32.5317&amp;mlon=45.7646&amp;zoom=12#map=12/32.5317/45.7646","Maplink1")</f>
        <v>Maplink1</v>
      </c>
      <c r="AT3665" s="20" t="str">
        <f aca="false">HYPERLINK("https://www.google.iq/maps/search/+32.5317,45.7646/@32.5317,45.7646,14z?hl=en","Maplink2")</f>
        <v>Maplink2</v>
      </c>
      <c r="AU3665" s="20" t="str">
        <f aca="false">HYPERLINK("http://www.bing.com/maps/?lvl=14&amp;sty=h&amp;cp=32.5317~45.7646&amp;sp=point.32.5317_45.7646","Maplink3")</f>
        <v>Maplink3</v>
      </c>
    </row>
  </sheetData>
  <autoFilter ref="A4:AU3665"/>
  <mergeCells count="6">
    <mergeCell ref="A1:E1"/>
    <mergeCell ref="A3:G3"/>
    <mergeCell ref="J3:AA3"/>
    <mergeCell ref="AB3:AK3"/>
    <mergeCell ref="AL3:AQ3"/>
    <mergeCell ref="AS3:AU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"/>
  <sheetViews>
    <sheetView windowProtection="false"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1" min="1" style="0" width="12.5561224489796"/>
    <col collapsed="false" hidden="false" max="4" min="2" style="0" width="10.1224489795918"/>
    <col collapsed="false" hidden="false" max="5" min="5" style="0" width="13.5"/>
    <col collapsed="false" hidden="false" max="6" min="6" style="0" width="9.85204081632653"/>
    <col collapsed="false" hidden="false" max="7" min="7" style="0" width="10.1224489795918"/>
    <col collapsed="false" hidden="false" max="8" min="8" style="0" width="12.4183673469388"/>
    <col collapsed="false" hidden="false" max="15" min="9" style="0" width="10.1224489795918"/>
    <col collapsed="false" hidden="false" max="16" min="16" style="0" width="12.4183673469388"/>
    <col collapsed="false" hidden="false" max="17" min="17" style="0" width="11.3418367346939"/>
    <col collapsed="false" hidden="false" max="20" min="18" style="0" width="10.1224489795918"/>
    <col collapsed="false" hidden="false" max="21" min="21" style="0" width="252.163265306122"/>
    <col collapsed="false" hidden="false" max="1025" min="22" style="0" width="8.50510204081633"/>
  </cols>
  <sheetData>
    <row r="1" s="1" customFormat="true" ht="15" hidden="false" customHeight="true" outlineLevel="0" collapsed="false">
      <c r="A1" s="21" t="s">
        <v>6928</v>
      </c>
      <c r="B1" s="21"/>
      <c r="D1" s="22" t="s">
        <v>4</v>
      </c>
      <c r="E1" s="22"/>
      <c r="F1" s="22" t="s">
        <v>6929</v>
      </c>
      <c r="G1" s="22" t="s">
        <v>6930</v>
      </c>
      <c r="H1" s="22" t="s">
        <v>6931</v>
      </c>
      <c r="I1" s="22" t="s">
        <v>6932</v>
      </c>
    </row>
    <row r="2" customFormat="false" ht="15" hidden="false" customHeight="true" outlineLevel="0" collapsed="false">
      <c r="A2" s="23" t="s">
        <v>6933</v>
      </c>
      <c r="B2" s="24" t="n">
        <f aca="false">SUMPRODUCT(1/COUNTIF('DTM DATASET'!C5:C3665,'DTM DATASET'!C5:C3665&amp;""))</f>
        <v>106.000000000001</v>
      </c>
      <c r="C2" s="1"/>
      <c r="D2" s="25" t="s">
        <v>43</v>
      </c>
      <c r="E2" s="25"/>
      <c r="F2" s="26" t="n">
        <f aca="false">COUNT('DTM DATASET'!AL:AL)</f>
        <v>1047</v>
      </c>
      <c r="G2" s="26" t="n">
        <f aca="false">SUM('DTM DATASET'!AL:AL)</f>
        <v>50264</v>
      </c>
      <c r="H2" s="26" t="n">
        <f aca="false">G2*6</f>
        <v>301584</v>
      </c>
      <c r="I2" s="27" t="n">
        <f aca="false">H2/$H$9</f>
        <v>0.0995324761733145</v>
      </c>
    </row>
    <row r="3" customFormat="false" ht="15" hidden="false" customHeight="true" outlineLevel="0" collapsed="false">
      <c r="A3" s="23" t="s">
        <v>6934</v>
      </c>
      <c r="B3" s="24" t="n">
        <f aca="false">COUNT('DTM DATASET'!A:A)</f>
        <v>3661</v>
      </c>
      <c r="C3" s="1"/>
      <c r="D3" s="28" t="s">
        <v>44</v>
      </c>
      <c r="E3" s="28"/>
      <c r="F3" s="29" t="n">
        <f aca="false">COUNT('DTM DATASET'!AM:AM)</f>
        <v>2111</v>
      </c>
      <c r="G3" s="29" t="n">
        <f aca="false">SUM('DTM DATASET'!AM:AM)</f>
        <v>104485</v>
      </c>
      <c r="H3" s="29" t="n">
        <f aca="false">G3*6</f>
        <v>626910</v>
      </c>
      <c r="I3" s="30" t="n">
        <f aca="false">H3/$H$9</f>
        <v>0.20690058039489</v>
      </c>
    </row>
    <row r="4" customFormat="false" ht="15" hidden="false" customHeight="true" outlineLevel="0" collapsed="false">
      <c r="A4" s="23" t="s">
        <v>6935</v>
      </c>
      <c r="B4" s="24" t="n">
        <f aca="false">SUM('DTM DATASET'!H:H)</f>
        <v>505001</v>
      </c>
      <c r="C4" s="1"/>
      <c r="D4" s="28" t="s">
        <v>45</v>
      </c>
      <c r="E4" s="28"/>
      <c r="F4" s="29" t="n">
        <f aca="false">COUNT('DTM DATASET'!AN:AN)</f>
        <v>1689</v>
      </c>
      <c r="G4" s="29" t="n">
        <f aca="false">SUM('DTM DATASET'!AN:AN)</f>
        <v>122338</v>
      </c>
      <c r="H4" s="29" t="n">
        <f aca="false">G4*6</f>
        <v>734028</v>
      </c>
      <c r="I4" s="30" t="n">
        <f aca="false">H4/$H$9</f>
        <v>0.242252985637652</v>
      </c>
    </row>
    <row r="5" customFormat="false" ht="15" hidden="false" customHeight="true" outlineLevel="0" collapsed="false">
      <c r="A5" s="23" t="s">
        <v>6936</v>
      </c>
      <c r="B5" s="24" t="n">
        <f aca="false">SUM('DTM DATASET'!I:I)</f>
        <v>3030006</v>
      </c>
      <c r="C5" s="1"/>
      <c r="D5" s="28" t="s">
        <v>46</v>
      </c>
      <c r="E5" s="28"/>
      <c r="F5" s="29" t="n">
        <f aca="false">COUNT('DTM DATASET'!AO:AO)</f>
        <v>1566</v>
      </c>
      <c r="G5" s="29" t="n">
        <f aca="false">SUM('DTM DATASET'!AO:AO)</f>
        <v>55895</v>
      </c>
      <c r="H5" s="29" t="n">
        <f aca="false">G5*6</f>
        <v>335370</v>
      </c>
      <c r="I5" s="30" t="n">
        <f aca="false">H5/$H$9</f>
        <v>0.110682949142675</v>
      </c>
    </row>
    <row r="6" customFormat="false" ht="15" hidden="false" customHeight="true" outlineLevel="0" collapsed="false">
      <c r="C6" s="1"/>
      <c r="D6" s="28" t="s">
        <v>47</v>
      </c>
      <c r="E6" s="28"/>
      <c r="F6" s="29" t="n">
        <f aca="false">COUNT('DTM DATASET'!AP:AP)</f>
        <v>1373</v>
      </c>
      <c r="G6" s="29" t="n">
        <f aca="false">SUM('DTM DATASET'!AP:AP)</f>
        <v>78837</v>
      </c>
      <c r="H6" s="29" t="n">
        <f aca="false">G6*6</f>
        <v>473022</v>
      </c>
      <c r="I6" s="30" t="n">
        <f aca="false">H6/$H$9</f>
        <v>0.156112562153342</v>
      </c>
    </row>
    <row r="7" s="1" customFormat="true" ht="15" hidden="false" customHeight="true" outlineLevel="0" collapsed="false">
      <c r="D7" s="28" t="s">
        <v>6937</v>
      </c>
      <c r="E7" s="28"/>
      <c r="F7" s="29" t="n">
        <f aca="false">COUNT('DTM DATASET'!AQ:AQ)</f>
        <v>546</v>
      </c>
      <c r="G7" s="29" t="n">
        <f aca="false">SUM('DTM DATASET'!AQ:AQ)</f>
        <v>44247</v>
      </c>
      <c r="H7" s="29" t="n">
        <f aca="false">G7*6</f>
        <v>265482</v>
      </c>
      <c r="I7" s="30" t="n">
        <f aca="false">H7/$H$9</f>
        <v>0.0876176482818846</v>
      </c>
    </row>
    <row r="8" s="1" customFormat="true" ht="15" hidden="false" customHeight="true" outlineLevel="0" collapsed="false">
      <c r="D8" s="28" t="s">
        <v>6938</v>
      </c>
      <c r="E8" s="28"/>
      <c r="F8" s="29" t="n">
        <f aca="false">COUNT('DTM DATASET'!AR:AR)</f>
        <v>355</v>
      </c>
      <c r="G8" s="29" t="n">
        <f aca="false">SUM('DTM DATASET'!AR:AR)</f>
        <v>48935</v>
      </c>
      <c r="H8" s="29" t="n">
        <f aca="false">G8*6</f>
        <v>293610</v>
      </c>
      <c r="I8" s="30" t="n">
        <f aca="false">H8/$H$9</f>
        <v>0.0969007982162412</v>
      </c>
    </row>
    <row r="9" customFormat="false" ht="15" hidden="false" customHeight="false" outlineLevel="0" collapsed="false">
      <c r="D9" s="23"/>
      <c r="E9" s="23"/>
      <c r="F9" s="29"/>
      <c r="G9" s="24" t="n">
        <f aca="false">SUM(G2:G8)</f>
        <v>505001</v>
      </c>
      <c r="H9" s="24" t="n">
        <f aca="false">SUM(H2:H8)</f>
        <v>3030006</v>
      </c>
      <c r="I9" s="31" t="n">
        <f aca="false">SUM(I2:I8)</f>
        <v>1</v>
      </c>
    </row>
    <row r="10" customFormat="false" ht="15" hidden="false" customHeight="false" outlineLevel="0" collapsed="false"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5" hidden="false" customHeight="true" outlineLevel="0" collapsed="false">
      <c r="A11" s="32"/>
      <c r="B11" s="33" t="s">
        <v>6939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customFormat="false" ht="38.25" hidden="false" customHeight="false" outlineLevel="0" collapsed="false">
      <c r="A12" s="34" t="s">
        <v>6940</v>
      </c>
      <c r="B12" s="33" t="s">
        <v>33</v>
      </c>
      <c r="C12" s="33" t="s">
        <v>34</v>
      </c>
      <c r="D12" s="33" t="s">
        <v>35</v>
      </c>
      <c r="E12" s="33" t="s">
        <v>36</v>
      </c>
      <c r="F12" s="33" t="s">
        <v>37</v>
      </c>
      <c r="G12" s="33" t="s">
        <v>38</v>
      </c>
      <c r="H12" s="33" t="s">
        <v>39</v>
      </c>
      <c r="I12" s="33" t="s">
        <v>40</v>
      </c>
      <c r="J12" s="33" t="s">
        <v>41</v>
      </c>
      <c r="K12" s="33" t="s">
        <v>42</v>
      </c>
      <c r="L12" s="33" t="s">
        <v>6941</v>
      </c>
    </row>
    <row r="13" customFormat="false" ht="15" hidden="false" customHeight="false" outlineLevel="0" collapsed="false">
      <c r="A13" s="35" t="s">
        <v>15</v>
      </c>
      <c r="B13" s="26" t="n">
        <f aca="false">SUMIF('DTM DATASET'!B:B,A13,'DTM DATASET'!AB:AB)</f>
        <v>15156</v>
      </c>
      <c r="C13" s="26" t="n">
        <f aca="false">SUMIF('DTM DATASET'!B:B,A13,'DTM DATASET'!AC:AC)</f>
        <v>13878</v>
      </c>
      <c r="D13" s="26" t="n">
        <f aca="false">SUMIF('DTM DATASET'!B:B,A13,'DTM DATASET'!AD:AD)</f>
        <v>0</v>
      </c>
      <c r="E13" s="26" t="n">
        <f aca="false">SUMIF('DTM DATASET'!B:B,A13,'DTM DATASET'!AE:AE)</f>
        <v>4778</v>
      </c>
      <c r="F13" s="26" t="n">
        <f aca="false">SUMIF('DTM DATASET'!B:B,A13,'DTM DATASET'!AF:AF)</f>
        <v>0</v>
      </c>
      <c r="G13" s="26" t="n">
        <f aca="false">SUMIF('DTM DATASET'!B:B,A13,'DTM DATASET'!AG:AG)</f>
        <v>84</v>
      </c>
      <c r="H13" s="26" t="n">
        <f aca="false">SUMIF('DTM DATASET'!B:B,A13,'DTM DATASET'!AH:AH)</f>
        <v>5171</v>
      </c>
      <c r="I13" s="26" t="n">
        <f aca="false">SUMIF('DTM DATASET'!B:B,A13,'DTM DATASET'!AI:AI)</f>
        <v>575</v>
      </c>
      <c r="J13" s="26" t="n">
        <f aca="false">SUMIF('DTM DATASET'!B:B,A13,'DTM DATASET'!AJ:AJ)</f>
        <v>1948</v>
      </c>
      <c r="K13" s="26" t="n">
        <f aca="false">SUMIF('DTM DATASET'!B:B,A13,'DTM DATASET'!AK:AK)</f>
        <v>0</v>
      </c>
      <c r="L13" s="26" t="n">
        <f aca="false">SUM(B13:K13)</f>
        <v>41590</v>
      </c>
    </row>
    <row r="14" customFormat="false" ht="15" hidden="false" customHeight="false" outlineLevel="0" collapsed="false">
      <c r="A14" s="23" t="s">
        <v>16</v>
      </c>
      <c r="B14" s="29" t="n">
        <f aca="false">SUMIF('DTM DATASET'!B:B,A14,'DTM DATASET'!AB:AB)</f>
        <v>0</v>
      </c>
      <c r="C14" s="29" t="n">
        <f aca="false">SUMIF('DTM DATASET'!B:B,A14,'DTM DATASET'!AC:AC)</f>
        <v>929</v>
      </c>
      <c r="D14" s="29" t="n">
        <f aca="false">SUMIF('DTM DATASET'!B:B,A14,'DTM DATASET'!AD:AD)</f>
        <v>86</v>
      </c>
      <c r="E14" s="29" t="n">
        <f aca="false">SUMIF('DTM DATASET'!B:B,A14,'DTM DATASET'!AE:AE)</f>
        <v>383</v>
      </c>
      <c r="F14" s="29" t="n">
        <f aca="false">SUMIF('DTM DATASET'!B:B,A14,'DTM DATASET'!AF:AF)</f>
        <v>0</v>
      </c>
      <c r="G14" s="29" t="n">
        <f aca="false">SUMIF('DTM DATASET'!B:B,A14,'DTM DATASET'!AG:AG)</f>
        <v>629</v>
      </c>
      <c r="H14" s="29" t="n">
        <f aca="false">SUMIF('DTM DATASET'!B:B,A14,'DTM DATASET'!AH:AH)</f>
        <v>5422</v>
      </c>
      <c r="I14" s="29" t="n">
        <f aca="false">SUMIF('DTM DATASET'!B:B,A14,'DTM DATASET'!AI:AI)</f>
        <v>10</v>
      </c>
      <c r="J14" s="29" t="n">
        <f aca="false">SUMIF('DTM DATASET'!B:B,A14,'DTM DATASET'!AJ:AJ)</f>
        <v>261</v>
      </c>
      <c r="K14" s="29" t="n">
        <f aca="false">SUMIF('DTM DATASET'!B:B,A14,'DTM DATASET'!AK:AK)</f>
        <v>0</v>
      </c>
      <c r="L14" s="29" t="n">
        <f aca="false">SUM(B14:K14)</f>
        <v>7720</v>
      </c>
    </row>
    <row r="15" customFormat="false" ht="15" hidden="false" customHeight="false" outlineLevel="0" collapsed="false">
      <c r="A15" s="23" t="s">
        <v>17</v>
      </c>
      <c r="B15" s="29" t="n">
        <f aca="false">SUMIF('DTM DATASET'!B:B,A15,'DTM DATASET'!AB:AB)</f>
        <v>2603</v>
      </c>
      <c r="C15" s="29" t="n">
        <f aca="false">SUMIF('DTM DATASET'!B:B,A15,'DTM DATASET'!AC:AC)</f>
        <v>23172</v>
      </c>
      <c r="D15" s="29" t="n">
        <f aca="false">SUMIF('DTM DATASET'!B:B,A15,'DTM DATASET'!AD:AD)</f>
        <v>100</v>
      </c>
      <c r="E15" s="29" t="n">
        <f aca="false">SUMIF('DTM DATASET'!B:B,A15,'DTM DATASET'!AE:AE)</f>
        <v>1067</v>
      </c>
      <c r="F15" s="29" t="n">
        <f aca="false">SUMIF('DTM DATASET'!B:B,A15,'DTM DATASET'!AF:AF)</f>
        <v>31</v>
      </c>
      <c r="G15" s="29" t="n">
        <f aca="false">SUMIF('DTM DATASET'!B:B,A15,'DTM DATASET'!AG:AG)</f>
        <v>337</v>
      </c>
      <c r="H15" s="29" t="n">
        <f aca="false">SUMIF('DTM DATASET'!B:B,A15,'DTM DATASET'!AH:AH)</f>
        <v>33985</v>
      </c>
      <c r="I15" s="29" t="n">
        <f aca="false">SUMIF('DTM DATASET'!B:B,A15,'DTM DATASET'!AI:AI)</f>
        <v>365</v>
      </c>
      <c r="J15" s="29" t="n">
        <f aca="false">SUMIF('DTM DATASET'!B:B,A15,'DTM DATASET'!AJ:AJ)</f>
        <v>1298</v>
      </c>
      <c r="K15" s="29" t="n">
        <f aca="false">SUMIF('DTM DATASET'!B:B,A15,'DTM DATASET'!AK:AK)</f>
        <v>7</v>
      </c>
      <c r="L15" s="29" t="n">
        <f aca="false">SUM(B15:K15)</f>
        <v>62965</v>
      </c>
    </row>
    <row r="16" customFormat="false" ht="15" hidden="false" customHeight="false" outlineLevel="0" collapsed="false">
      <c r="A16" s="23" t="s">
        <v>18</v>
      </c>
      <c r="B16" s="29" t="n">
        <f aca="false">SUMIF('DTM DATASET'!B:B,A16,'DTM DATASET'!AB:AB)</f>
        <v>0</v>
      </c>
      <c r="C16" s="29" t="n">
        <f aca="false">SUMIF('DTM DATASET'!B:B,A16,'DTM DATASET'!AC:AC)</f>
        <v>382</v>
      </c>
      <c r="D16" s="29" t="n">
        <f aca="false">SUMIF('DTM DATASET'!B:B,A16,'DTM DATASET'!AD:AD)</f>
        <v>97</v>
      </c>
      <c r="E16" s="29" t="n">
        <f aca="false">SUMIF('DTM DATASET'!B:B,A16,'DTM DATASET'!AE:AE)</f>
        <v>172</v>
      </c>
      <c r="F16" s="29" t="n">
        <f aca="false">SUMIF('DTM DATASET'!B:B,A16,'DTM DATASET'!AF:AF)</f>
        <v>0</v>
      </c>
      <c r="G16" s="29" t="n">
        <f aca="false">SUMIF('DTM DATASET'!B:B,A16,'DTM DATASET'!AG:AG)</f>
        <v>22</v>
      </c>
      <c r="H16" s="29" t="n">
        <f aca="false">SUMIF('DTM DATASET'!B:B,A16,'DTM DATASET'!AH:AH)</f>
        <v>1094</v>
      </c>
      <c r="I16" s="29" t="n">
        <f aca="false">SUMIF('DTM DATASET'!B:B,A16,'DTM DATASET'!AI:AI)</f>
        <v>0</v>
      </c>
      <c r="J16" s="29" t="n">
        <f aca="false">SUMIF('DTM DATASET'!B:B,A16,'DTM DATASET'!AJ:AJ)</f>
        <v>1</v>
      </c>
      <c r="K16" s="29" t="n">
        <f aca="false">SUMIF('DTM DATASET'!B:B,A16,'DTM DATASET'!AK:AK)</f>
        <v>0</v>
      </c>
      <c r="L16" s="29" t="n">
        <f aca="false">SUM(B16:K16)</f>
        <v>1768</v>
      </c>
    </row>
    <row r="17" customFormat="false" ht="15" hidden="false" customHeight="false" outlineLevel="0" collapsed="false">
      <c r="A17" s="23" t="s">
        <v>19</v>
      </c>
      <c r="B17" s="29" t="n">
        <f aca="false">SUMIF('DTM DATASET'!B:B,A17,'DTM DATASET'!AB:AB)</f>
        <v>25590</v>
      </c>
      <c r="C17" s="29" t="n">
        <f aca="false">SUMIF('DTM DATASET'!B:B,A17,'DTM DATASET'!AC:AC)</f>
        <v>3723</v>
      </c>
      <c r="D17" s="29" t="n">
        <f aca="false">SUMIF('DTM DATASET'!B:B,A17,'DTM DATASET'!AD:AD)</f>
        <v>600</v>
      </c>
      <c r="E17" s="29" t="n">
        <f aca="false">SUMIF('DTM DATASET'!B:B,A17,'DTM DATASET'!AE:AE)</f>
        <v>2190</v>
      </c>
      <c r="F17" s="29" t="n">
        <f aca="false">SUMIF('DTM DATASET'!B:B,A17,'DTM DATASET'!AF:AF)</f>
        <v>0</v>
      </c>
      <c r="G17" s="29" t="n">
        <f aca="false">SUMIF('DTM DATASET'!B:B,A17,'DTM DATASET'!AG:AG)</f>
        <v>150</v>
      </c>
      <c r="H17" s="29" t="n">
        <f aca="false">SUMIF('DTM DATASET'!B:B,A17,'DTM DATASET'!AH:AH)</f>
        <v>23572</v>
      </c>
      <c r="I17" s="29" t="n">
        <f aca="false">SUMIF('DTM DATASET'!B:B,A17,'DTM DATASET'!AI:AI)</f>
        <v>0</v>
      </c>
      <c r="J17" s="29" t="n">
        <f aca="false">SUMIF('DTM DATASET'!B:B,A17,'DTM DATASET'!AJ:AJ)</f>
        <v>10164</v>
      </c>
      <c r="K17" s="29" t="n">
        <f aca="false">SUMIF('DTM DATASET'!B:B,A17,'DTM DATASET'!AK:AK)</f>
        <v>0</v>
      </c>
      <c r="L17" s="29" t="n">
        <f aca="false">SUM(B17:K17)</f>
        <v>65989</v>
      </c>
    </row>
    <row r="18" customFormat="false" ht="15" hidden="false" customHeight="false" outlineLevel="0" collapsed="false">
      <c r="A18" s="23" t="s">
        <v>20</v>
      </c>
      <c r="B18" s="29" t="n">
        <f aca="false">SUMIF('DTM DATASET'!B:B,A18,'DTM DATASET'!AB:AB)</f>
        <v>1677</v>
      </c>
      <c r="C18" s="29" t="n">
        <f aca="false">SUMIF('DTM DATASET'!B:B,A18,'DTM DATASET'!AC:AC)</f>
        <v>3268</v>
      </c>
      <c r="D18" s="29" t="n">
        <f aca="false">SUMIF('DTM DATASET'!B:B,A18,'DTM DATASET'!AD:AD)</f>
        <v>0</v>
      </c>
      <c r="E18" s="29" t="n">
        <f aca="false">SUMIF('DTM DATASET'!B:B,A18,'DTM DATASET'!AE:AE)</f>
        <v>5</v>
      </c>
      <c r="F18" s="29" t="n">
        <f aca="false">SUMIF('DTM DATASET'!B:B,A18,'DTM DATASET'!AF:AF)</f>
        <v>3</v>
      </c>
      <c r="G18" s="29" t="n">
        <f aca="false">SUMIF('DTM DATASET'!B:B,A18,'DTM DATASET'!AG:AG)</f>
        <v>0</v>
      </c>
      <c r="H18" s="29" t="n">
        <f aca="false">SUMIF('DTM DATASET'!B:B,A18,'DTM DATASET'!AH:AH)</f>
        <v>5957</v>
      </c>
      <c r="I18" s="29" t="n">
        <f aca="false">SUMIF('DTM DATASET'!B:B,A18,'DTM DATASET'!AI:AI)</f>
        <v>25</v>
      </c>
      <c r="J18" s="29" t="n">
        <f aca="false">SUMIF('DTM DATASET'!B:B,A18,'DTM DATASET'!AJ:AJ)</f>
        <v>1270</v>
      </c>
      <c r="K18" s="29" t="n">
        <f aca="false">SUMIF('DTM DATASET'!B:B,A18,'DTM DATASET'!AK:AK)</f>
        <v>120</v>
      </c>
      <c r="L18" s="29" t="n">
        <f aca="false">SUM(B18:K18)</f>
        <v>12325</v>
      </c>
    </row>
    <row r="19" customFormat="false" ht="15" hidden="false" customHeight="false" outlineLevel="0" collapsed="false">
      <c r="A19" s="23" t="s">
        <v>21</v>
      </c>
      <c r="B19" s="29" t="n">
        <f aca="false">SUMIF('DTM DATASET'!B:B,A19,'DTM DATASET'!AB:AB)</f>
        <v>6485</v>
      </c>
      <c r="C19" s="29" t="n">
        <f aca="false">SUMIF('DTM DATASET'!B:B,A19,'DTM DATASET'!AC:AC)</f>
        <v>0</v>
      </c>
      <c r="D19" s="29" t="n">
        <f aca="false">SUMIF('DTM DATASET'!B:B,A19,'DTM DATASET'!AD:AD)</f>
        <v>371</v>
      </c>
      <c r="E19" s="29" t="n">
        <f aca="false">SUMIF('DTM DATASET'!B:B,A19,'DTM DATASET'!AE:AE)</f>
        <v>624</v>
      </c>
      <c r="F19" s="29" t="n">
        <f aca="false">SUMIF('DTM DATASET'!B:B,A19,'DTM DATASET'!AF:AF)</f>
        <v>25</v>
      </c>
      <c r="G19" s="29" t="n">
        <f aca="false">SUMIF('DTM DATASET'!B:B,A19,'DTM DATASET'!AG:AG)</f>
        <v>138</v>
      </c>
      <c r="H19" s="29" t="n">
        <f aca="false">SUMIF('DTM DATASET'!B:B,A19,'DTM DATASET'!AH:AH)</f>
        <v>49921</v>
      </c>
      <c r="I19" s="29" t="n">
        <f aca="false">SUMIF('DTM DATASET'!B:B,A19,'DTM DATASET'!AI:AI)</f>
        <v>49</v>
      </c>
      <c r="J19" s="29" t="n">
        <f aca="false">SUMIF('DTM DATASET'!B:B,A19,'DTM DATASET'!AJ:AJ)</f>
        <v>20</v>
      </c>
      <c r="K19" s="29" t="n">
        <f aca="false">SUMIF('DTM DATASET'!B:B,A19,'DTM DATASET'!AK:AK)</f>
        <v>0</v>
      </c>
      <c r="L19" s="29" t="n">
        <f aca="false">SUM(B19:K19)</f>
        <v>57633</v>
      </c>
    </row>
    <row r="20" customFormat="false" ht="15" hidden="false" customHeight="false" outlineLevel="0" collapsed="false">
      <c r="A20" s="23" t="s">
        <v>22</v>
      </c>
      <c r="B20" s="29" t="n">
        <f aca="false">SUMIF('DTM DATASET'!B:B,A20,'DTM DATASET'!AB:AB)</f>
        <v>1300</v>
      </c>
      <c r="C20" s="29" t="n">
        <f aca="false">SUMIF('DTM DATASET'!B:B,A20,'DTM DATASET'!AC:AC)</f>
        <v>281</v>
      </c>
      <c r="D20" s="29" t="n">
        <f aca="false">SUMIF('DTM DATASET'!B:B,A20,'DTM DATASET'!AD:AD)</f>
        <v>11</v>
      </c>
      <c r="E20" s="29" t="n">
        <f aca="false">SUMIF('DTM DATASET'!B:B,A20,'DTM DATASET'!AE:AE)</f>
        <v>76</v>
      </c>
      <c r="F20" s="29" t="n">
        <f aca="false">SUMIF('DTM DATASET'!B:B,A20,'DTM DATASET'!AF:AF)</f>
        <v>0</v>
      </c>
      <c r="G20" s="29" t="n">
        <f aca="false">SUMIF('DTM DATASET'!B:B,A20,'DTM DATASET'!AG:AG)</f>
        <v>4379</v>
      </c>
      <c r="H20" s="29" t="n">
        <f aca="false">SUMIF('DTM DATASET'!B:B,A20,'DTM DATASET'!AH:AH)</f>
        <v>4843</v>
      </c>
      <c r="I20" s="29" t="n">
        <f aca="false">SUMIF('DTM DATASET'!B:B,A20,'DTM DATASET'!AI:AI)</f>
        <v>6</v>
      </c>
      <c r="J20" s="29" t="n">
        <f aca="false">SUMIF('DTM DATASET'!B:B,A20,'DTM DATASET'!AJ:AJ)</f>
        <v>40</v>
      </c>
      <c r="K20" s="29" t="n">
        <f aca="false">SUMIF('DTM DATASET'!B:B,A20,'DTM DATASET'!AK:AK)</f>
        <v>0</v>
      </c>
      <c r="L20" s="29" t="n">
        <f aca="false">SUM(B20:K20)</f>
        <v>10936</v>
      </c>
    </row>
    <row r="21" customFormat="false" ht="15" hidden="false" customHeight="false" outlineLevel="0" collapsed="false">
      <c r="A21" s="23" t="s">
        <v>23</v>
      </c>
      <c r="B21" s="29" t="n">
        <f aca="false">SUMIF('DTM DATASET'!B:B,A21,'DTM DATASET'!AB:AB)</f>
        <v>6701</v>
      </c>
      <c r="C21" s="29" t="n">
        <f aca="false">SUMIF('DTM DATASET'!B:B,A21,'DTM DATASET'!AC:AC)</f>
        <v>5187</v>
      </c>
      <c r="D21" s="29" t="n">
        <f aca="false">SUMIF('DTM DATASET'!B:B,A21,'DTM DATASET'!AD:AD)</f>
        <v>0</v>
      </c>
      <c r="E21" s="29" t="n">
        <f aca="false">SUMIF('DTM DATASET'!B:B,A21,'DTM DATASET'!AE:AE)</f>
        <v>1433</v>
      </c>
      <c r="F21" s="29" t="n">
        <f aca="false">SUMIF('DTM DATASET'!B:B,A21,'DTM DATASET'!AF:AF)</f>
        <v>0</v>
      </c>
      <c r="G21" s="29" t="n">
        <f aca="false">SUMIF('DTM DATASET'!B:B,A21,'DTM DATASET'!AG:AG)</f>
        <v>5</v>
      </c>
      <c r="H21" s="29" t="n">
        <f aca="false">SUMIF('DTM DATASET'!B:B,A21,'DTM DATASET'!AH:AH)</f>
        <v>37100</v>
      </c>
      <c r="I21" s="29" t="n">
        <f aca="false">SUMIF('DTM DATASET'!B:B,A21,'DTM DATASET'!AI:AI)</f>
        <v>14</v>
      </c>
      <c r="J21" s="29" t="n">
        <f aca="false">SUMIF('DTM DATASET'!B:B,A21,'DTM DATASET'!AJ:AJ)</f>
        <v>3749</v>
      </c>
      <c r="K21" s="29" t="n">
        <f aca="false">SUMIF('DTM DATASET'!B:B,A21,'DTM DATASET'!AK:AK)</f>
        <v>8640</v>
      </c>
      <c r="L21" s="29" t="n">
        <f aca="false">SUM(B21:K21)</f>
        <v>62829</v>
      </c>
    </row>
    <row r="22" customFormat="false" ht="15" hidden="false" customHeight="false" outlineLevel="0" collapsed="false">
      <c r="A22" s="23" t="s">
        <v>24</v>
      </c>
      <c r="B22" s="29" t="n">
        <f aca="false">SUMIF('DTM DATASET'!B:B,A22,'DTM DATASET'!AB:AB)</f>
        <v>122</v>
      </c>
      <c r="C22" s="29" t="n">
        <f aca="false">SUMIF('DTM DATASET'!B:B,A22,'DTM DATASET'!AC:AC)</f>
        <v>308</v>
      </c>
      <c r="D22" s="29" t="n">
        <f aca="false">SUMIF('DTM DATASET'!B:B,A22,'DTM DATASET'!AD:AD)</f>
        <v>0</v>
      </c>
      <c r="E22" s="29" t="n">
        <f aca="false">SUMIF('DTM DATASET'!B:B,A22,'DTM DATASET'!AE:AE)</f>
        <v>35</v>
      </c>
      <c r="F22" s="29" t="n">
        <f aca="false">SUMIF('DTM DATASET'!B:B,A22,'DTM DATASET'!AF:AF)</f>
        <v>3</v>
      </c>
      <c r="G22" s="29" t="n">
        <f aca="false">SUMIF('DTM DATASET'!B:B,A22,'DTM DATASET'!AG:AG)</f>
        <v>6</v>
      </c>
      <c r="H22" s="29" t="n">
        <f aca="false">SUMIF('DTM DATASET'!B:B,A22,'DTM DATASET'!AH:AH)</f>
        <v>363</v>
      </c>
      <c r="I22" s="29" t="n">
        <f aca="false">SUMIF('DTM DATASET'!B:B,A22,'DTM DATASET'!AI:AI)</f>
        <v>43</v>
      </c>
      <c r="J22" s="29" t="n">
        <f aca="false">SUMIF('DTM DATASET'!B:B,A22,'DTM DATASET'!AJ:AJ)</f>
        <v>14</v>
      </c>
      <c r="K22" s="29" t="n">
        <f aca="false">SUMIF('DTM DATASET'!B:B,A22,'DTM DATASET'!AK:AK)</f>
        <v>0</v>
      </c>
      <c r="L22" s="29" t="n">
        <f aca="false">SUM(B22:K22)</f>
        <v>894</v>
      </c>
    </row>
    <row r="23" customFormat="false" ht="15" hidden="false" customHeight="false" outlineLevel="0" collapsed="false">
      <c r="A23" s="23" t="s">
        <v>25</v>
      </c>
      <c r="B23" s="29" t="n">
        <f aca="false">SUMIF('DTM DATASET'!B:B,A23,'DTM DATASET'!AB:AB)</f>
        <v>0</v>
      </c>
      <c r="C23" s="29" t="n">
        <f aca="false">SUMIF('DTM DATASET'!B:B,A23,'DTM DATASET'!AC:AC)</f>
        <v>260</v>
      </c>
      <c r="D23" s="29" t="n">
        <f aca="false">SUMIF('DTM DATASET'!B:B,A23,'DTM DATASET'!AD:AD)</f>
        <v>0</v>
      </c>
      <c r="E23" s="29" t="n">
        <f aca="false">SUMIF('DTM DATASET'!B:B,A23,'DTM DATASET'!AE:AE)</f>
        <v>0</v>
      </c>
      <c r="F23" s="29" t="n">
        <f aca="false">SUMIF('DTM DATASET'!B:B,A23,'DTM DATASET'!AF:AF)</f>
        <v>22</v>
      </c>
      <c r="G23" s="29" t="n">
        <f aca="false">SUMIF('DTM DATASET'!B:B,A23,'DTM DATASET'!AG:AG)</f>
        <v>36</v>
      </c>
      <c r="H23" s="29" t="n">
        <f aca="false">SUMIF('DTM DATASET'!B:B,A23,'DTM DATASET'!AH:AH)</f>
        <v>344</v>
      </c>
      <c r="I23" s="29" t="n">
        <f aca="false">SUMIF('DTM DATASET'!B:B,A23,'DTM DATASET'!AI:AI)</f>
        <v>20</v>
      </c>
      <c r="J23" s="29" t="n">
        <f aca="false">SUMIF('DTM DATASET'!B:B,A23,'DTM DATASET'!AJ:AJ)</f>
        <v>92</v>
      </c>
      <c r="K23" s="29" t="n">
        <f aca="false">SUMIF('DTM DATASET'!B:B,A23,'DTM DATASET'!AK:AK)</f>
        <v>0</v>
      </c>
      <c r="L23" s="29" t="n">
        <f aca="false">SUM(B23:K23)</f>
        <v>774</v>
      </c>
    </row>
    <row r="24" customFormat="false" ht="15" hidden="false" customHeight="false" outlineLevel="0" collapsed="false">
      <c r="A24" s="23" t="s">
        <v>26</v>
      </c>
      <c r="B24" s="29" t="n">
        <f aca="false">SUMIF('DTM DATASET'!B:B,A24,'DTM DATASET'!AB:AB)</f>
        <v>460</v>
      </c>
      <c r="C24" s="29" t="n">
        <f aca="false">SUMIF('DTM DATASET'!B:B,A24,'DTM DATASET'!AC:AC)</f>
        <v>126</v>
      </c>
      <c r="D24" s="29" t="n">
        <f aca="false">SUMIF('DTM DATASET'!B:B,A24,'DTM DATASET'!AD:AD)</f>
        <v>0</v>
      </c>
      <c r="E24" s="29" t="n">
        <f aca="false">SUMIF('DTM DATASET'!B:B,A24,'DTM DATASET'!AE:AE)</f>
        <v>7</v>
      </c>
      <c r="F24" s="29" t="n">
        <f aca="false">SUMIF('DTM DATASET'!B:B,A24,'DTM DATASET'!AF:AF)</f>
        <v>5</v>
      </c>
      <c r="G24" s="29" t="n">
        <f aca="false">SUMIF('DTM DATASET'!B:B,A24,'DTM DATASET'!AG:AG)</f>
        <v>8182</v>
      </c>
      <c r="H24" s="29" t="n">
        <f aca="false">SUMIF('DTM DATASET'!B:B,A24,'DTM DATASET'!AH:AH)</f>
        <v>4298</v>
      </c>
      <c r="I24" s="29" t="n">
        <f aca="false">SUMIF('DTM DATASET'!B:B,A24,'DTM DATASET'!AI:AI)</f>
        <v>7</v>
      </c>
      <c r="J24" s="29" t="n">
        <f aca="false">SUMIF('DTM DATASET'!B:B,A24,'DTM DATASET'!AJ:AJ)</f>
        <v>7</v>
      </c>
      <c r="K24" s="29" t="n">
        <f aca="false">SUMIF('DTM DATASET'!B:B,A24,'DTM DATASET'!AK:AK)</f>
        <v>0</v>
      </c>
      <c r="L24" s="29" t="n">
        <f aca="false">SUM(B24:K24)</f>
        <v>13092</v>
      </c>
    </row>
    <row r="25" customFormat="false" ht="15" hidden="false" customHeight="false" outlineLevel="0" collapsed="false">
      <c r="A25" s="23" t="s">
        <v>27</v>
      </c>
      <c r="B25" s="29" t="n">
        <f aca="false">SUMIF('DTM DATASET'!B:B,A25,'DTM DATASET'!AB:AB)</f>
        <v>34119</v>
      </c>
      <c r="C25" s="29" t="n">
        <f aca="false">SUMIF('DTM DATASET'!B:B,A25,'DTM DATASET'!AC:AC)</f>
        <v>15090</v>
      </c>
      <c r="D25" s="29" t="n">
        <f aca="false">SUMIF('DTM DATASET'!B:B,A25,'DTM DATASET'!AD:AD)</f>
        <v>73</v>
      </c>
      <c r="E25" s="29" t="n">
        <f aca="false">SUMIF('DTM DATASET'!B:B,A25,'DTM DATASET'!AE:AE)</f>
        <v>1154</v>
      </c>
      <c r="F25" s="29" t="n">
        <f aca="false">SUMIF('DTM DATASET'!B:B,A25,'DTM DATASET'!AF:AF)</f>
        <v>113</v>
      </c>
      <c r="G25" s="29" t="n">
        <f aca="false">SUMIF('DTM DATASET'!B:B,A25,'DTM DATASET'!AG:AG)</f>
        <v>223</v>
      </c>
      <c r="H25" s="29" t="n">
        <f aca="false">SUMIF('DTM DATASET'!B:B,A25,'DTM DATASET'!AH:AH)</f>
        <v>13938</v>
      </c>
      <c r="I25" s="29" t="n">
        <f aca="false">SUMIF('DTM DATASET'!B:B,A25,'DTM DATASET'!AI:AI)</f>
        <v>854</v>
      </c>
      <c r="J25" s="29" t="n">
        <f aca="false">SUMIF('DTM DATASET'!B:B,A25,'DTM DATASET'!AJ:AJ)</f>
        <v>8063</v>
      </c>
      <c r="K25" s="29" t="n">
        <f aca="false">SUMIF('DTM DATASET'!B:B,A25,'DTM DATASET'!AK:AK)</f>
        <v>3334</v>
      </c>
      <c r="L25" s="29" t="n">
        <f aca="false">SUM(B25:K25)</f>
        <v>76961</v>
      </c>
    </row>
    <row r="26" customFormat="false" ht="15" hidden="false" customHeight="false" outlineLevel="0" collapsed="false">
      <c r="A26" s="23" t="s">
        <v>28</v>
      </c>
      <c r="B26" s="29" t="n">
        <f aca="false">SUMIF('DTM DATASET'!B:B,A26,'DTM DATASET'!AB:AB)</f>
        <v>0</v>
      </c>
      <c r="C26" s="29" t="n">
        <f aca="false">SUMIF('DTM DATASET'!B:B,A26,'DTM DATASET'!AC:AC)</f>
        <v>842</v>
      </c>
      <c r="D26" s="29" t="n">
        <f aca="false">SUMIF('DTM DATASET'!B:B,A26,'DTM DATASET'!AD:AD)</f>
        <v>0</v>
      </c>
      <c r="E26" s="29" t="n">
        <f aca="false">SUMIF('DTM DATASET'!B:B,A26,'DTM DATASET'!AE:AE)</f>
        <v>26</v>
      </c>
      <c r="F26" s="29" t="n">
        <f aca="false">SUMIF('DTM DATASET'!B:B,A26,'DTM DATASET'!AF:AF)</f>
        <v>435</v>
      </c>
      <c r="G26" s="29" t="n">
        <f aca="false">SUMIF('DTM DATASET'!B:B,A26,'DTM DATASET'!AG:AG)</f>
        <v>1002</v>
      </c>
      <c r="H26" s="29" t="n">
        <f aca="false">SUMIF('DTM DATASET'!B:B,A26,'DTM DATASET'!AH:AH)</f>
        <v>1523</v>
      </c>
      <c r="I26" s="29" t="n">
        <f aca="false">SUMIF('DTM DATASET'!B:B,A26,'DTM DATASET'!AI:AI)</f>
        <v>10</v>
      </c>
      <c r="J26" s="29" t="n">
        <f aca="false">SUMIF('DTM DATASET'!B:B,A26,'DTM DATASET'!AJ:AJ)</f>
        <v>166</v>
      </c>
      <c r="K26" s="29" t="n">
        <f aca="false">SUMIF('DTM DATASET'!B:B,A26,'DTM DATASET'!AK:AK)</f>
        <v>0</v>
      </c>
      <c r="L26" s="29" t="n">
        <f aca="false">SUM(B26:K26)</f>
        <v>4004</v>
      </c>
    </row>
    <row r="27" customFormat="false" ht="15" hidden="false" customHeight="false" outlineLevel="0" collapsed="false">
      <c r="A27" s="23" t="s">
        <v>29</v>
      </c>
      <c r="B27" s="29" t="n">
        <f aca="false">SUMIF('DTM DATASET'!B:B,A27,'DTM DATASET'!AB:AB)</f>
        <v>2568</v>
      </c>
      <c r="C27" s="29" t="n">
        <f aca="false">SUMIF('DTM DATASET'!B:B,A27,'DTM DATASET'!AC:AC)</f>
        <v>7105</v>
      </c>
      <c r="D27" s="29" t="n">
        <f aca="false">SUMIF('DTM DATASET'!B:B,A27,'DTM DATASET'!AD:AD)</f>
        <v>17</v>
      </c>
      <c r="E27" s="29" t="n">
        <f aca="false">SUMIF('DTM DATASET'!B:B,A27,'DTM DATASET'!AE:AE)</f>
        <v>9099</v>
      </c>
      <c r="F27" s="29" t="n">
        <f aca="false">SUMIF('DTM DATASET'!B:B,A27,'DTM DATASET'!AF:AF)</f>
        <v>145</v>
      </c>
      <c r="G27" s="29" t="n">
        <f aca="false">SUMIF('DTM DATASET'!B:B,A27,'DTM DATASET'!AG:AG)</f>
        <v>156</v>
      </c>
      <c r="H27" s="29" t="n">
        <f aca="false">SUMIF('DTM DATASET'!B:B,A27,'DTM DATASET'!AH:AH)</f>
        <v>19913</v>
      </c>
      <c r="I27" s="29" t="n">
        <f aca="false">SUMIF('DTM DATASET'!B:B,A27,'DTM DATASET'!AI:AI)</f>
        <v>843</v>
      </c>
      <c r="J27" s="29" t="n">
        <f aca="false">SUMIF('DTM DATASET'!B:B,A27,'DTM DATASET'!AJ:AJ)</f>
        <v>13594</v>
      </c>
      <c r="K27" s="29" t="n">
        <f aca="false">SUMIF('DTM DATASET'!B:B,A27,'DTM DATASET'!AK:AK)</f>
        <v>762</v>
      </c>
      <c r="L27" s="29" t="n">
        <f aca="false">SUM(B27:K27)</f>
        <v>54202</v>
      </c>
    </row>
    <row r="28" customFormat="false" ht="15" hidden="false" customHeight="false" outlineLevel="0" collapsed="false">
      <c r="A28" s="23" t="s">
        <v>30</v>
      </c>
      <c r="B28" s="29" t="n">
        <f aca="false">SUMIF('DTM DATASET'!B:B,A28,'DTM DATASET'!AB:AB)</f>
        <v>3733</v>
      </c>
      <c r="C28" s="29" t="n">
        <f aca="false">SUMIF('DTM DATASET'!B:B,A28,'DTM DATASET'!AC:AC)</f>
        <v>190</v>
      </c>
      <c r="D28" s="29" t="n">
        <f aca="false">SUMIF('DTM DATASET'!B:B,A28,'DTM DATASET'!AD:AD)</f>
        <v>258</v>
      </c>
      <c r="E28" s="29" t="n">
        <f aca="false">SUMIF('DTM DATASET'!B:B,A28,'DTM DATASET'!AE:AE)</f>
        <v>173</v>
      </c>
      <c r="F28" s="29" t="n">
        <f aca="false">SUMIF('DTM DATASET'!B:B,A28,'DTM DATASET'!AF:AF)</f>
        <v>257</v>
      </c>
      <c r="G28" s="29" t="n">
        <f aca="false">SUMIF('DTM DATASET'!B:B,A28,'DTM DATASET'!AG:AG)</f>
        <v>55</v>
      </c>
      <c r="H28" s="29" t="n">
        <f aca="false">SUMIF('DTM DATASET'!B:B,A28,'DTM DATASET'!AH:AH)</f>
        <v>20615</v>
      </c>
      <c r="I28" s="29" t="n">
        <f aca="false">SUMIF('DTM DATASET'!B:B,A28,'DTM DATASET'!AI:AI)</f>
        <v>58</v>
      </c>
      <c r="J28" s="29" t="n">
        <f aca="false">SUMIF('DTM DATASET'!B:B,A28,'DTM DATASET'!AJ:AJ)</f>
        <v>203</v>
      </c>
      <c r="K28" s="29" t="n">
        <f aca="false">SUMIF('DTM DATASET'!B:B,A28,'DTM DATASET'!AK:AK)</f>
        <v>0</v>
      </c>
      <c r="L28" s="29" t="n">
        <f aca="false">SUM(B28:K28)</f>
        <v>25542</v>
      </c>
    </row>
    <row r="29" customFormat="false" ht="15" hidden="false" customHeight="false" outlineLevel="0" collapsed="false">
      <c r="A29" s="23" t="s">
        <v>31</v>
      </c>
      <c r="B29" s="29" t="n">
        <f aca="false">SUMIF('DTM DATASET'!B:B,A29,'DTM DATASET'!AB:AB)</f>
        <v>0</v>
      </c>
      <c r="C29" s="29" t="n">
        <f aca="false">SUMIF('DTM DATASET'!B:B,A29,'DTM DATASET'!AC:AC)</f>
        <v>617</v>
      </c>
      <c r="D29" s="29" t="n">
        <f aca="false">SUMIF('DTM DATASET'!B:B,A29,'DTM DATASET'!AD:AD)</f>
        <v>0</v>
      </c>
      <c r="E29" s="29" t="n">
        <f aca="false">SUMIF('DTM DATASET'!B:B,A29,'DTM DATASET'!AE:AE)</f>
        <v>0</v>
      </c>
      <c r="F29" s="29" t="n">
        <f aca="false">SUMIF('DTM DATASET'!B:B,A29,'DTM DATASET'!AF:AF)</f>
        <v>30</v>
      </c>
      <c r="G29" s="29" t="n">
        <f aca="false">SUMIF('DTM DATASET'!B:B,A29,'DTM DATASET'!AG:AG)</f>
        <v>16</v>
      </c>
      <c r="H29" s="29" t="n">
        <f aca="false">SUMIF('DTM DATASET'!B:B,A29,'DTM DATASET'!AH:AH)</f>
        <v>714</v>
      </c>
      <c r="I29" s="29" t="n">
        <f aca="false">SUMIF('DTM DATASET'!B:B,A29,'DTM DATASET'!AI:AI)</f>
        <v>9</v>
      </c>
      <c r="J29" s="29" t="n">
        <f aca="false">SUMIF('DTM DATASET'!B:B,A29,'DTM DATASET'!AJ:AJ)</f>
        <v>5</v>
      </c>
      <c r="K29" s="29" t="n">
        <f aca="false">SUMIF('DTM DATASET'!B:B,A29,'DTM DATASET'!AK:AK)</f>
        <v>0</v>
      </c>
      <c r="L29" s="29" t="n">
        <f aca="false">SUM(B29:K29)</f>
        <v>1391</v>
      </c>
    </row>
    <row r="30" customFormat="false" ht="15" hidden="false" customHeight="false" outlineLevel="0" collapsed="false">
      <c r="A30" s="23" t="s">
        <v>32</v>
      </c>
      <c r="B30" s="29" t="n">
        <f aca="false">SUMIF('DTM DATASET'!B:B,A30,'DTM DATASET'!AB:AB)</f>
        <v>0</v>
      </c>
      <c r="C30" s="29" t="n">
        <f aca="false">SUMIF('DTM DATASET'!B:B,A30,'DTM DATASET'!AC:AC)</f>
        <v>714</v>
      </c>
      <c r="D30" s="29" t="n">
        <f aca="false">SUMIF('DTM DATASET'!B:B,A30,'DTM DATASET'!AD:AD)</f>
        <v>44</v>
      </c>
      <c r="E30" s="29" t="n">
        <f aca="false">SUMIF('DTM DATASET'!B:B,A30,'DTM DATASET'!AE:AE)</f>
        <v>47</v>
      </c>
      <c r="F30" s="29" t="n">
        <f aca="false">SUMIF('DTM DATASET'!B:B,A30,'DTM DATASET'!AF:AF)</f>
        <v>0</v>
      </c>
      <c r="G30" s="29" t="n">
        <f aca="false">SUMIF('DTM DATASET'!B:B,A30,'DTM DATASET'!AG:AG)</f>
        <v>1027</v>
      </c>
      <c r="H30" s="29" t="n">
        <f aca="false">SUMIF('DTM DATASET'!B:B,A30,'DTM DATASET'!AH:AH)</f>
        <v>2480</v>
      </c>
      <c r="I30" s="29" t="n">
        <f aca="false">SUMIF('DTM DATASET'!B:B,A30,'DTM DATASET'!AI:AI)</f>
        <v>0</v>
      </c>
      <c r="J30" s="29" t="n">
        <f aca="false">SUMIF('DTM DATASET'!B:B,A30,'DTM DATASET'!AJ:AJ)</f>
        <v>72</v>
      </c>
      <c r="K30" s="29" t="n">
        <f aca="false">SUMIF('DTM DATASET'!B:B,A30,'DTM DATASET'!AK:AK)</f>
        <v>2</v>
      </c>
      <c r="L30" s="29" t="n">
        <f aca="false">SUM(B30:K30)</f>
        <v>4386</v>
      </c>
    </row>
    <row r="31" customFormat="false" ht="15" hidden="false" customHeight="false" outlineLevel="0" collapsed="false">
      <c r="A31" s="36" t="s">
        <v>6942</v>
      </c>
      <c r="B31" s="37" t="n">
        <f aca="false">SUM(B13:B30)</f>
        <v>100514</v>
      </c>
      <c r="C31" s="37" t="n">
        <f aca="false">SUM(C13:C30)</f>
        <v>76072</v>
      </c>
      <c r="D31" s="37" t="n">
        <f aca="false">SUM(D13:D30)</f>
        <v>1657</v>
      </c>
      <c r="E31" s="37" t="n">
        <f aca="false">SUM(E13:E30)</f>
        <v>21269</v>
      </c>
      <c r="F31" s="37" t="n">
        <f aca="false">SUM(F13:F30)</f>
        <v>1069</v>
      </c>
      <c r="G31" s="37" t="n">
        <f aca="false">SUM(G13:G30)</f>
        <v>16447</v>
      </c>
      <c r="H31" s="37" t="n">
        <f aca="false">SUM(H13:H30)</f>
        <v>231253</v>
      </c>
      <c r="I31" s="37" t="n">
        <f aca="false">SUM(I13:I30)</f>
        <v>2888</v>
      </c>
      <c r="J31" s="37" t="n">
        <f aca="false">SUM(J13:J30)</f>
        <v>40967</v>
      </c>
      <c r="K31" s="37" t="n">
        <f aca="false">SUM(K13:K30)</f>
        <v>12865</v>
      </c>
      <c r="L31" s="37" t="n">
        <f aca="false">SUM(L13:L30)</f>
        <v>505001</v>
      </c>
    </row>
    <row r="32" customFormat="false" ht="18" hidden="false" customHeight="true" outlineLevel="0" collapsed="false"/>
    <row r="33" customFormat="false" ht="15" hidden="false" customHeight="true" outlineLevel="0" collapsed="false">
      <c r="A33" s="32"/>
      <c r="B33" s="33" t="s">
        <v>2</v>
      </c>
      <c r="C33" s="33"/>
      <c r="D33" s="33"/>
      <c r="E33" s="33"/>
      <c r="F33" s="33"/>
      <c r="G33" s="33"/>
      <c r="H33" s="33"/>
      <c r="I33" s="33"/>
      <c r="J33" s="33"/>
      <c r="K33" s="38"/>
      <c r="L33" s="38"/>
      <c r="M33" s="1"/>
      <c r="N33" s="1"/>
      <c r="O33" s="1"/>
      <c r="P33" s="1"/>
      <c r="Q33" s="1"/>
      <c r="R33" s="1"/>
      <c r="S33" s="1"/>
      <c r="T33" s="1"/>
    </row>
    <row r="34" customFormat="false" ht="25.5" hidden="false" customHeight="false" outlineLevel="0" collapsed="false">
      <c r="A34" s="34" t="s">
        <v>6940</v>
      </c>
      <c r="B34" s="33" t="s">
        <v>15</v>
      </c>
      <c r="C34" s="33" t="s">
        <v>16</v>
      </c>
      <c r="D34" s="33" t="s">
        <v>17</v>
      </c>
      <c r="E34" s="33" t="s">
        <v>20</v>
      </c>
      <c r="F34" s="33" t="s">
        <v>21</v>
      </c>
      <c r="G34" s="33" t="s">
        <v>23</v>
      </c>
      <c r="H34" s="33" t="s">
        <v>27</v>
      </c>
      <c r="I34" s="33" t="s">
        <v>29</v>
      </c>
      <c r="J34" s="33" t="s">
        <v>6941</v>
      </c>
    </row>
    <row r="35" customFormat="false" ht="15" hidden="false" customHeight="false" outlineLevel="0" collapsed="false">
      <c r="A35" s="35" t="s">
        <v>15</v>
      </c>
      <c r="B35" s="26" t="n">
        <f aca="false">SUMIF('DTM DATASET'!B:B,A35,'DTM DATASET'!J:J)</f>
        <v>40210</v>
      </c>
      <c r="C35" s="26" t="n">
        <f aca="false">SUMIF('DTM DATASET'!B:B,A35,'DTM DATASET'!K:K)</f>
        <v>140</v>
      </c>
      <c r="D35" s="26" t="n">
        <f aca="false">SUMIF('DTM DATASET'!B:B,A35,'DTM DATASET'!L:L)</f>
        <v>66</v>
      </c>
      <c r="E35" s="26" t="n">
        <f aca="false">SUMIF('DTM DATASET'!B:B,A35,'DTM DATASET'!O:O)</f>
        <v>0</v>
      </c>
      <c r="F35" s="26" t="n">
        <f aca="false">SUMIF('DTM DATASET'!B:B,A35,'DTM DATASET'!P:P)</f>
        <v>0</v>
      </c>
      <c r="G35" s="26" t="n">
        <f aca="false">SUMIF('DTM DATASET'!B:B,A35,'DTM DATASET'!R:R)</f>
        <v>222</v>
      </c>
      <c r="H35" s="26" t="n">
        <f aca="false">SUMIF('DTM DATASET'!B:B,A35,'DTM DATASET'!V:V)</f>
        <v>541</v>
      </c>
      <c r="I35" s="26" t="n">
        <f aca="false">SUMIF('DTM DATASET'!B:B,A35,'DTM DATASET'!X:X)</f>
        <v>411</v>
      </c>
      <c r="J35" s="26" t="n">
        <f aca="false">SUM(B35:I35)</f>
        <v>41590</v>
      </c>
    </row>
    <row r="36" customFormat="false" ht="15" hidden="false" customHeight="false" outlineLevel="0" collapsed="false">
      <c r="A36" s="23" t="s">
        <v>16</v>
      </c>
      <c r="B36" s="29" t="n">
        <f aca="false">SUMIF('DTM DATASET'!B:B,A36,'DTM DATASET'!J:J)</f>
        <v>892</v>
      </c>
      <c r="C36" s="29" t="n">
        <f aca="false">SUMIF('DTM DATASET'!B:B,A36,'DTM DATASET'!K:K)</f>
        <v>2477</v>
      </c>
      <c r="D36" s="29" t="n">
        <f aca="false">SUMIF('DTM DATASET'!B:B,A36,'DTM DATASET'!L:L)</f>
        <v>111</v>
      </c>
      <c r="E36" s="29" t="n">
        <f aca="false">SUMIF('DTM DATASET'!B:B,A36,'DTM DATASET'!O:O)</f>
        <v>36</v>
      </c>
      <c r="F36" s="29" t="n">
        <f aca="false">SUMIF('DTM DATASET'!B:B,A36,'DTM DATASET'!P:P)</f>
        <v>0</v>
      </c>
      <c r="G36" s="29" t="n">
        <f aca="false">SUMIF('DTM DATASET'!B:B,A36,'DTM DATASET'!R:R)</f>
        <v>9</v>
      </c>
      <c r="H36" s="29" t="n">
        <f aca="false">SUMIF('DTM DATASET'!B:B,A36,'DTM DATASET'!V:V)</f>
        <v>4099</v>
      </c>
      <c r="I36" s="29" t="n">
        <f aca="false">SUMIF('DTM DATASET'!B:B,A36,'DTM DATASET'!X:X)</f>
        <v>96</v>
      </c>
      <c r="J36" s="29" t="n">
        <f aca="false">SUM(B36:I36)</f>
        <v>7720</v>
      </c>
    </row>
    <row r="37" customFormat="false" ht="15" hidden="false" customHeight="false" outlineLevel="0" collapsed="false">
      <c r="A37" s="23" t="s">
        <v>17</v>
      </c>
      <c r="B37" s="29" t="n">
        <f aca="false">SUMIF('DTM DATASET'!B:B,A37,'DTM DATASET'!J:J)</f>
        <v>40714</v>
      </c>
      <c r="C37" s="29" t="n">
        <f aca="false">SUMIF('DTM DATASET'!B:B,A37,'DTM DATASET'!K:K)</f>
        <v>1186</v>
      </c>
      <c r="D37" s="29" t="n">
        <f aca="false">SUMIF('DTM DATASET'!B:B,A37,'DTM DATASET'!L:L)</f>
        <v>3768</v>
      </c>
      <c r="E37" s="29" t="n">
        <f aca="false">SUMIF('DTM DATASET'!B:B,A37,'DTM DATASET'!O:O)</f>
        <v>1252</v>
      </c>
      <c r="F37" s="29" t="n">
        <f aca="false">SUMIF('DTM DATASET'!B:B,A37,'DTM DATASET'!P:P)</f>
        <v>0</v>
      </c>
      <c r="G37" s="29" t="n">
        <f aca="false">SUMIF('DTM DATASET'!B:B,A37,'DTM DATASET'!R:R)</f>
        <v>396</v>
      </c>
      <c r="H37" s="29" t="n">
        <f aca="false">SUMIF('DTM DATASET'!B:B,A37,'DTM DATASET'!V:V)</f>
        <v>9768</v>
      </c>
      <c r="I37" s="29" t="n">
        <f aca="false">SUMIF('DTM DATASET'!B:B,A37,'DTM DATASET'!X:X)</f>
        <v>5881</v>
      </c>
      <c r="J37" s="29" t="n">
        <f aca="false">SUM(B37:I37)</f>
        <v>62965</v>
      </c>
    </row>
    <row r="38" customFormat="false" ht="15" hidden="false" customHeight="false" outlineLevel="0" collapsed="false">
      <c r="A38" s="23" t="s">
        <v>18</v>
      </c>
      <c r="B38" s="29" t="n">
        <f aca="false">SUMIF('DTM DATASET'!B:B,A38,'DTM DATASET'!J:J)</f>
        <v>355</v>
      </c>
      <c r="C38" s="29" t="n">
        <f aca="false">SUMIF('DTM DATASET'!B:B,A38,'DTM DATASET'!K:K)</f>
        <v>16</v>
      </c>
      <c r="D38" s="29" t="n">
        <f aca="false">SUMIF('DTM DATASET'!B:B,A38,'DTM DATASET'!L:L)</f>
        <v>28</v>
      </c>
      <c r="E38" s="29" t="n">
        <f aca="false">SUMIF('DTM DATASET'!B:B,A38,'DTM DATASET'!O:O)</f>
        <v>54</v>
      </c>
      <c r="F38" s="29" t="n">
        <f aca="false">SUMIF('DTM DATASET'!B:B,A38,'DTM DATASET'!P:P)</f>
        <v>0</v>
      </c>
      <c r="G38" s="29" t="n">
        <f aca="false">SUMIF('DTM DATASET'!B:B,A38,'DTM DATASET'!R:R)</f>
        <v>130</v>
      </c>
      <c r="H38" s="29" t="n">
        <f aca="false">SUMIF('DTM DATASET'!B:B,A38,'DTM DATASET'!V:V)</f>
        <v>718</v>
      </c>
      <c r="I38" s="29" t="n">
        <f aca="false">SUMIF('DTM DATASET'!B:B,A38,'DTM DATASET'!X:X)</f>
        <v>467</v>
      </c>
      <c r="J38" s="29" t="n">
        <f aca="false">SUM(B38:I38)</f>
        <v>1768</v>
      </c>
    </row>
    <row r="39" customFormat="false" ht="15" hidden="false" customHeight="false" outlineLevel="0" collapsed="false">
      <c r="A39" s="23" t="s">
        <v>19</v>
      </c>
      <c r="B39" s="29" t="n">
        <f aca="false">SUMIF('DTM DATASET'!B:B,A39,'DTM DATASET'!J:J)</f>
        <v>303</v>
      </c>
      <c r="C39" s="29" t="n">
        <f aca="false">SUMIF('DTM DATASET'!B:B,A39,'DTM DATASET'!K:K)</f>
        <v>0</v>
      </c>
      <c r="D39" s="29" t="n">
        <f aca="false">SUMIF('DTM DATASET'!B:B,A39,'DTM DATASET'!L:L)</f>
        <v>40</v>
      </c>
      <c r="E39" s="29" t="n">
        <f aca="false">SUMIF('DTM DATASET'!B:B,A39,'DTM DATASET'!O:O)</f>
        <v>0</v>
      </c>
      <c r="F39" s="29" t="n">
        <f aca="false">SUMIF('DTM DATASET'!B:B,A39,'DTM DATASET'!P:P)</f>
        <v>0</v>
      </c>
      <c r="G39" s="29" t="n">
        <f aca="false">SUMIF('DTM DATASET'!B:B,A39,'DTM DATASET'!R:R)</f>
        <v>0</v>
      </c>
      <c r="H39" s="29" t="n">
        <f aca="false">SUMIF('DTM DATASET'!B:B,A39,'DTM DATASET'!V:V)</f>
        <v>65469</v>
      </c>
      <c r="I39" s="29" t="n">
        <f aca="false">SUMIF('DTM DATASET'!B:B,A39,'DTM DATASET'!X:X)</f>
        <v>177</v>
      </c>
      <c r="J39" s="29" t="n">
        <f aca="false">SUM(B39:I39)</f>
        <v>65989</v>
      </c>
    </row>
    <row r="40" customFormat="false" ht="15" hidden="false" customHeight="false" outlineLevel="0" collapsed="false">
      <c r="A40" s="23" t="s">
        <v>20</v>
      </c>
      <c r="B40" s="29" t="n">
        <f aca="false">SUMIF('DTM DATASET'!B:B,A40,'DTM DATASET'!J:J)</f>
        <v>572</v>
      </c>
      <c r="C40" s="29" t="n">
        <f aca="false">SUMIF('DTM DATASET'!B:B,A40,'DTM DATASET'!K:K)</f>
        <v>73</v>
      </c>
      <c r="D40" s="29" t="n">
        <f aca="false">SUMIF('DTM DATASET'!B:B,A40,'DTM DATASET'!L:L)</f>
        <v>28</v>
      </c>
      <c r="E40" s="29" t="n">
        <f aca="false">SUMIF('DTM DATASET'!B:B,A40,'DTM DATASET'!O:O)</f>
        <v>11082</v>
      </c>
      <c r="F40" s="29" t="n">
        <f aca="false">SUMIF('DTM DATASET'!B:B,A40,'DTM DATASET'!P:P)</f>
        <v>0</v>
      </c>
      <c r="G40" s="29" t="n">
        <f aca="false">SUMIF('DTM DATASET'!B:B,A40,'DTM DATASET'!R:R)</f>
        <v>1</v>
      </c>
      <c r="H40" s="29" t="n">
        <f aca="false">SUMIF('DTM DATASET'!B:B,A40,'DTM DATASET'!V:V)</f>
        <v>60</v>
      </c>
      <c r="I40" s="29" t="n">
        <f aca="false">SUMIF('DTM DATASET'!B:B,A40,'DTM DATASET'!X:X)</f>
        <v>509</v>
      </c>
      <c r="J40" s="29" t="n">
        <f aca="false">SUM(B40:I40)</f>
        <v>12325</v>
      </c>
    </row>
    <row r="41" customFormat="false" ht="15" hidden="false" customHeight="false" outlineLevel="0" collapsed="false">
      <c r="A41" s="23" t="s">
        <v>21</v>
      </c>
      <c r="B41" s="29" t="n">
        <f aca="false">SUMIF('DTM DATASET'!B:B,A41,'DTM DATASET'!J:J)</f>
        <v>23334</v>
      </c>
      <c r="C41" s="29" t="n">
        <f aca="false">SUMIF('DTM DATASET'!B:B,A41,'DTM DATASET'!K:K)</f>
        <v>0</v>
      </c>
      <c r="D41" s="29" t="n">
        <f aca="false">SUMIF('DTM DATASET'!B:B,A41,'DTM DATASET'!L:L)</f>
        <v>1010</v>
      </c>
      <c r="E41" s="29" t="n">
        <f aca="false">SUMIF('DTM DATASET'!B:B,A41,'DTM DATASET'!O:O)</f>
        <v>325</v>
      </c>
      <c r="F41" s="29" t="n">
        <f aca="false">SUMIF('DTM DATASET'!B:B,A41,'DTM DATASET'!P:P)</f>
        <v>2668</v>
      </c>
      <c r="G41" s="29" t="n">
        <f aca="false">SUMIF('DTM DATASET'!B:B,A41,'DTM DATASET'!R:R)</f>
        <v>542</v>
      </c>
      <c r="H41" s="29" t="n">
        <f aca="false">SUMIF('DTM DATASET'!B:B,A41,'DTM DATASET'!V:V)</f>
        <v>24257</v>
      </c>
      <c r="I41" s="29" t="n">
        <f aca="false">SUMIF('DTM DATASET'!B:B,A41,'DTM DATASET'!X:X)</f>
        <v>5497</v>
      </c>
      <c r="J41" s="29" t="n">
        <f aca="false">SUM(B41:I41)</f>
        <v>57633</v>
      </c>
    </row>
    <row r="42" customFormat="false" ht="15" hidden="false" customHeight="false" outlineLevel="0" collapsed="false">
      <c r="A42" s="23" t="s">
        <v>22</v>
      </c>
      <c r="B42" s="29" t="n">
        <f aca="false">SUMIF('DTM DATASET'!B:B,A42,'DTM DATASET'!J:J)</f>
        <v>277</v>
      </c>
      <c r="C42" s="29" t="n">
        <f aca="false">SUMIF('DTM DATASET'!B:B,A42,'DTM DATASET'!K:K)</f>
        <v>201</v>
      </c>
      <c r="D42" s="29" t="n">
        <f aca="false">SUMIF('DTM DATASET'!B:B,A42,'DTM DATASET'!L:L)</f>
        <v>49</v>
      </c>
      <c r="E42" s="29" t="n">
        <f aca="false">SUMIF('DTM DATASET'!B:B,A42,'DTM DATASET'!O:O)</f>
        <v>37</v>
      </c>
      <c r="F42" s="29" t="n">
        <f aca="false">SUMIF('DTM DATASET'!B:B,A42,'DTM DATASET'!P:P)</f>
        <v>0</v>
      </c>
      <c r="G42" s="29" t="n">
        <f aca="false">SUMIF('DTM DATASET'!B:B,A42,'DTM DATASET'!R:R)</f>
        <v>67</v>
      </c>
      <c r="H42" s="29" t="n">
        <f aca="false">SUMIF('DTM DATASET'!B:B,A42,'DTM DATASET'!V:V)</f>
        <v>10253</v>
      </c>
      <c r="I42" s="29" t="n">
        <f aca="false">SUMIF('DTM DATASET'!B:B,A42,'DTM DATASET'!X:X)</f>
        <v>52</v>
      </c>
      <c r="J42" s="29" t="n">
        <f aca="false">SUM(B42:I42)</f>
        <v>10936</v>
      </c>
    </row>
    <row r="43" customFormat="false" ht="15" hidden="false" customHeight="false" outlineLevel="0" collapsed="false">
      <c r="A43" s="23" t="s">
        <v>23</v>
      </c>
      <c r="B43" s="29" t="n">
        <f aca="false">SUMIF('DTM DATASET'!B:B,A43,'DTM DATASET'!J:J)</f>
        <v>14046</v>
      </c>
      <c r="C43" s="29" t="n">
        <f aca="false">SUMIF('DTM DATASET'!B:B,A43,'DTM DATASET'!K:K)</f>
        <v>24</v>
      </c>
      <c r="D43" s="29" t="n">
        <f aca="false">SUMIF('DTM DATASET'!B:B,A43,'DTM DATASET'!L:L)</f>
        <v>72</v>
      </c>
      <c r="E43" s="29" t="n">
        <f aca="false">SUMIF('DTM DATASET'!B:B,A43,'DTM DATASET'!O:O)</f>
        <v>436</v>
      </c>
      <c r="F43" s="29" t="n">
        <f aca="false">SUMIF('DTM DATASET'!B:B,A43,'DTM DATASET'!P:P)</f>
        <v>5</v>
      </c>
      <c r="G43" s="29" t="n">
        <f aca="false">SUMIF('DTM DATASET'!B:B,A43,'DTM DATASET'!R:R)</f>
        <v>27437</v>
      </c>
      <c r="H43" s="29" t="n">
        <f aca="false">SUMIF('DTM DATASET'!B:B,A43,'DTM DATASET'!V:V)</f>
        <v>7501</v>
      </c>
      <c r="I43" s="29" t="n">
        <f aca="false">SUMIF('DTM DATASET'!B:B,A43,'DTM DATASET'!X:X)</f>
        <v>13308</v>
      </c>
      <c r="J43" s="29" t="n">
        <f aca="false">SUM(B43:I43)</f>
        <v>62829</v>
      </c>
    </row>
    <row r="44" customFormat="false" ht="15" hidden="false" customHeight="false" outlineLevel="0" collapsed="false">
      <c r="A44" s="23" t="s">
        <v>24</v>
      </c>
      <c r="B44" s="29" t="n">
        <f aca="false">SUMIF('DTM DATASET'!B:B,A44,'DTM DATASET'!J:J)</f>
        <v>54</v>
      </c>
      <c r="C44" s="29" t="n">
        <f aca="false">SUMIF('DTM DATASET'!B:B,A44,'DTM DATASET'!K:K)</f>
        <v>8</v>
      </c>
      <c r="D44" s="29" t="n">
        <f aca="false">SUMIF('DTM DATASET'!B:B,A44,'DTM DATASET'!L:L)</f>
        <v>29</v>
      </c>
      <c r="E44" s="29" t="n">
        <f aca="false">SUMIF('DTM DATASET'!B:B,A44,'DTM DATASET'!O:O)</f>
        <v>17</v>
      </c>
      <c r="F44" s="29" t="n">
        <f aca="false">SUMIF('DTM DATASET'!B:B,A44,'DTM DATASET'!P:P)</f>
        <v>0</v>
      </c>
      <c r="G44" s="29" t="n">
        <f aca="false">SUMIF('DTM DATASET'!B:B,A44,'DTM DATASET'!R:R)</f>
        <v>107</v>
      </c>
      <c r="H44" s="29" t="n">
        <f aca="false">SUMIF('DTM DATASET'!B:B,A44,'DTM DATASET'!V:V)</f>
        <v>609</v>
      </c>
      <c r="I44" s="29" t="n">
        <f aca="false">SUMIF('DTM DATASET'!B:B,A44,'DTM DATASET'!X:X)</f>
        <v>70</v>
      </c>
      <c r="J44" s="29" t="n">
        <f aca="false">SUM(B44:I44)</f>
        <v>894</v>
      </c>
    </row>
    <row r="45" customFormat="false" ht="15" hidden="false" customHeight="false" outlineLevel="0" collapsed="false">
      <c r="A45" s="23" t="s">
        <v>25</v>
      </c>
      <c r="B45" s="29" t="n">
        <f aca="false">SUMIF('DTM DATASET'!B:B,A45,'DTM DATASET'!J:J)</f>
        <v>175</v>
      </c>
      <c r="C45" s="29" t="n">
        <f aca="false">SUMIF('DTM DATASET'!B:B,A45,'DTM DATASET'!K:K)</f>
        <v>0</v>
      </c>
      <c r="D45" s="29" t="n">
        <f aca="false">SUMIF('DTM DATASET'!B:B,A45,'DTM DATASET'!L:L)</f>
        <v>8</v>
      </c>
      <c r="E45" s="29" t="n">
        <f aca="false">SUMIF('DTM DATASET'!B:B,A45,'DTM DATASET'!O:O)</f>
        <v>11</v>
      </c>
      <c r="F45" s="29" t="n">
        <f aca="false">SUMIF('DTM DATASET'!B:B,A45,'DTM DATASET'!P:P)</f>
        <v>0</v>
      </c>
      <c r="G45" s="29" t="n">
        <f aca="false">SUMIF('DTM DATASET'!B:B,A45,'DTM DATASET'!R:R)</f>
        <v>11</v>
      </c>
      <c r="H45" s="29" t="n">
        <f aca="false">SUMIF('DTM DATASET'!B:B,A45,'DTM DATASET'!V:V)</f>
        <v>537</v>
      </c>
      <c r="I45" s="29" t="n">
        <f aca="false">SUMIF('DTM DATASET'!B:B,A45,'DTM DATASET'!X:X)</f>
        <v>32</v>
      </c>
      <c r="J45" s="29" t="n">
        <f aca="false">SUM(B45:I45)</f>
        <v>774</v>
      </c>
    </row>
    <row r="46" customFormat="false" ht="15" hidden="false" customHeight="false" outlineLevel="0" collapsed="false">
      <c r="A46" s="23" t="s">
        <v>26</v>
      </c>
      <c r="B46" s="29" t="n">
        <f aca="false">SUMIF('DTM DATASET'!B:B,A46,'DTM DATASET'!J:J)</f>
        <v>371</v>
      </c>
      <c r="C46" s="29" t="n">
        <f aca="false">SUMIF('DTM DATASET'!B:B,A46,'DTM DATASET'!K:K)</f>
        <v>0</v>
      </c>
      <c r="D46" s="29" t="n">
        <f aca="false">SUMIF('DTM DATASET'!B:B,A46,'DTM DATASET'!L:L)</f>
        <v>23</v>
      </c>
      <c r="E46" s="29" t="n">
        <f aca="false">SUMIF('DTM DATASET'!B:B,A46,'DTM DATASET'!O:O)</f>
        <v>22</v>
      </c>
      <c r="F46" s="29" t="n">
        <f aca="false">SUMIF('DTM DATASET'!B:B,A46,'DTM DATASET'!P:P)</f>
        <v>0</v>
      </c>
      <c r="G46" s="29" t="n">
        <f aca="false">SUMIF('DTM DATASET'!B:B,A46,'DTM DATASET'!R:R)</f>
        <v>42</v>
      </c>
      <c r="H46" s="29" t="n">
        <f aca="false">SUMIF('DTM DATASET'!B:B,A46,'DTM DATASET'!V:V)</f>
        <v>12597</v>
      </c>
      <c r="I46" s="29" t="n">
        <f aca="false">SUMIF('DTM DATASET'!B:B,A46,'DTM DATASET'!X:X)</f>
        <v>37</v>
      </c>
      <c r="J46" s="29" t="n">
        <f aca="false">SUM(B46:I46)</f>
        <v>13092</v>
      </c>
    </row>
    <row r="47" customFormat="false" ht="15" hidden="false" customHeight="false" outlineLevel="0" collapsed="false">
      <c r="A47" s="23" t="s">
        <v>27</v>
      </c>
      <c r="B47" s="29" t="n">
        <f aca="false">SUMIF('DTM DATASET'!B:B,A47,'DTM DATASET'!J:J)</f>
        <v>869</v>
      </c>
      <c r="C47" s="29" t="n">
        <f aca="false">SUMIF('DTM DATASET'!B:B,A47,'DTM DATASET'!K:K)</f>
        <v>5</v>
      </c>
      <c r="D47" s="29" t="n">
        <f aca="false">SUMIF('DTM DATASET'!B:B,A47,'DTM DATASET'!L:L)</f>
        <v>0</v>
      </c>
      <c r="E47" s="29" t="n">
        <f aca="false">SUMIF('DTM DATASET'!B:B,A47,'DTM DATASET'!O:O)</f>
        <v>0</v>
      </c>
      <c r="F47" s="29" t="n">
        <f aca="false">SUMIF('DTM DATASET'!B:B,A47,'DTM DATASET'!P:P)</f>
        <v>0</v>
      </c>
      <c r="G47" s="29" t="n">
        <f aca="false">SUMIF('DTM DATASET'!B:B,A47,'DTM DATASET'!R:R)</f>
        <v>952</v>
      </c>
      <c r="H47" s="29" t="n">
        <f aca="false">SUMIF('DTM DATASET'!B:B,A47,'DTM DATASET'!V:V)</f>
        <v>73049</v>
      </c>
      <c r="I47" s="29" t="n">
        <f aca="false">SUMIF('DTM DATASET'!B:B,A47,'DTM DATASET'!X:X)</f>
        <v>2086</v>
      </c>
      <c r="J47" s="29" t="n">
        <f aca="false">SUM(B47:I47)</f>
        <v>76961</v>
      </c>
    </row>
    <row r="48" customFormat="false" ht="15" hidden="false" customHeight="false" outlineLevel="0" collapsed="false">
      <c r="A48" s="23" t="s">
        <v>28</v>
      </c>
      <c r="B48" s="29" t="n">
        <f aca="false">SUMIF('DTM DATASET'!B:B,A48,'DTM DATASET'!J:J)</f>
        <v>686</v>
      </c>
      <c r="C48" s="29" t="n">
        <f aca="false">SUMIF('DTM DATASET'!B:B,A48,'DTM DATASET'!K:K)</f>
        <v>15</v>
      </c>
      <c r="D48" s="29" t="n">
        <f aca="false">SUMIF('DTM DATASET'!B:B,A48,'DTM DATASET'!L:L)</f>
        <v>69</v>
      </c>
      <c r="E48" s="29" t="n">
        <f aca="false">SUMIF('DTM DATASET'!B:B,A48,'DTM DATASET'!O:O)</f>
        <v>30</v>
      </c>
      <c r="F48" s="29" t="n">
        <f aca="false">SUMIF('DTM DATASET'!B:B,A48,'DTM DATASET'!P:P)</f>
        <v>0</v>
      </c>
      <c r="G48" s="29" t="n">
        <f aca="false">SUMIF('DTM DATASET'!B:B,A48,'DTM DATASET'!R:R)</f>
        <v>444</v>
      </c>
      <c r="H48" s="29" t="n">
        <f aca="false">SUMIF('DTM DATASET'!B:B,A48,'DTM DATASET'!V:V)</f>
        <v>2724</v>
      </c>
      <c r="I48" s="29" t="n">
        <f aca="false">SUMIF('DTM DATASET'!B:B,A48,'DTM DATASET'!X:X)</f>
        <v>36</v>
      </c>
      <c r="J48" s="29" t="n">
        <f aca="false">SUM(B48:I48)</f>
        <v>4004</v>
      </c>
    </row>
    <row r="49" customFormat="false" ht="15" hidden="false" customHeight="false" outlineLevel="0" collapsed="false">
      <c r="A49" s="23" t="s">
        <v>29</v>
      </c>
      <c r="B49" s="29" t="n">
        <f aca="false">SUMIF('DTM DATASET'!B:B,A49,'DTM DATASET'!J:J)</f>
        <v>644</v>
      </c>
      <c r="C49" s="29" t="n">
        <f aca="false">SUMIF('DTM DATASET'!B:B,A49,'DTM DATASET'!K:K)</f>
        <v>0</v>
      </c>
      <c r="D49" s="29" t="n">
        <f aca="false">SUMIF('DTM DATASET'!B:B,A49,'DTM DATASET'!L:L)</f>
        <v>0</v>
      </c>
      <c r="E49" s="29" t="n">
        <f aca="false">SUMIF('DTM DATASET'!B:B,A49,'DTM DATASET'!O:O)</f>
        <v>339</v>
      </c>
      <c r="F49" s="29" t="n">
        <f aca="false">SUMIF('DTM DATASET'!B:B,A49,'DTM DATASET'!P:P)</f>
        <v>0</v>
      </c>
      <c r="G49" s="29" t="n">
        <f aca="false">SUMIF('DTM DATASET'!B:B,A49,'DTM DATASET'!R:R)</f>
        <v>7281</v>
      </c>
      <c r="H49" s="29" t="n">
        <f aca="false">SUMIF('DTM DATASET'!B:B,A49,'DTM DATASET'!V:V)</f>
        <v>1853</v>
      </c>
      <c r="I49" s="29" t="n">
        <f aca="false">SUMIF('DTM DATASET'!B:B,A49,'DTM DATASET'!X:X)</f>
        <v>44085</v>
      </c>
      <c r="J49" s="29" t="n">
        <f aca="false">SUM(B49:I49)</f>
        <v>54202</v>
      </c>
    </row>
    <row r="50" customFormat="false" ht="15" hidden="false" customHeight="false" outlineLevel="0" collapsed="false">
      <c r="A50" s="23" t="s">
        <v>30</v>
      </c>
      <c r="B50" s="29" t="n">
        <f aca="false">SUMIF('DTM DATASET'!B:B,A50,'DTM DATASET'!J:J)</f>
        <v>12861</v>
      </c>
      <c r="C50" s="29" t="n">
        <f aca="false">SUMIF('DTM DATASET'!B:B,A50,'DTM DATASET'!K:K)</f>
        <v>689</v>
      </c>
      <c r="D50" s="29" t="n">
        <f aca="false">SUMIF('DTM DATASET'!B:B,A50,'DTM DATASET'!L:L)</f>
        <v>1907</v>
      </c>
      <c r="E50" s="29" t="n">
        <f aca="false">SUMIF('DTM DATASET'!B:B,A50,'DTM DATASET'!O:O)</f>
        <v>3383</v>
      </c>
      <c r="F50" s="29" t="n">
        <f aca="false">SUMIF('DTM DATASET'!B:B,A50,'DTM DATASET'!P:P)</f>
        <v>0</v>
      </c>
      <c r="G50" s="29" t="n">
        <f aca="false">SUMIF('DTM DATASET'!B:B,A50,'DTM DATASET'!R:R)</f>
        <v>3</v>
      </c>
      <c r="H50" s="29" t="n">
        <f aca="false">SUMIF('DTM DATASET'!B:B,A50,'DTM DATASET'!V:V)</f>
        <v>2648</v>
      </c>
      <c r="I50" s="29" t="n">
        <f aca="false">SUMIF('DTM DATASET'!B:B,A50,'DTM DATASET'!X:X)</f>
        <v>4051</v>
      </c>
      <c r="J50" s="29" t="n">
        <f aca="false">SUM(B50:I50)</f>
        <v>25542</v>
      </c>
    </row>
    <row r="51" customFormat="false" ht="15" hidden="false" customHeight="false" outlineLevel="0" collapsed="false">
      <c r="A51" s="23" t="s">
        <v>31</v>
      </c>
      <c r="B51" s="29" t="n">
        <f aca="false">SUMIF('DTM DATASET'!B:B,A51,'DTM DATASET'!J:J)</f>
        <v>198</v>
      </c>
      <c r="C51" s="29" t="n">
        <f aca="false">SUMIF('DTM DATASET'!B:B,A51,'DTM DATASET'!K:K)</f>
        <v>17</v>
      </c>
      <c r="D51" s="29" t="n">
        <f aca="false">SUMIF('DTM DATASET'!B:B,A51,'DTM DATASET'!L:L)</f>
        <v>8</v>
      </c>
      <c r="E51" s="29" t="n">
        <f aca="false">SUMIF('DTM DATASET'!B:B,A51,'DTM DATASET'!O:O)</f>
        <v>21</v>
      </c>
      <c r="F51" s="29" t="n">
        <f aca="false">SUMIF('DTM DATASET'!B:B,A51,'DTM DATASET'!P:P)</f>
        <v>0</v>
      </c>
      <c r="G51" s="29" t="n">
        <f aca="false">SUMIF('DTM DATASET'!B:B,A51,'DTM DATASET'!R:R)</f>
        <v>113</v>
      </c>
      <c r="H51" s="29" t="n">
        <f aca="false">SUMIF('DTM DATASET'!B:B,A51,'DTM DATASET'!V:V)</f>
        <v>973</v>
      </c>
      <c r="I51" s="29" t="n">
        <f aca="false">SUMIF('DTM DATASET'!B:B,A51,'DTM DATASET'!X:X)</f>
        <v>61</v>
      </c>
      <c r="J51" s="29" t="n">
        <f aca="false">SUM(B51:I51)</f>
        <v>1391</v>
      </c>
    </row>
    <row r="52" customFormat="false" ht="15" hidden="false" customHeight="false" outlineLevel="0" collapsed="false">
      <c r="A52" s="23" t="s">
        <v>32</v>
      </c>
      <c r="B52" s="29" t="n">
        <f aca="false">SUMIF('DTM DATASET'!B:B,A52,'DTM DATASET'!J:J)</f>
        <v>558</v>
      </c>
      <c r="C52" s="29" t="n">
        <f aca="false">SUMIF('DTM DATASET'!B:B,A52,'DTM DATASET'!K:K)</f>
        <v>20</v>
      </c>
      <c r="D52" s="29" t="n">
        <f aca="false">SUMIF('DTM DATASET'!B:B,A52,'DTM DATASET'!L:L)</f>
        <v>6</v>
      </c>
      <c r="E52" s="29" t="n">
        <f aca="false">SUMIF('DTM DATASET'!B:B,A52,'DTM DATASET'!O:O)</f>
        <v>20</v>
      </c>
      <c r="F52" s="29" t="n">
        <f aca="false">SUMIF('DTM DATASET'!B:B,A52,'DTM DATASET'!P:P)</f>
        <v>0</v>
      </c>
      <c r="G52" s="29" t="n">
        <f aca="false">SUMIF('DTM DATASET'!B:B,A52,'DTM DATASET'!R:R)</f>
        <v>102</v>
      </c>
      <c r="H52" s="29" t="n">
        <f aca="false">SUMIF('DTM DATASET'!B:B,A52,'DTM DATASET'!V:V)</f>
        <v>3549</v>
      </c>
      <c r="I52" s="29" t="n">
        <f aca="false">SUMIF('DTM DATASET'!B:B,A52,'DTM DATASET'!X:X)</f>
        <v>131</v>
      </c>
      <c r="J52" s="29" t="n">
        <f aca="false">SUM(B52:I52)</f>
        <v>4386</v>
      </c>
    </row>
    <row r="53" customFormat="false" ht="15" hidden="false" customHeight="false" outlineLevel="0" collapsed="false">
      <c r="A53" s="39" t="s">
        <v>6942</v>
      </c>
      <c r="B53" s="24" t="n">
        <f aca="false">SUM(B35:B52)</f>
        <v>137119</v>
      </c>
      <c r="C53" s="24" t="n">
        <f aca="false">SUM(C35:C52)</f>
        <v>4871</v>
      </c>
      <c r="D53" s="24" t="n">
        <f aca="false">SUM(D35:D52)</f>
        <v>7222</v>
      </c>
      <c r="E53" s="24" t="n">
        <f aca="false">SUM(E35:E52)</f>
        <v>17065</v>
      </c>
      <c r="F53" s="24" t="n">
        <f aca="false">SUM(F35:F52)</f>
        <v>2673</v>
      </c>
      <c r="G53" s="24" t="n">
        <f aca="false">SUM(G35:G52)</f>
        <v>37859</v>
      </c>
      <c r="H53" s="24" t="n">
        <f aca="false">SUM(H35:H52)</f>
        <v>221205</v>
      </c>
      <c r="I53" s="24" t="n">
        <f aca="false">SUM(I35:I52)</f>
        <v>76987</v>
      </c>
      <c r="J53" s="24" t="n">
        <f aca="false">SUM(J35:J52)</f>
        <v>505001</v>
      </c>
    </row>
    <row r="54" customFormat="false" ht="18" hidden="false" customHeight="true" outlineLevel="0" collapsed="false"/>
    <row r="55" customFormat="false" ht="15" hidden="false" customHeight="true" outlineLevel="0" collapsed="false">
      <c r="A55" s="32"/>
      <c r="B55" s="33" t="s">
        <v>4</v>
      </c>
      <c r="C55" s="33"/>
      <c r="D55" s="33"/>
      <c r="E55" s="33"/>
      <c r="F55" s="33"/>
      <c r="G55" s="33"/>
    </row>
    <row r="56" customFormat="false" ht="26.25" hidden="false" customHeight="false" outlineLevel="0" collapsed="false">
      <c r="A56" s="34" t="s">
        <v>6940</v>
      </c>
      <c r="B56" s="40" t="s">
        <v>43</v>
      </c>
      <c r="C56" s="40" t="s">
        <v>44</v>
      </c>
      <c r="D56" s="41" t="s">
        <v>45</v>
      </c>
      <c r="E56" s="40" t="s">
        <v>46</v>
      </c>
      <c r="F56" s="40" t="s">
        <v>47</v>
      </c>
      <c r="G56" s="40" t="s">
        <v>6943</v>
      </c>
      <c r="H56" s="40" t="s">
        <v>6944</v>
      </c>
      <c r="I56" s="40" t="s">
        <v>6941</v>
      </c>
    </row>
    <row r="57" customFormat="false" ht="15" hidden="false" customHeight="false" outlineLevel="0" collapsed="false">
      <c r="A57" s="35" t="s">
        <v>15</v>
      </c>
      <c r="B57" s="26" t="n">
        <f aca="false">SUMIF('DTM DATASET'!B:B,A57,'DTM DATASET'!AL:AL)</f>
        <v>13919</v>
      </c>
      <c r="C57" s="26" t="n">
        <f aca="false">SUMIF('DTM DATASET'!B:B,A57,'DTM DATASET'!AM:AM)</f>
        <v>1164</v>
      </c>
      <c r="D57" s="26" t="n">
        <f aca="false">SUMIF('DTM DATASET'!B:B,A57,'DTM DATASET'!AN:AN)</f>
        <v>0</v>
      </c>
      <c r="E57" s="26" t="n">
        <f aca="false">SUMIF('DTM DATASET'!B:B,A57,'DTM DATASET'!AO:AO)</f>
        <v>1983</v>
      </c>
      <c r="F57" s="26" t="n">
        <f aca="false">SUMIF('DTM DATASET'!B:B,A57,'DTM DATASET'!AP:AP)</f>
        <v>11524</v>
      </c>
      <c r="G57" s="26" t="n">
        <f aca="false">SUMIF('DTM DATASET'!B:B,A57,'DTM DATASET'!AQ:AQ)</f>
        <v>11381</v>
      </c>
      <c r="H57" s="26" t="n">
        <f aca="false">SUMIF('DTM DATASET'!B:B,A57,'DTM DATASET'!AR:AR)</f>
        <v>1619</v>
      </c>
      <c r="I57" s="26" t="n">
        <f aca="false">SUM(B57:H57)</f>
        <v>41590</v>
      </c>
    </row>
    <row r="58" customFormat="false" ht="15" hidden="false" customHeight="false" outlineLevel="0" collapsed="false">
      <c r="A58" s="23" t="s">
        <v>16</v>
      </c>
      <c r="B58" s="29" t="n">
        <f aca="false">SUMIF('DTM DATASET'!B:B,A58,'DTM DATASET'!AL:AL)</f>
        <v>83</v>
      </c>
      <c r="C58" s="29" t="n">
        <f aca="false">SUMIF('DTM DATASET'!B:B,A58,'DTM DATASET'!AM:AM)</f>
        <v>5284</v>
      </c>
      <c r="D58" s="29" t="n">
        <f aca="false">SUMIF('DTM DATASET'!B:B,A58,'DTM DATASET'!AN:AN)</f>
        <v>1412</v>
      </c>
      <c r="E58" s="29" t="n">
        <f aca="false">SUMIF('DTM DATASET'!B:B,A58,'DTM DATASET'!AO:AO)</f>
        <v>625</v>
      </c>
      <c r="F58" s="29" t="n">
        <f aca="false">SUMIF('DTM DATASET'!B:B,A58,'DTM DATASET'!AP:AP)</f>
        <v>297</v>
      </c>
      <c r="G58" s="26" t="n">
        <f aca="false">SUMIF('DTM DATASET'!B:B,A58,'DTM DATASET'!AQ:AQ)</f>
        <v>0</v>
      </c>
      <c r="H58" s="26" t="n">
        <f aca="false">SUMIF('DTM DATASET'!B:B,A58,'DTM DATASET'!AR:AR)</f>
        <v>19</v>
      </c>
      <c r="I58" s="26" t="n">
        <f aca="false">SUM(B58:H58)</f>
        <v>7720</v>
      </c>
    </row>
    <row r="59" customFormat="false" ht="15" hidden="false" customHeight="false" outlineLevel="0" collapsed="false">
      <c r="A59" s="23" t="s">
        <v>17</v>
      </c>
      <c r="B59" s="29" t="n">
        <f aca="false">SUMIF('DTM DATASET'!B:B,A59,'DTM DATASET'!AL:AL)</f>
        <v>9432</v>
      </c>
      <c r="C59" s="29" t="n">
        <f aca="false">SUMIF('DTM DATASET'!B:B,A59,'DTM DATASET'!AM:AM)</f>
        <v>8513</v>
      </c>
      <c r="D59" s="29" t="n">
        <f aca="false">SUMIF('DTM DATASET'!B:B,A59,'DTM DATASET'!AN:AN)</f>
        <v>6909</v>
      </c>
      <c r="E59" s="29" t="n">
        <f aca="false">SUMIF('DTM DATASET'!B:B,A59,'DTM DATASET'!AO:AO)</f>
        <v>15835</v>
      </c>
      <c r="F59" s="29" t="n">
        <f aca="false">SUMIF('DTM DATASET'!B:B,A59,'DTM DATASET'!AP:AP)</f>
        <v>19813</v>
      </c>
      <c r="G59" s="26" t="n">
        <f aca="false">SUMIF('DTM DATASET'!B:B,A59,'DTM DATASET'!AQ:AQ)</f>
        <v>1598</v>
      </c>
      <c r="H59" s="26" t="n">
        <f aca="false">SUMIF('DTM DATASET'!B:B,A59,'DTM DATASET'!AR:AR)</f>
        <v>865</v>
      </c>
      <c r="I59" s="26" t="n">
        <f aca="false">SUM(B59:H59)</f>
        <v>62965</v>
      </c>
    </row>
    <row r="60" customFormat="false" ht="15" hidden="false" customHeight="false" outlineLevel="0" collapsed="false">
      <c r="A60" s="23" t="s">
        <v>18</v>
      </c>
      <c r="B60" s="29" t="n">
        <f aca="false">SUMIF('DTM DATASET'!B:B,A60,'DTM DATASET'!AL:AL)</f>
        <v>188</v>
      </c>
      <c r="C60" s="29" t="n">
        <f aca="false">SUMIF('DTM DATASET'!B:B,A60,'DTM DATASET'!AM:AM)</f>
        <v>511</v>
      </c>
      <c r="D60" s="29" t="n">
        <f aca="false">SUMIF('DTM DATASET'!B:B,A60,'DTM DATASET'!AN:AN)</f>
        <v>331</v>
      </c>
      <c r="E60" s="29" t="n">
        <f aca="false">SUMIF('DTM DATASET'!B:B,A60,'DTM DATASET'!AO:AO)</f>
        <v>525</v>
      </c>
      <c r="F60" s="29" t="n">
        <f aca="false">SUMIF('DTM DATASET'!B:B,A60,'DTM DATASET'!AP:AP)</f>
        <v>136</v>
      </c>
      <c r="G60" s="26" t="n">
        <f aca="false">SUMIF('DTM DATASET'!B:B,A60,'DTM DATASET'!AQ:AQ)</f>
        <v>39</v>
      </c>
      <c r="H60" s="26" t="n">
        <f aca="false">SUMIF('DTM DATASET'!B:B,A60,'DTM DATASET'!AR:AR)</f>
        <v>38</v>
      </c>
      <c r="I60" s="26" t="n">
        <f aca="false">SUM(B60:H60)</f>
        <v>1768</v>
      </c>
    </row>
    <row r="61" customFormat="false" ht="15" hidden="false" customHeight="false" outlineLevel="0" collapsed="false">
      <c r="A61" s="23" t="s">
        <v>19</v>
      </c>
      <c r="B61" s="29" t="n">
        <f aca="false">SUMIF('DTM DATASET'!B:B,A61,'DTM DATASET'!AL:AL)</f>
        <v>304</v>
      </c>
      <c r="C61" s="29" t="n">
        <f aca="false">SUMIF('DTM DATASET'!B:B,A61,'DTM DATASET'!AM:AM)</f>
        <v>12032</v>
      </c>
      <c r="D61" s="29" t="n">
        <f aca="false">SUMIF('DTM DATASET'!B:B,A61,'DTM DATASET'!AN:AN)</f>
        <v>53486</v>
      </c>
      <c r="E61" s="29" t="n">
        <f aca="false">SUMIF('DTM DATASET'!B:B,A61,'DTM DATASET'!AO:AO)</f>
        <v>0</v>
      </c>
      <c r="F61" s="29" t="n">
        <f aca="false">SUMIF('DTM DATASET'!B:B,A61,'DTM DATASET'!AP:AP)</f>
        <v>167</v>
      </c>
      <c r="G61" s="26" t="n">
        <f aca="false">SUMIF('DTM DATASET'!B:B,A61,'DTM DATASET'!AQ:AQ)</f>
        <v>0</v>
      </c>
      <c r="H61" s="26" t="n">
        <f aca="false">SUMIF('DTM DATASET'!B:B,A61,'DTM DATASET'!AR:AR)</f>
        <v>0</v>
      </c>
      <c r="I61" s="26" t="n">
        <f aca="false">SUM(B61:H61)</f>
        <v>65989</v>
      </c>
    </row>
    <row r="62" customFormat="false" ht="15" hidden="false" customHeight="false" outlineLevel="0" collapsed="false">
      <c r="A62" s="23" t="s">
        <v>20</v>
      </c>
      <c r="B62" s="29" t="n">
        <f aca="false">SUMIF('DTM DATASET'!B:B,A62,'DTM DATASET'!AL:AL)</f>
        <v>204</v>
      </c>
      <c r="C62" s="29" t="n">
        <f aca="false">SUMIF('DTM DATASET'!B:B,A62,'DTM DATASET'!AM:AM)</f>
        <v>5206</v>
      </c>
      <c r="D62" s="29" t="n">
        <f aca="false">SUMIF('DTM DATASET'!B:B,A62,'DTM DATASET'!AN:AN)</f>
        <v>1467</v>
      </c>
      <c r="E62" s="29" t="n">
        <f aca="false">SUMIF('DTM DATASET'!B:B,A62,'DTM DATASET'!AO:AO)</f>
        <v>5071</v>
      </c>
      <c r="F62" s="29" t="n">
        <f aca="false">SUMIF('DTM DATASET'!B:B,A62,'DTM DATASET'!AP:AP)</f>
        <v>342</v>
      </c>
      <c r="G62" s="26" t="n">
        <f aca="false">SUMIF('DTM DATASET'!B:B,A62,'DTM DATASET'!AQ:AQ)</f>
        <v>35</v>
      </c>
      <c r="H62" s="26" t="n">
        <f aca="false">SUMIF('DTM DATASET'!B:B,A62,'DTM DATASET'!AR:AR)</f>
        <v>0</v>
      </c>
      <c r="I62" s="26" t="n">
        <f aca="false">SUM(B62:H62)</f>
        <v>12325</v>
      </c>
    </row>
    <row r="63" customFormat="false" ht="15" hidden="false" customHeight="false" outlineLevel="0" collapsed="false">
      <c r="A63" s="23" t="s">
        <v>21</v>
      </c>
      <c r="B63" s="29" t="n">
        <f aca="false">SUMIF('DTM DATASET'!B:B,A63,'DTM DATASET'!AL:AL)</f>
        <v>11385</v>
      </c>
      <c r="C63" s="29" t="n">
        <f aca="false">SUMIF('DTM DATASET'!B:B,A63,'DTM DATASET'!AM:AM)</f>
        <v>22375</v>
      </c>
      <c r="D63" s="29" t="n">
        <f aca="false">SUMIF('DTM DATASET'!B:B,A63,'DTM DATASET'!AN:AN)</f>
        <v>6654</v>
      </c>
      <c r="E63" s="29" t="n">
        <f aca="false">SUMIF('DTM DATASET'!B:B,A63,'DTM DATASET'!AO:AO)</f>
        <v>1187</v>
      </c>
      <c r="F63" s="29" t="n">
        <f aca="false">SUMIF('DTM DATASET'!B:B,A63,'DTM DATASET'!AP:AP)</f>
        <v>10095</v>
      </c>
      <c r="G63" s="26" t="n">
        <f aca="false">SUMIF('DTM DATASET'!B:B,A63,'DTM DATASET'!AQ:AQ)</f>
        <v>5127</v>
      </c>
      <c r="H63" s="26" t="n">
        <f aca="false">SUMIF('DTM DATASET'!B:B,A63,'DTM DATASET'!AR:AR)</f>
        <v>810</v>
      </c>
      <c r="I63" s="26" t="n">
        <f aca="false">SUM(B63:H63)</f>
        <v>57633</v>
      </c>
    </row>
    <row r="64" customFormat="false" ht="15" hidden="false" customHeight="false" outlineLevel="0" collapsed="false">
      <c r="A64" s="23" t="s">
        <v>22</v>
      </c>
      <c r="B64" s="29" t="n">
        <f aca="false">SUMIF('DTM DATASET'!B:B,A64,'DTM DATASET'!AL:AL)</f>
        <v>288</v>
      </c>
      <c r="C64" s="29" t="n">
        <f aca="false">SUMIF('DTM DATASET'!B:B,A64,'DTM DATASET'!AM:AM)</f>
        <v>8645</v>
      </c>
      <c r="D64" s="29" t="n">
        <f aca="false">SUMIF('DTM DATASET'!B:B,A64,'DTM DATASET'!AN:AN)</f>
        <v>1936</v>
      </c>
      <c r="E64" s="29" t="n">
        <f aca="false">SUMIF('DTM DATASET'!B:B,A64,'DTM DATASET'!AO:AO)</f>
        <v>13</v>
      </c>
      <c r="F64" s="29" t="n">
        <f aca="false">SUMIF('DTM DATASET'!B:B,A64,'DTM DATASET'!AP:AP)</f>
        <v>52</v>
      </c>
      <c r="G64" s="26" t="n">
        <f aca="false">SUMIF('DTM DATASET'!B:B,A64,'DTM DATASET'!AQ:AQ)</f>
        <v>2</v>
      </c>
      <c r="H64" s="26" t="n">
        <f aca="false">SUMIF('DTM DATASET'!B:B,A64,'DTM DATASET'!AR:AR)</f>
        <v>0</v>
      </c>
      <c r="I64" s="26" t="n">
        <f aca="false">SUM(B64:H64)</f>
        <v>10936</v>
      </c>
    </row>
    <row r="65" customFormat="false" ht="15" hidden="false" customHeight="false" outlineLevel="0" collapsed="false">
      <c r="A65" s="23" t="s">
        <v>23</v>
      </c>
      <c r="B65" s="29" t="n">
        <f aca="false">SUMIF('DTM DATASET'!B:B,A65,'DTM DATASET'!AL:AL)</f>
        <v>9486</v>
      </c>
      <c r="C65" s="29" t="n">
        <f aca="false">SUMIF('DTM DATASET'!B:B,A65,'DTM DATASET'!AM:AM)</f>
        <v>12273</v>
      </c>
      <c r="D65" s="29" t="n">
        <f aca="false">SUMIF('DTM DATASET'!B:B,A65,'DTM DATASET'!AN:AN)</f>
        <v>7539</v>
      </c>
      <c r="E65" s="29" t="n">
        <f aca="false">SUMIF('DTM DATASET'!B:B,A65,'DTM DATASET'!AO:AO)</f>
        <v>12566</v>
      </c>
      <c r="F65" s="29" t="n">
        <f aca="false">SUMIF('DTM DATASET'!B:B,A65,'DTM DATASET'!AP:AP)</f>
        <v>8630</v>
      </c>
      <c r="G65" s="26" t="n">
        <f aca="false">SUMIF('DTM DATASET'!B:B,A65,'DTM DATASET'!AQ:AQ)</f>
        <v>7492</v>
      </c>
      <c r="H65" s="26" t="n">
        <f aca="false">SUMIF('DTM DATASET'!B:B,A65,'DTM DATASET'!AR:AR)</f>
        <v>4843</v>
      </c>
      <c r="I65" s="26" t="n">
        <f aca="false">SUM(B65:H65)</f>
        <v>62829</v>
      </c>
    </row>
    <row r="66" customFormat="false" ht="15" hidden="false" customHeight="false" outlineLevel="0" collapsed="false">
      <c r="A66" s="23" t="s">
        <v>24</v>
      </c>
      <c r="B66" s="29" t="n">
        <f aca="false">SUMIF('DTM DATASET'!B:B,A66,'DTM DATASET'!AL:AL)</f>
        <v>18</v>
      </c>
      <c r="C66" s="29" t="n">
        <f aca="false">SUMIF('DTM DATASET'!B:B,A66,'DTM DATASET'!AM:AM)</f>
        <v>209</v>
      </c>
      <c r="D66" s="29" t="n">
        <f aca="false">SUMIF('DTM DATASET'!B:B,A66,'DTM DATASET'!AN:AN)</f>
        <v>440</v>
      </c>
      <c r="E66" s="29" t="n">
        <f aca="false">SUMIF('DTM DATASET'!B:B,A66,'DTM DATASET'!AO:AO)</f>
        <v>183</v>
      </c>
      <c r="F66" s="29" t="n">
        <f aca="false">SUMIF('DTM DATASET'!B:B,A66,'DTM DATASET'!AP:AP)</f>
        <v>30</v>
      </c>
      <c r="G66" s="26" t="n">
        <f aca="false">SUMIF('DTM DATASET'!B:B,A66,'DTM DATASET'!AQ:AQ)</f>
        <v>2</v>
      </c>
      <c r="H66" s="26" t="n">
        <f aca="false">SUMIF('DTM DATASET'!B:B,A66,'DTM DATASET'!AR:AR)</f>
        <v>12</v>
      </c>
      <c r="I66" s="26" t="n">
        <f aca="false">SUM(B66:H66)</f>
        <v>894</v>
      </c>
    </row>
    <row r="67" customFormat="false" ht="15" hidden="false" customHeight="false" outlineLevel="0" collapsed="false">
      <c r="A67" s="23" t="s">
        <v>25</v>
      </c>
      <c r="B67" s="29" t="n">
        <f aca="false">SUMIF('DTM DATASET'!B:B,A67,'DTM DATASET'!AL:AL)</f>
        <v>31</v>
      </c>
      <c r="C67" s="29" t="n">
        <f aca="false">SUMIF('DTM DATASET'!B:B,A67,'DTM DATASET'!AM:AM)</f>
        <v>216</v>
      </c>
      <c r="D67" s="29" t="n">
        <f aca="false">SUMIF('DTM DATASET'!B:B,A67,'DTM DATASET'!AN:AN)</f>
        <v>334</v>
      </c>
      <c r="E67" s="29" t="n">
        <f aca="false">SUMIF('DTM DATASET'!B:B,A67,'DTM DATASET'!AO:AO)</f>
        <v>111</v>
      </c>
      <c r="F67" s="29" t="n">
        <f aca="false">SUMIF('DTM DATASET'!B:B,A67,'DTM DATASET'!AP:AP)</f>
        <v>81</v>
      </c>
      <c r="G67" s="26" t="n">
        <f aca="false">SUMIF('DTM DATASET'!B:B,A67,'DTM DATASET'!AQ:AQ)</f>
        <v>1</v>
      </c>
      <c r="H67" s="26" t="n">
        <f aca="false">SUMIF('DTM DATASET'!B:B,A67,'DTM DATASET'!AR:AR)</f>
        <v>0</v>
      </c>
      <c r="I67" s="26" t="n">
        <f aca="false">SUM(B67:H67)</f>
        <v>774</v>
      </c>
    </row>
    <row r="68" customFormat="false" ht="15" hidden="false" customHeight="false" outlineLevel="0" collapsed="false">
      <c r="A68" s="23" t="s">
        <v>26</v>
      </c>
      <c r="B68" s="29" t="n">
        <f aca="false">SUMIF('DTM DATASET'!B:B,A68,'DTM DATASET'!AL:AL)</f>
        <v>373</v>
      </c>
      <c r="C68" s="29" t="n">
        <f aca="false">SUMIF('DTM DATASET'!B:B,A68,'DTM DATASET'!AM:AM)</f>
        <v>9365</v>
      </c>
      <c r="D68" s="29" t="n">
        <f aca="false">SUMIF('DTM DATASET'!B:B,A68,'DTM DATASET'!AN:AN)</f>
        <v>2439</v>
      </c>
      <c r="E68" s="29" t="n">
        <f aca="false">SUMIF('DTM DATASET'!B:B,A68,'DTM DATASET'!AO:AO)</f>
        <v>792</v>
      </c>
      <c r="F68" s="29" t="n">
        <f aca="false">SUMIF('DTM DATASET'!B:B,A68,'DTM DATASET'!AP:AP)</f>
        <v>123</v>
      </c>
      <c r="G68" s="26" t="n">
        <f aca="false">SUMIF('DTM DATASET'!B:B,A68,'DTM DATASET'!AQ:AQ)</f>
        <v>0</v>
      </c>
      <c r="H68" s="26" t="n">
        <f aca="false">SUMIF('DTM DATASET'!B:B,A68,'DTM DATASET'!AR:AR)</f>
        <v>0</v>
      </c>
      <c r="I68" s="26" t="n">
        <f aca="false">SUM(B68:H68)</f>
        <v>13092</v>
      </c>
    </row>
    <row r="69" customFormat="false" ht="15" hidden="false" customHeight="false" outlineLevel="0" collapsed="false">
      <c r="A69" s="23" t="s">
        <v>27</v>
      </c>
      <c r="B69" s="29" t="n">
        <f aca="false">SUMIF('DTM DATASET'!B:B,A69,'DTM DATASET'!AL:AL)</f>
        <v>357</v>
      </c>
      <c r="C69" s="29" t="n">
        <f aca="false">SUMIF('DTM DATASET'!B:B,A69,'DTM DATASET'!AM:AM)</f>
        <v>4990</v>
      </c>
      <c r="D69" s="29" t="n">
        <f aca="false">SUMIF('DTM DATASET'!B:B,A69,'DTM DATASET'!AN:AN)</f>
        <v>25952</v>
      </c>
      <c r="E69" s="29" t="n">
        <f aca="false">SUMIF('DTM DATASET'!B:B,A69,'DTM DATASET'!AO:AO)</f>
        <v>3987</v>
      </c>
      <c r="F69" s="29" t="n">
        <f aca="false">SUMIF('DTM DATASET'!B:B,A69,'DTM DATASET'!AP:AP)</f>
        <v>12077</v>
      </c>
      <c r="G69" s="26" t="n">
        <f aca="false">SUMIF('DTM DATASET'!B:B,A69,'DTM DATASET'!AQ:AQ)</f>
        <v>2363</v>
      </c>
      <c r="H69" s="26" t="n">
        <f aca="false">SUMIF('DTM DATASET'!B:B,A69,'DTM DATASET'!AR:AR)</f>
        <v>27235</v>
      </c>
      <c r="I69" s="26" t="n">
        <f aca="false">SUM(B69:H69)</f>
        <v>76961</v>
      </c>
    </row>
    <row r="70" customFormat="false" ht="15" hidden="false" customHeight="false" outlineLevel="0" collapsed="false">
      <c r="A70" s="23" t="s">
        <v>28</v>
      </c>
      <c r="B70" s="29" t="n">
        <f aca="false">SUMIF('DTM DATASET'!B:B,A70,'DTM DATASET'!AL:AL)</f>
        <v>30</v>
      </c>
      <c r="C70" s="29" t="n">
        <f aca="false">SUMIF('DTM DATASET'!B:B,A70,'DTM DATASET'!AM:AM)</f>
        <v>1111</v>
      </c>
      <c r="D70" s="29" t="n">
        <f aca="false">SUMIF('DTM DATASET'!B:B,A70,'DTM DATASET'!AN:AN)</f>
        <v>2186</v>
      </c>
      <c r="E70" s="29" t="n">
        <f aca="false">SUMIF('DTM DATASET'!B:B,A70,'DTM DATASET'!AO:AO)</f>
        <v>514</v>
      </c>
      <c r="F70" s="29" t="n">
        <f aca="false">SUMIF('DTM DATASET'!B:B,A70,'DTM DATASET'!AP:AP)</f>
        <v>163</v>
      </c>
      <c r="G70" s="26" t="n">
        <f aca="false">SUMIF('DTM DATASET'!B:B,A70,'DTM DATASET'!AQ:AQ)</f>
        <v>0</v>
      </c>
      <c r="H70" s="26" t="n">
        <f aca="false">SUMIF('DTM DATASET'!B:B,A70,'DTM DATASET'!AR:AR)</f>
        <v>0</v>
      </c>
      <c r="I70" s="26" t="n">
        <f aca="false">SUM(B70:H70)</f>
        <v>4004</v>
      </c>
    </row>
    <row r="71" customFormat="false" ht="15" hidden="false" customHeight="false" outlineLevel="0" collapsed="false">
      <c r="A71" s="23" t="s">
        <v>29</v>
      </c>
      <c r="B71" s="29" t="n">
        <f aca="false">SUMIF('DTM DATASET'!B:B,A71,'DTM DATASET'!AL:AL)</f>
        <v>315</v>
      </c>
      <c r="C71" s="29" t="n">
        <f aca="false">SUMIF('DTM DATASET'!B:B,A71,'DTM DATASET'!AM:AM)</f>
        <v>3937</v>
      </c>
      <c r="D71" s="29" t="n">
        <f aca="false">SUMIF('DTM DATASET'!B:B,A71,'DTM DATASET'!AN:AN)</f>
        <v>6404</v>
      </c>
      <c r="E71" s="29" t="n">
        <f aca="false">SUMIF('DTM DATASET'!B:B,A71,'DTM DATASET'!AO:AO)</f>
        <v>4382</v>
      </c>
      <c r="F71" s="29" t="n">
        <f aca="false">SUMIF('DTM DATASET'!B:B,A71,'DTM DATASET'!AP:AP)</f>
        <v>10801</v>
      </c>
      <c r="G71" s="26" t="n">
        <f aca="false">SUMIF('DTM DATASET'!B:B,A71,'DTM DATASET'!AQ:AQ)</f>
        <v>15001</v>
      </c>
      <c r="H71" s="26" t="n">
        <f aca="false">SUMIF('DTM DATASET'!B:B,A71,'DTM DATASET'!AR:AR)</f>
        <v>13362</v>
      </c>
      <c r="I71" s="26" t="n">
        <f aca="false">SUM(B71:H71)</f>
        <v>54202</v>
      </c>
    </row>
    <row r="72" customFormat="false" ht="15" hidden="false" customHeight="false" outlineLevel="0" collapsed="false">
      <c r="A72" s="23" t="s">
        <v>30</v>
      </c>
      <c r="B72" s="29" t="n">
        <f aca="false">SUMIF('DTM DATASET'!B:B,A72,'DTM DATASET'!AL:AL)</f>
        <v>3640</v>
      </c>
      <c r="C72" s="29" t="n">
        <f aca="false">SUMIF('DTM DATASET'!B:B,A72,'DTM DATASET'!AM:AM)</f>
        <v>5109</v>
      </c>
      <c r="D72" s="29" t="n">
        <f aca="false">SUMIF('DTM DATASET'!B:B,A72,'DTM DATASET'!AN:AN)</f>
        <v>3675</v>
      </c>
      <c r="E72" s="29" t="n">
        <f aca="false">SUMIF('DTM DATASET'!B:B,A72,'DTM DATASET'!AO:AO)</f>
        <v>7793</v>
      </c>
      <c r="F72" s="29" t="n">
        <f aca="false">SUMIF('DTM DATASET'!B:B,A72,'DTM DATASET'!AP:AP)</f>
        <v>4013</v>
      </c>
      <c r="G72" s="26" t="n">
        <f aca="false">SUMIF('DTM DATASET'!B:B,A72,'DTM DATASET'!AQ:AQ)</f>
        <v>1206</v>
      </c>
      <c r="H72" s="26" t="n">
        <f aca="false">SUMIF('DTM DATASET'!B:B,A72,'DTM DATASET'!AR:AR)</f>
        <v>106</v>
      </c>
      <c r="I72" s="26" t="n">
        <f aca="false">SUM(B72:H72)</f>
        <v>25542</v>
      </c>
    </row>
    <row r="73" customFormat="false" ht="15" hidden="false" customHeight="false" outlineLevel="0" collapsed="false">
      <c r="A73" s="23" t="s">
        <v>31</v>
      </c>
      <c r="B73" s="29" t="n">
        <f aca="false">SUMIF('DTM DATASET'!B:B,A73,'DTM DATASET'!AL:AL)</f>
        <v>90</v>
      </c>
      <c r="C73" s="29" t="n">
        <f aca="false">SUMIF('DTM DATASET'!B:B,A73,'DTM DATASET'!AM:AM)</f>
        <v>370</v>
      </c>
      <c r="D73" s="29" t="n">
        <f aca="false">SUMIF('DTM DATASET'!B:B,A73,'DTM DATASET'!AN:AN)</f>
        <v>579</v>
      </c>
      <c r="E73" s="29" t="n">
        <f aca="false">SUMIF('DTM DATASET'!B:B,A73,'DTM DATASET'!AO:AO)</f>
        <v>238</v>
      </c>
      <c r="F73" s="29" t="n">
        <f aca="false">SUMIF('DTM DATASET'!B:B,A73,'DTM DATASET'!AP:AP)</f>
        <v>88</v>
      </c>
      <c r="G73" s="26" t="n">
        <f aca="false">SUMIF('DTM DATASET'!B:B,A73,'DTM DATASET'!AQ:AQ)</f>
        <v>0</v>
      </c>
      <c r="H73" s="26" t="n">
        <f aca="false">SUMIF('DTM DATASET'!B:B,A73,'DTM DATASET'!AR:AR)</f>
        <v>26</v>
      </c>
      <c r="I73" s="26" t="n">
        <f aca="false">SUM(B73:H73)</f>
        <v>1391</v>
      </c>
    </row>
    <row r="74" customFormat="false" ht="15" hidden="false" customHeight="false" outlineLevel="0" collapsed="false">
      <c r="A74" s="23" t="s">
        <v>32</v>
      </c>
      <c r="B74" s="29" t="n">
        <f aca="false">SUMIF('DTM DATASET'!B:B,A74,'DTM DATASET'!AL:AL)</f>
        <v>121</v>
      </c>
      <c r="C74" s="29" t="n">
        <f aca="false">SUMIF('DTM DATASET'!B:B,A74,'DTM DATASET'!AM:AM)</f>
        <v>3175</v>
      </c>
      <c r="D74" s="29" t="n">
        <f aca="false">SUMIF('DTM DATASET'!B:B,A74,'DTM DATASET'!AN:AN)</f>
        <v>595</v>
      </c>
      <c r="E74" s="29" t="n">
        <f aca="false">SUMIF('DTM DATASET'!B:B,A74,'DTM DATASET'!AO:AO)</f>
        <v>90</v>
      </c>
      <c r="F74" s="29" t="n">
        <f aca="false">SUMIF('DTM DATASET'!B:B,A74,'DTM DATASET'!AP:AP)</f>
        <v>405</v>
      </c>
      <c r="G74" s="26" t="n">
        <f aca="false">SUMIF('DTM DATASET'!B:B,A74,'DTM DATASET'!AQ:AQ)</f>
        <v>0</v>
      </c>
      <c r="H74" s="26" t="n">
        <f aca="false">SUMIF('DTM DATASET'!B:B,A74,'DTM DATASET'!AR:AR)</f>
        <v>0</v>
      </c>
      <c r="I74" s="26" t="n">
        <f aca="false">SUM(B74:H74)</f>
        <v>4386</v>
      </c>
    </row>
    <row r="75" customFormat="false" ht="15" hidden="false" customHeight="false" outlineLevel="0" collapsed="false">
      <c r="A75" s="39" t="s">
        <v>6942</v>
      </c>
      <c r="B75" s="24" t="n">
        <f aca="false">SUM(B57:B74)</f>
        <v>50264</v>
      </c>
      <c r="C75" s="24" t="n">
        <f aca="false">SUM(C57:C74)</f>
        <v>104485</v>
      </c>
      <c r="D75" s="24" t="n">
        <f aca="false">SUM(D57:D74)</f>
        <v>122338</v>
      </c>
      <c r="E75" s="24" t="n">
        <f aca="false">SUM(E57:E74)</f>
        <v>55895</v>
      </c>
      <c r="F75" s="24" t="n">
        <f aca="false">SUM(F57:F74)</f>
        <v>78837</v>
      </c>
      <c r="G75" s="24" t="n">
        <f aca="false">SUM(G57:G74)</f>
        <v>44247</v>
      </c>
      <c r="H75" s="24" t="n">
        <f aca="false">SUM(H57:H74)</f>
        <v>48935</v>
      </c>
      <c r="I75" s="24" t="n">
        <f aca="false">SUM(I57:I74)</f>
        <v>505001</v>
      </c>
    </row>
    <row r="76" customFormat="false" ht="18" hidden="false" customHeight="true" outlineLevel="0" collapsed="false"/>
  </sheetData>
  <mergeCells count="13">
    <mergeCell ref="A1:B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11:L11"/>
    <mergeCell ref="B33:J33"/>
    <mergeCell ref="B55:G5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2017-01-26T10:01:45Z</dcterms:created>
  <dc:creator/>
  <dc:description/>
  <dc:language>en-US</dc:language>
  <cp:lastModifiedBy/>
  <dcterms:modified xsi:type="dcterms:W3CDTF">2017-02-05T11:55:39Z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